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75" windowWidth="15600" windowHeight="9240"/>
  </bookViews>
  <sheets>
    <sheet name="All" sheetId="1" r:id="rId1"/>
    <sheet name="Class-distribution" sheetId="2" r:id="rId2"/>
    <sheet name="contigs stats" sheetId="3" r:id="rId3"/>
    <sheet name="organism distrib" sheetId="4" r:id="rId4"/>
    <sheet name="Rhodnius matches" sheetId="5" r:id="rId5"/>
  </sheets>
  <calcPr calcId="145621"/>
</workbook>
</file>

<file path=xl/calcChain.xml><?xml version="1.0" encoding="utf-8"?>
<calcChain xmlns="http://schemas.openxmlformats.org/spreadsheetml/2006/main">
  <c r="C350" i="1"/>
  <c r="C328"/>
  <c r="C335"/>
  <c r="C303"/>
  <c r="C359"/>
  <c r="P19" i="2" l="1"/>
  <c r="O19"/>
  <c r="I22"/>
  <c r="H22"/>
  <c r="C30"/>
  <c r="B30"/>
  <c r="E75" i="4"/>
  <c r="A159" i="1" l="1"/>
  <c r="C159"/>
  <c r="G159"/>
  <c r="J159"/>
  <c r="K159"/>
  <c r="U159"/>
  <c r="V159"/>
  <c r="W159"/>
  <c r="X159"/>
  <c r="AM159"/>
  <c r="AN159"/>
  <c r="AO159"/>
  <c r="BG159"/>
  <c r="BI159"/>
  <c r="BX159"/>
  <c r="CM159"/>
  <c r="DC159"/>
  <c r="DD159"/>
  <c r="DF159"/>
  <c r="DG159"/>
  <c r="DH159"/>
  <c r="DJ159"/>
  <c r="DK159"/>
  <c r="DM159"/>
  <c r="DN159"/>
  <c r="DO159"/>
  <c r="A138"/>
  <c r="C380" l="1"/>
  <c r="C372"/>
  <c r="C365"/>
  <c r="C363"/>
  <c r="C351"/>
  <c r="C344"/>
  <c r="C340"/>
  <c r="C341"/>
  <c r="C339"/>
  <c r="C329"/>
  <c r="C324"/>
  <c r="C305"/>
  <c r="C301"/>
  <c r="C288"/>
  <c r="C276" l="1"/>
  <c r="C273" l="1"/>
  <c r="C272"/>
  <c r="C269"/>
  <c r="C262"/>
  <c r="C260"/>
  <c r="C255"/>
  <c r="C234"/>
  <c r="C230"/>
  <c r="C218"/>
  <c r="C141" l="1"/>
  <c r="C138"/>
  <c r="C123"/>
  <c r="C95"/>
  <c r="DM381"/>
  <c r="DK381"/>
  <c r="DJ381"/>
  <c r="DM380"/>
  <c r="DK380"/>
  <c r="DJ380"/>
  <c r="DM379"/>
  <c r="DK379"/>
  <c r="DJ379"/>
  <c r="DM377"/>
  <c r="DK377"/>
  <c r="DJ377"/>
  <c r="DM376"/>
  <c r="DK376"/>
  <c r="DJ376"/>
  <c r="DM375"/>
  <c r="DK375"/>
  <c r="DJ375"/>
  <c r="DM374"/>
  <c r="DK374"/>
  <c r="DJ374"/>
  <c r="DM373"/>
  <c r="DK373"/>
  <c r="DJ373"/>
  <c r="DM370"/>
  <c r="DK370"/>
  <c r="DJ370"/>
  <c r="DM369"/>
  <c r="DK369"/>
  <c r="DJ369"/>
  <c r="DM368"/>
  <c r="DK368"/>
  <c r="DJ368"/>
  <c r="DM367"/>
  <c r="DK367"/>
  <c r="DJ367"/>
  <c r="DM366"/>
  <c r="DK366"/>
  <c r="DJ366"/>
  <c r="DM365"/>
  <c r="DK365"/>
  <c r="DJ365"/>
  <c r="DM364"/>
  <c r="DK364"/>
  <c r="DJ364"/>
  <c r="DM363"/>
  <c r="DK363"/>
  <c r="DJ363"/>
  <c r="DM362"/>
  <c r="DK362"/>
  <c r="DJ362"/>
  <c r="DM361"/>
  <c r="DK361"/>
  <c r="DJ361"/>
  <c r="DM360"/>
  <c r="DK360"/>
  <c r="DJ360"/>
  <c r="DM359"/>
  <c r="DK359"/>
  <c r="DJ359"/>
  <c r="DM355"/>
  <c r="DK355"/>
  <c r="DJ355"/>
  <c r="DM354"/>
  <c r="DK354"/>
  <c r="DJ354"/>
  <c r="DM353"/>
  <c r="DK353"/>
  <c r="DJ353"/>
  <c r="DM350"/>
  <c r="DK350"/>
  <c r="DJ350"/>
  <c r="DM348"/>
  <c r="DK348"/>
  <c r="DJ348"/>
  <c r="DM347"/>
  <c r="DK347"/>
  <c r="DJ347"/>
  <c r="DM344"/>
  <c r="DK344"/>
  <c r="DJ344"/>
  <c r="DM343"/>
  <c r="DK343"/>
  <c r="DJ343"/>
  <c r="DM342"/>
  <c r="DK342"/>
  <c r="DJ342"/>
  <c r="DM341"/>
  <c r="DK341"/>
  <c r="DJ341"/>
  <c r="DM340"/>
  <c r="DK340"/>
  <c r="DJ340"/>
  <c r="DM339"/>
  <c r="DK339"/>
  <c r="DJ339"/>
  <c r="DM337"/>
  <c r="DK337"/>
  <c r="DJ337"/>
  <c r="DM335"/>
  <c r="DK335"/>
  <c r="DJ335"/>
  <c r="DM330"/>
  <c r="DK330"/>
  <c r="DJ330"/>
  <c r="DM328"/>
  <c r="DK328"/>
  <c r="DJ328"/>
  <c r="DM326"/>
  <c r="DK326"/>
  <c r="DJ326"/>
  <c r="DM324"/>
  <c r="DK324"/>
  <c r="DJ324"/>
  <c r="DM323"/>
  <c r="DK323"/>
  <c r="DJ323"/>
  <c r="DM322"/>
  <c r="DK322"/>
  <c r="DJ322"/>
  <c r="DM318"/>
  <c r="DK318"/>
  <c r="DJ318"/>
  <c r="DM316"/>
  <c r="DK316"/>
  <c r="DJ316"/>
  <c r="DM313"/>
  <c r="DK313"/>
  <c r="DJ313"/>
  <c r="DM312"/>
  <c r="DK312"/>
  <c r="DJ312"/>
  <c r="DM311"/>
  <c r="DK311"/>
  <c r="DJ311"/>
  <c r="DM310"/>
  <c r="DK310"/>
  <c r="DJ310"/>
  <c r="DM309"/>
  <c r="DK309"/>
  <c r="DJ309"/>
  <c r="DM308"/>
  <c r="DK308"/>
  <c r="DJ308"/>
  <c r="DM307"/>
  <c r="DK307"/>
  <c r="DJ307"/>
  <c r="DM306"/>
  <c r="DK306"/>
  <c r="DJ306"/>
  <c r="DM305"/>
  <c r="DK305"/>
  <c r="DJ305"/>
  <c r="DM304"/>
  <c r="DK304"/>
  <c r="DJ304"/>
  <c r="DM300"/>
  <c r="DK300"/>
  <c r="DJ300"/>
  <c r="DM297"/>
  <c r="DK297"/>
  <c r="DJ297"/>
  <c r="DM295"/>
  <c r="DK295"/>
  <c r="DJ295"/>
  <c r="DM294"/>
  <c r="DK294"/>
  <c r="DJ294"/>
  <c r="DM293"/>
  <c r="DK293"/>
  <c r="DJ293"/>
  <c r="DM292"/>
  <c r="DK292"/>
  <c r="DJ292"/>
  <c r="DM291"/>
  <c r="DK291"/>
  <c r="DJ291"/>
  <c r="DM290"/>
  <c r="DK290"/>
  <c r="DJ290"/>
  <c r="DM288"/>
  <c r="DK288"/>
  <c r="DJ288"/>
  <c r="DM285"/>
  <c r="DK285"/>
  <c r="DJ285"/>
  <c r="DM283"/>
  <c r="DK283"/>
  <c r="DJ283"/>
  <c r="DM282"/>
  <c r="DK282"/>
  <c r="DJ282"/>
  <c r="DM281"/>
  <c r="DK281"/>
  <c r="DJ281"/>
  <c r="DM280"/>
  <c r="DK280"/>
  <c r="DJ280"/>
  <c r="DM278"/>
  <c r="DK278"/>
  <c r="DJ278"/>
  <c r="DM277"/>
  <c r="DK277"/>
  <c r="DJ277"/>
  <c r="DM276"/>
  <c r="DK276"/>
  <c r="DJ276"/>
  <c r="DM274"/>
  <c r="DK274"/>
  <c r="DJ274"/>
  <c r="DM271"/>
  <c r="DK271"/>
  <c r="DJ271"/>
  <c r="DM270"/>
  <c r="DK270"/>
  <c r="DJ270"/>
  <c r="DM269"/>
  <c r="DK269"/>
  <c r="DJ269"/>
  <c r="DM268"/>
  <c r="DK268"/>
  <c r="DJ268"/>
  <c r="DM267"/>
  <c r="DK267"/>
  <c r="DJ267"/>
  <c r="DM265"/>
  <c r="DK265"/>
  <c r="DJ265"/>
  <c r="DM264"/>
  <c r="DK264"/>
  <c r="DJ264"/>
  <c r="DM263"/>
  <c r="DK263"/>
  <c r="DJ263"/>
  <c r="DM262"/>
  <c r="DK262"/>
  <c r="DJ262"/>
  <c r="DM260"/>
  <c r="DK260"/>
  <c r="DJ260"/>
  <c r="DM259"/>
  <c r="DK259"/>
  <c r="DJ259"/>
  <c r="DM257"/>
  <c r="DK257"/>
  <c r="DJ257"/>
  <c r="DM256"/>
  <c r="DK256"/>
  <c r="DJ256"/>
  <c r="DM255"/>
  <c r="DK255"/>
  <c r="DJ255"/>
  <c r="DM254"/>
  <c r="DK254"/>
  <c r="DJ254"/>
  <c r="DM251"/>
  <c r="DK251"/>
  <c r="DJ251"/>
  <c r="DM250"/>
  <c r="DK250"/>
  <c r="DJ250"/>
  <c r="DM249"/>
  <c r="DK249"/>
  <c r="DJ249"/>
  <c r="DM247"/>
  <c r="DK247"/>
  <c r="DJ247"/>
  <c r="DM245"/>
  <c r="DK245"/>
  <c r="DJ245"/>
  <c r="DM244"/>
  <c r="DK244"/>
  <c r="DJ244"/>
  <c r="DM243"/>
  <c r="DK243"/>
  <c r="DJ243"/>
  <c r="DM241"/>
  <c r="DK241"/>
  <c r="DJ241"/>
  <c r="DM240"/>
  <c r="DK240"/>
  <c r="DJ240"/>
  <c r="DM239"/>
  <c r="DK239"/>
  <c r="DJ239"/>
  <c r="DM238"/>
  <c r="DK238"/>
  <c r="DJ238"/>
  <c r="DM237"/>
  <c r="DK237"/>
  <c r="DJ237"/>
  <c r="DM235"/>
  <c r="DK235"/>
  <c r="DJ235"/>
  <c r="DM233"/>
  <c r="DK233"/>
  <c r="DJ233"/>
  <c r="DM231"/>
  <c r="DK231"/>
  <c r="DJ231"/>
  <c r="DM230"/>
  <c r="DK230"/>
  <c r="DJ230"/>
  <c r="DM227"/>
  <c r="DK227"/>
  <c r="DJ227"/>
  <c r="DM226"/>
  <c r="DK226"/>
  <c r="DJ226"/>
  <c r="DM219"/>
  <c r="DK219"/>
  <c r="DJ219"/>
  <c r="DM217"/>
  <c r="DK217"/>
  <c r="DJ217"/>
  <c r="DM216"/>
  <c r="DK216"/>
  <c r="DJ216"/>
  <c r="DM215"/>
  <c r="DK215"/>
  <c r="DJ215"/>
  <c r="DM214"/>
  <c r="DK214"/>
  <c r="DJ214"/>
  <c r="DM212"/>
  <c r="DK212"/>
  <c r="DJ212"/>
  <c r="DM211"/>
  <c r="DK211"/>
  <c r="DJ211"/>
  <c r="DM208"/>
  <c r="DK208"/>
  <c r="DJ208"/>
  <c r="DM206"/>
  <c r="DK206"/>
  <c r="DJ206"/>
  <c r="DM205"/>
  <c r="DK205"/>
  <c r="DJ205"/>
  <c r="DM204"/>
  <c r="DK204"/>
  <c r="DJ204"/>
  <c r="DM203"/>
  <c r="DK203"/>
  <c r="DJ203"/>
  <c r="DM201"/>
  <c r="DK201"/>
  <c r="DJ201"/>
  <c r="DM198"/>
  <c r="DK198"/>
  <c r="DJ198"/>
  <c r="DM197"/>
  <c r="DK197"/>
  <c r="DJ197"/>
  <c r="DM196"/>
  <c r="DK196"/>
  <c r="DJ196"/>
  <c r="DM195"/>
  <c r="DK195"/>
  <c r="DJ195"/>
  <c r="DM194"/>
  <c r="DK194"/>
  <c r="DJ194"/>
  <c r="DM192"/>
  <c r="DK192"/>
  <c r="DJ192"/>
  <c r="DM191"/>
  <c r="DK191"/>
  <c r="DJ191"/>
  <c r="DM189"/>
  <c r="DK189"/>
  <c r="DJ189"/>
  <c r="DM188"/>
  <c r="DK188"/>
  <c r="DJ188"/>
  <c r="DM187"/>
  <c r="DK187"/>
  <c r="DJ187"/>
  <c r="DM186"/>
  <c r="DK186"/>
  <c r="DJ186"/>
  <c r="DM185"/>
  <c r="DK185"/>
  <c r="DJ185"/>
  <c r="DM184"/>
  <c r="DK184"/>
  <c r="DJ184"/>
  <c r="DM183"/>
  <c r="DK183"/>
  <c r="DJ183"/>
  <c r="DM180"/>
  <c r="DK180"/>
  <c r="DJ180"/>
  <c r="DM178"/>
  <c r="DK178"/>
  <c r="DJ178"/>
  <c r="DM177"/>
  <c r="DK177"/>
  <c r="DJ177"/>
  <c r="DM176"/>
  <c r="DK176"/>
  <c r="DJ176"/>
  <c r="DM175"/>
  <c r="DK175"/>
  <c r="DJ175"/>
  <c r="DM173"/>
  <c r="DK173"/>
  <c r="DJ173"/>
  <c r="DM172"/>
  <c r="DK172"/>
  <c r="DJ172"/>
  <c r="DM171"/>
  <c r="DK171"/>
  <c r="DJ171"/>
  <c r="DM170"/>
  <c r="DK170"/>
  <c r="DJ170"/>
  <c r="DM169"/>
  <c r="DK169"/>
  <c r="DJ169"/>
  <c r="DM165"/>
  <c r="DK165"/>
  <c r="DJ165"/>
  <c r="DM164"/>
  <c r="DK164"/>
  <c r="DJ164"/>
  <c r="DM163"/>
  <c r="DK163"/>
  <c r="DJ163"/>
  <c r="DM161"/>
  <c r="DK161"/>
  <c r="DJ161"/>
  <c r="DM160"/>
  <c r="DK160"/>
  <c r="DJ160"/>
  <c r="DM158"/>
  <c r="DK158"/>
  <c r="DJ158"/>
  <c r="DM157"/>
  <c r="DK157"/>
  <c r="DJ157"/>
  <c r="DM156"/>
  <c r="DK156"/>
  <c r="DJ156"/>
  <c r="DM154"/>
  <c r="DK154"/>
  <c r="DJ154"/>
  <c r="DM152"/>
  <c r="DK152"/>
  <c r="DJ152"/>
  <c r="DM150"/>
  <c r="DK150"/>
  <c r="DJ150"/>
  <c r="DM148"/>
  <c r="DK148"/>
  <c r="DJ148"/>
  <c r="DM147"/>
  <c r="DK147"/>
  <c r="DJ147"/>
  <c r="DM146"/>
  <c r="DK146"/>
  <c r="DJ146"/>
  <c r="DM145"/>
  <c r="DK145"/>
  <c r="DJ145"/>
  <c r="DM144"/>
  <c r="DK144"/>
  <c r="DJ144"/>
  <c r="DM141"/>
  <c r="DK141"/>
  <c r="DJ141"/>
  <c r="DM140"/>
  <c r="DK140"/>
  <c r="DJ140"/>
  <c r="DM139"/>
  <c r="DK139"/>
  <c r="DJ139"/>
  <c r="DM138"/>
  <c r="DK138"/>
  <c r="DJ138"/>
  <c r="DM137"/>
  <c r="DK137"/>
  <c r="DJ137"/>
  <c r="DM136"/>
  <c r="DK136"/>
  <c r="DJ136"/>
  <c r="DM134"/>
  <c r="DK134"/>
  <c r="DJ134"/>
  <c r="DM131"/>
  <c r="DK131"/>
  <c r="DJ131"/>
  <c r="DM128"/>
  <c r="DK128"/>
  <c r="DJ128"/>
  <c r="DM126"/>
  <c r="DK126"/>
  <c r="DJ126"/>
  <c r="DM124"/>
  <c r="DK124"/>
  <c r="DJ124"/>
  <c r="DM122"/>
  <c r="DK122"/>
  <c r="DJ122"/>
  <c r="DM120"/>
  <c r="DK120"/>
  <c r="DJ120"/>
  <c r="DM119"/>
  <c r="DK119"/>
  <c r="DJ119"/>
  <c r="DM118"/>
  <c r="DK118"/>
  <c r="DJ118"/>
  <c r="DM117"/>
  <c r="DK117"/>
  <c r="DJ117"/>
  <c r="DM116"/>
  <c r="DK116"/>
  <c r="DJ116"/>
  <c r="DM114"/>
  <c r="DK114"/>
  <c r="DJ114"/>
  <c r="DM113"/>
  <c r="DK113"/>
  <c r="DJ113"/>
  <c r="DM112"/>
  <c r="DK112"/>
  <c r="DJ112"/>
  <c r="DM110"/>
  <c r="DK110"/>
  <c r="DJ110"/>
  <c r="DM109"/>
  <c r="DK109"/>
  <c r="DJ109"/>
  <c r="DM107"/>
  <c r="DK107"/>
  <c r="DJ107"/>
  <c r="DM106"/>
  <c r="DK106"/>
  <c r="DJ106"/>
  <c r="DM105"/>
  <c r="DK105"/>
  <c r="DJ105"/>
  <c r="DM104"/>
  <c r="DK104"/>
  <c r="DJ104"/>
  <c r="DM103"/>
  <c r="DK103"/>
  <c r="DJ103"/>
  <c r="DM102"/>
  <c r="DK102"/>
  <c r="DJ102"/>
  <c r="DM100"/>
  <c r="DK100"/>
  <c r="DJ100"/>
  <c r="DM99"/>
  <c r="DK99"/>
  <c r="DJ99"/>
  <c r="DM98"/>
  <c r="DK98"/>
  <c r="DJ98"/>
  <c r="DM96"/>
  <c r="DK96"/>
  <c r="DJ96"/>
  <c r="DM94"/>
  <c r="DK94"/>
  <c r="DJ94"/>
  <c r="DM93"/>
  <c r="DK93"/>
  <c r="DJ93"/>
  <c r="DM92"/>
  <c r="DK92"/>
  <c r="DJ92"/>
  <c r="DM90"/>
  <c r="DK90"/>
  <c r="DJ90"/>
  <c r="DM88"/>
  <c r="DK88"/>
  <c r="DJ88"/>
  <c r="DM86"/>
  <c r="DK86"/>
  <c r="DJ86"/>
  <c r="DM85"/>
  <c r="DK85"/>
  <c r="DJ85"/>
  <c r="DM83"/>
  <c r="DK83"/>
  <c r="DJ83"/>
  <c r="DM82"/>
  <c r="DK82"/>
  <c r="DJ82"/>
  <c r="DM81"/>
  <c r="DK81"/>
  <c r="DJ81"/>
  <c r="DM80"/>
  <c r="DK80"/>
  <c r="DJ80"/>
  <c r="DM79"/>
  <c r="DK79"/>
  <c r="DJ79"/>
  <c r="DM78"/>
  <c r="DK78"/>
  <c r="DJ78"/>
  <c r="DM77"/>
  <c r="DK77"/>
  <c r="DJ77"/>
  <c r="DM76"/>
  <c r="DK76"/>
  <c r="DJ76"/>
  <c r="DM75"/>
  <c r="DK75"/>
  <c r="DJ75"/>
  <c r="DM74"/>
  <c r="DK74"/>
  <c r="DJ74"/>
  <c r="DM73"/>
  <c r="DK73"/>
  <c r="DJ73"/>
  <c r="DM70"/>
  <c r="DK70"/>
  <c r="DJ70"/>
  <c r="DM68"/>
  <c r="DK68"/>
  <c r="DJ68"/>
  <c r="DM67"/>
  <c r="DK67"/>
  <c r="DJ67"/>
  <c r="DM66"/>
  <c r="DK66"/>
  <c r="DJ66"/>
  <c r="DM65"/>
  <c r="DK65"/>
  <c r="DJ65"/>
  <c r="DM62"/>
  <c r="DK62"/>
  <c r="DJ62"/>
  <c r="DM60"/>
  <c r="DK60"/>
  <c r="DJ60"/>
  <c r="DM59"/>
  <c r="DK59"/>
  <c r="DJ59"/>
  <c r="DM58"/>
  <c r="DK58"/>
  <c r="DJ58"/>
  <c r="DM56"/>
  <c r="DK56"/>
  <c r="DJ56"/>
  <c r="DM54"/>
  <c r="DK54"/>
  <c r="DJ54"/>
  <c r="DM53"/>
  <c r="DK53"/>
  <c r="DJ53"/>
  <c r="DM52"/>
  <c r="DK52"/>
  <c r="DJ52"/>
  <c r="DM51"/>
  <c r="DK51"/>
  <c r="DJ51"/>
  <c r="DM50"/>
  <c r="DK50"/>
  <c r="DJ50"/>
  <c r="DM49"/>
  <c r="DK49"/>
  <c r="DJ49"/>
  <c r="DM47"/>
  <c r="DK47"/>
  <c r="DJ47"/>
  <c r="DM46"/>
  <c r="DK46"/>
  <c r="DJ46"/>
  <c r="DM45"/>
  <c r="DK45"/>
  <c r="DJ45"/>
  <c r="DM44"/>
  <c r="DK44"/>
  <c r="DJ44"/>
  <c r="DM43"/>
  <c r="DK43"/>
  <c r="DJ43"/>
  <c r="DM42"/>
  <c r="DK42"/>
  <c r="DJ42"/>
  <c r="DM41"/>
  <c r="DK41"/>
  <c r="DJ41"/>
  <c r="DM40"/>
  <c r="DK40"/>
  <c r="DJ40"/>
  <c r="DM39"/>
  <c r="DK39"/>
  <c r="DJ39"/>
  <c r="DM38"/>
  <c r="DK38"/>
  <c r="DJ38"/>
  <c r="DM37"/>
  <c r="DK37"/>
  <c r="DJ37"/>
  <c r="DM36"/>
  <c r="DK36"/>
  <c r="DJ36"/>
  <c r="DM34"/>
  <c r="DK34"/>
  <c r="DJ34"/>
  <c r="DM32"/>
  <c r="DK32"/>
  <c r="DJ32"/>
  <c r="DM30"/>
  <c r="DK30"/>
  <c r="DJ30"/>
  <c r="DM27"/>
  <c r="DK27"/>
  <c r="DJ27"/>
  <c r="DM26"/>
  <c r="DK26"/>
  <c r="DJ26"/>
  <c r="DM25"/>
  <c r="DK25"/>
  <c r="DJ25"/>
  <c r="DM24"/>
  <c r="DK24"/>
  <c r="DJ24"/>
  <c r="DM23"/>
  <c r="DK23"/>
  <c r="DJ23"/>
  <c r="DM20"/>
  <c r="DK20"/>
  <c r="DJ20"/>
  <c r="DM17"/>
  <c r="DK17"/>
  <c r="DJ17"/>
  <c r="DM16"/>
  <c r="DK16"/>
  <c r="DJ16"/>
  <c r="DM15"/>
  <c r="DK15"/>
  <c r="DJ15"/>
  <c r="DM14"/>
  <c r="DK14"/>
  <c r="DJ14"/>
  <c r="DM13"/>
  <c r="DK13"/>
  <c r="DJ13"/>
  <c r="DM12"/>
  <c r="DK12"/>
  <c r="DJ12"/>
  <c r="DM11"/>
  <c r="DK11"/>
  <c r="DJ11"/>
  <c r="DM9"/>
  <c r="DK9"/>
  <c r="DJ9"/>
  <c r="DM8"/>
  <c r="DK8"/>
  <c r="DJ8"/>
  <c r="DM6"/>
  <c r="DK6"/>
  <c r="DJ6"/>
  <c r="DM5"/>
  <c r="DK5"/>
  <c r="DJ5"/>
  <c r="DM4"/>
  <c r="DK4"/>
  <c r="DJ4"/>
  <c r="DM3"/>
  <c r="DK3"/>
  <c r="DJ3"/>
  <c r="DM2"/>
  <c r="DK2"/>
  <c r="DJ2"/>
  <c r="K172"/>
  <c r="K4"/>
  <c r="K7"/>
  <c r="K10"/>
  <c r="K19"/>
  <c r="K20"/>
  <c r="K21"/>
  <c r="K22"/>
  <c r="K23"/>
  <c r="K28"/>
  <c r="K31"/>
  <c r="K32"/>
  <c r="K33"/>
  <c r="K35"/>
  <c r="K47"/>
  <c r="K48"/>
  <c r="K49"/>
  <c r="K50"/>
  <c r="K51"/>
  <c r="K55"/>
  <c r="K57"/>
  <c r="K59"/>
  <c r="K61"/>
  <c r="K62"/>
  <c r="K63"/>
  <c r="K64"/>
  <c r="K69"/>
  <c r="K72"/>
  <c r="K77"/>
  <c r="K79"/>
  <c r="K81"/>
  <c r="K87"/>
  <c r="K91"/>
  <c r="K92"/>
  <c r="K97"/>
  <c r="K101"/>
  <c r="K107"/>
  <c r="K108"/>
  <c r="K115"/>
  <c r="K117"/>
  <c r="K118"/>
  <c r="K130"/>
  <c r="K133"/>
  <c r="K136"/>
  <c r="K139"/>
  <c r="K142"/>
  <c r="K143"/>
  <c r="K149"/>
  <c r="K151"/>
  <c r="K153"/>
  <c r="K155"/>
  <c r="K160"/>
  <c r="K162"/>
  <c r="K164"/>
  <c r="K166"/>
  <c r="K167"/>
  <c r="K168"/>
  <c r="K174"/>
  <c r="K179"/>
  <c r="K181"/>
  <c r="K182"/>
  <c r="K183"/>
  <c r="K193"/>
  <c r="K197"/>
  <c r="K198"/>
  <c r="K199"/>
  <c r="K200"/>
  <c r="K202"/>
  <c r="K207"/>
  <c r="K209"/>
  <c r="K210"/>
  <c r="K211"/>
  <c r="K213"/>
  <c r="K220"/>
  <c r="K222"/>
  <c r="K223"/>
  <c r="K224"/>
  <c r="K225"/>
  <c r="K229"/>
  <c r="K231"/>
  <c r="K232"/>
  <c r="K234"/>
  <c r="K236"/>
  <c r="K242"/>
  <c r="K248"/>
  <c r="K252"/>
  <c r="K255"/>
  <c r="K266"/>
  <c r="K267"/>
  <c r="K273"/>
  <c r="K275"/>
  <c r="K278"/>
  <c r="K279"/>
  <c r="K284"/>
  <c r="K285"/>
  <c r="K287"/>
  <c r="K288"/>
  <c r="K289"/>
  <c r="K296"/>
  <c r="K298"/>
  <c r="K299"/>
  <c r="K301"/>
  <c r="K302"/>
  <c r="K308"/>
  <c r="K311"/>
  <c r="K314"/>
  <c r="K315"/>
  <c r="K317"/>
  <c r="K319"/>
  <c r="K321"/>
  <c r="K322"/>
  <c r="K325"/>
  <c r="K326"/>
  <c r="K338"/>
  <c r="K340"/>
  <c r="K341"/>
  <c r="K344"/>
  <c r="K345"/>
  <c r="K351"/>
  <c r="K352"/>
  <c r="K355"/>
  <c r="K356"/>
  <c r="K371"/>
  <c r="K375"/>
  <c r="K378"/>
  <c r="K379"/>
  <c r="K161"/>
  <c r="K361"/>
  <c r="K362"/>
  <c r="K262"/>
  <c r="K173"/>
  <c r="K104"/>
  <c r="K156"/>
  <c r="K206"/>
  <c r="K263"/>
  <c r="K369"/>
  <c r="K274"/>
  <c r="K350"/>
  <c r="K74"/>
  <c r="K249"/>
  <c r="K46"/>
  <c r="K374"/>
  <c r="K80"/>
  <c r="K353"/>
  <c r="K354"/>
  <c r="K365"/>
  <c r="K366"/>
  <c r="K313"/>
  <c r="K186"/>
  <c r="K60"/>
  <c r="K43"/>
  <c r="K16"/>
  <c r="K307"/>
  <c r="K93"/>
  <c r="K163"/>
  <c r="K170"/>
  <c r="K169"/>
  <c r="K208"/>
  <c r="K240"/>
  <c r="K300"/>
  <c r="K370"/>
  <c r="K147"/>
  <c r="K116"/>
  <c r="K39"/>
  <c r="K377"/>
  <c r="K88"/>
  <c r="K335"/>
  <c r="K336"/>
  <c r="K346"/>
  <c r="K347"/>
  <c r="K348"/>
  <c r="K95"/>
  <c r="K38"/>
  <c r="K40"/>
  <c r="K310"/>
  <c r="K120"/>
  <c r="K2"/>
  <c r="K277"/>
  <c r="K85"/>
  <c r="K259"/>
  <c r="K177"/>
  <c r="K358"/>
  <c r="K318"/>
  <c r="K18"/>
  <c r="K148"/>
  <c r="K196"/>
  <c r="K212"/>
  <c r="K27"/>
  <c r="K83"/>
  <c r="K53"/>
  <c r="K154"/>
  <c r="K158"/>
  <c r="K98"/>
  <c r="K214"/>
  <c r="K144"/>
  <c r="K129"/>
  <c r="K228"/>
  <c r="K127"/>
  <c r="K5"/>
  <c r="K203"/>
  <c r="K13"/>
  <c r="K96"/>
  <c r="K239"/>
  <c r="K14"/>
  <c r="K15"/>
  <c r="K67"/>
  <c r="K68"/>
  <c r="K70"/>
  <c r="K94"/>
  <c r="K113"/>
  <c r="K124"/>
  <c r="K152"/>
  <c r="K235"/>
  <c r="K241"/>
  <c r="K251"/>
  <c r="K256"/>
  <c r="K280"/>
  <c r="K281"/>
  <c r="K295"/>
  <c r="K316"/>
  <c r="K337"/>
  <c r="K363"/>
  <c r="K376"/>
  <c r="K312"/>
  <c r="K205"/>
  <c r="K71"/>
  <c r="K253"/>
  <c r="K269"/>
  <c r="K272"/>
  <c r="K320"/>
  <c r="K131"/>
  <c r="K89"/>
  <c r="K357"/>
  <c r="K45"/>
  <c r="K237"/>
  <c r="K12"/>
  <c r="K189"/>
  <c r="K65"/>
  <c r="K339"/>
  <c r="K138"/>
  <c r="K188"/>
  <c r="K76"/>
  <c r="K109"/>
  <c r="K195"/>
  <c r="K106"/>
  <c r="K66"/>
  <c r="K178"/>
  <c r="K146"/>
  <c r="K99"/>
  <c r="K25"/>
  <c r="K309"/>
  <c r="K8"/>
  <c r="K244"/>
  <c r="K217"/>
  <c r="K265"/>
  <c r="K303"/>
  <c r="K134"/>
  <c r="K100"/>
  <c r="K327"/>
  <c r="K328"/>
  <c r="K29"/>
  <c r="K141"/>
  <c r="K54"/>
  <c r="K102"/>
  <c r="K258"/>
  <c r="K331"/>
  <c r="K332"/>
  <c r="K125"/>
  <c r="K135"/>
  <c r="K292"/>
  <c r="K323"/>
  <c r="K17"/>
  <c r="K56"/>
  <c r="K114"/>
  <c r="K26"/>
  <c r="K126"/>
  <c r="K112"/>
  <c r="K119"/>
  <c r="K216"/>
  <c r="K192"/>
  <c r="K282"/>
  <c r="K123"/>
  <c r="K137"/>
  <c r="K24"/>
  <c r="K254"/>
  <c r="K359"/>
  <c r="K103"/>
  <c r="K171"/>
  <c r="K36"/>
  <c r="K110"/>
  <c r="K201"/>
  <c r="K304"/>
  <c r="K215"/>
  <c r="K290"/>
  <c r="K41"/>
  <c r="K78"/>
  <c r="K52"/>
  <c r="K218"/>
  <c r="K260"/>
  <c r="K150"/>
  <c r="K233"/>
  <c r="K329"/>
  <c r="K330"/>
  <c r="K184"/>
  <c r="K128"/>
  <c r="K243"/>
  <c r="K132"/>
  <c r="K190"/>
  <c r="K342"/>
  <c r="K343"/>
  <c r="K185"/>
  <c r="K268"/>
  <c r="K30"/>
  <c r="K247"/>
  <c r="K286"/>
  <c r="K3"/>
  <c r="K42"/>
  <c r="K84"/>
  <c r="K86"/>
  <c r="K140"/>
  <c r="K11"/>
  <c r="K175"/>
  <c r="K333"/>
  <c r="K334"/>
  <c r="K380"/>
  <c r="K381"/>
  <c r="K82"/>
  <c r="K349"/>
  <c r="K121"/>
  <c r="K122"/>
  <c r="K176"/>
  <c r="K226"/>
  <c r="K37"/>
  <c r="K9"/>
  <c r="K105"/>
  <c r="K238"/>
  <c r="K297"/>
  <c r="K360"/>
  <c r="K227"/>
  <c r="K221"/>
  <c r="K257"/>
  <c r="K261"/>
  <c r="K324"/>
  <c r="K165"/>
  <c r="K291"/>
  <c r="K191"/>
  <c r="K194"/>
  <c r="K368"/>
  <c r="K367"/>
  <c r="K372"/>
  <c r="K373"/>
  <c r="K90"/>
  <c r="K245"/>
  <c r="K293"/>
  <c r="K219"/>
  <c r="K270"/>
  <c r="K73"/>
  <c r="K187"/>
  <c r="K276"/>
  <c r="K111"/>
  <c r="K246"/>
  <c r="K264"/>
  <c r="K364"/>
  <c r="K294"/>
  <c r="K283"/>
  <c r="K34"/>
  <c r="K204"/>
  <c r="K230"/>
  <c r="K180"/>
  <c r="K250"/>
  <c r="K6"/>
  <c r="K306"/>
  <c r="K157"/>
  <c r="K305"/>
  <c r="K145"/>
  <c r="K271"/>
  <c r="K44"/>
  <c r="K75"/>
  <c r="K58"/>
  <c r="DJ23" i="5"/>
  <c r="DI23"/>
  <c r="DG23"/>
  <c r="DF23"/>
  <c r="DE23"/>
  <c r="DC23"/>
  <c r="DB23"/>
  <c r="CL23"/>
  <c r="BW23"/>
  <c r="BH23"/>
  <c r="BF23"/>
  <c r="J23"/>
  <c r="G23"/>
  <c r="C23"/>
  <c r="A23"/>
  <c r="DJ10"/>
  <c r="DI10"/>
  <c r="CL10"/>
  <c r="BW10"/>
  <c r="BH10"/>
  <c r="BF10"/>
  <c r="AN10"/>
  <c r="AM10"/>
  <c r="AL10"/>
  <c r="W10"/>
  <c r="V10"/>
  <c r="U10"/>
  <c r="T10"/>
  <c r="J10"/>
  <c r="G10"/>
  <c r="C10"/>
  <c r="A10"/>
  <c r="DJ3"/>
  <c r="DI3"/>
  <c r="DG3"/>
  <c r="CL3"/>
  <c r="BW3"/>
  <c r="BH3"/>
  <c r="BF3"/>
  <c r="AN3"/>
  <c r="AM3"/>
  <c r="AL3"/>
  <c r="W3"/>
  <c r="V3"/>
  <c r="U3"/>
  <c r="T3"/>
  <c r="J3"/>
  <c r="G3"/>
  <c r="C3"/>
  <c r="A3"/>
  <c r="DJ27"/>
  <c r="DI27"/>
  <c r="DF27"/>
  <c r="DE27"/>
  <c r="DC27"/>
  <c r="DB27"/>
  <c r="CL27"/>
  <c r="BW27"/>
  <c r="BH27"/>
  <c r="BF27"/>
  <c r="AN27"/>
  <c r="AM27"/>
  <c r="AL27"/>
  <c r="W27"/>
  <c r="V27"/>
  <c r="U27"/>
  <c r="T27"/>
  <c r="J27"/>
  <c r="G27"/>
  <c r="C27"/>
  <c r="A27"/>
  <c r="DJ11"/>
  <c r="DI11"/>
  <c r="CL11"/>
  <c r="BW11"/>
  <c r="BH11"/>
  <c r="BF11"/>
  <c r="AN11"/>
  <c r="AM11"/>
  <c r="AL11"/>
  <c r="W11"/>
  <c r="V11"/>
  <c r="U11"/>
  <c r="T11"/>
  <c r="J11"/>
  <c r="G11"/>
  <c r="C11"/>
  <c r="A11"/>
  <c r="DJ18"/>
  <c r="DI18"/>
  <c r="DG18"/>
  <c r="DF18"/>
  <c r="DE18"/>
  <c r="DC18"/>
  <c r="DB18"/>
  <c r="CL18"/>
  <c r="BW18"/>
  <c r="BH18"/>
  <c r="BF18"/>
  <c r="AN18"/>
  <c r="AM18"/>
  <c r="AL18"/>
  <c r="W18"/>
  <c r="V18"/>
  <c r="U18"/>
  <c r="T18"/>
  <c r="J18"/>
  <c r="G18"/>
  <c r="C18"/>
  <c r="A18"/>
  <c r="DJ7"/>
  <c r="DI7"/>
  <c r="DG7"/>
  <c r="DC7"/>
  <c r="DB7"/>
  <c r="CL7"/>
  <c r="BW7"/>
  <c r="BH7"/>
  <c r="BF7"/>
  <c r="AN7"/>
  <c r="AM7"/>
  <c r="AL7"/>
  <c r="W7"/>
  <c r="V7"/>
  <c r="U7"/>
  <c r="T7"/>
  <c r="J7"/>
  <c r="G7"/>
  <c r="C7"/>
  <c r="A7"/>
  <c r="DG31"/>
  <c r="DF31"/>
  <c r="DE31"/>
  <c r="DC31"/>
  <c r="DB31"/>
  <c r="CL31"/>
  <c r="BW31"/>
  <c r="BH31"/>
  <c r="BF31"/>
  <c r="AN31"/>
  <c r="AM31"/>
  <c r="AL31"/>
  <c r="W31"/>
  <c r="V31"/>
  <c r="U31"/>
  <c r="T31"/>
  <c r="J31"/>
  <c r="G31"/>
  <c r="C31"/>
  <c r="A31"/>
  <c r="DJ13"/>
  <c r="DI13"/>
  <c r="DG13"/>
  <c r="DF13"/>
  <c r="DE13"/>
  <c r="CL13"/>
  <c r="BW13"/>
  <c r="BH13"/>
  <c r="BF13"/>
  <c r="AN13"/>
  <c r="AM13"/>
  <c r="AL13"/>
  <c r="W13"/>
  <c r="V13"/>
  <c r="U13"/>
  <c r="T13"/>
  <c r="J13"/>
  <c r="G13"/>
  <c r="C13"/>
  <c r="A13"/>
  <c r="DJ2"/>
  <c r="DI2"/>
  <c r="DG2"/>
  <c r="CL2"/>
  <c r="BW2"/>
  <c r="BH2"/>
  <c r="BF2"/>
  <c r="AN2"/>
  <c r="AM2"/>
  <c r="AL2"/>
  <c r="W2"/>
  <c r="V2"/>
  <c r="U2"/>
  <c r="T2"/>
  <c r="J2"/>
  <c r="G2"/>
  <c r="C2"/>
  <c r="A2"/>
  <c r="DJ25"/>
  <c r="DI25"/>
  <c r="DG25"/>
  <c r="DF25"/>
  <c r="DE25"/>
  <c r="DC25"/>
  <c r="DB25"/>
  <c r="CL25"/>
  <c r="BW25"/>
  <c r="BH25"/>
  <c r="BF25"/>
  <c r="W25"/>
  <c r="V25"/>
  <c r="U25"/>
  <c r="T25"/>
  <c r="J25"/>
  <c r="G25"/>
  <c r="C25"/>
  <c r="A25"/>
  <c r="DF34"/>
  <c r="DE34"/>
  <c r="CL34"/>
  <c r="BW34"/>
  <c r="BH34"/>
  <c r="BF34"/>
  <c r="AN34"/>
  <c r="AM34"/>
  <c r="AL34"/>
  <c r="W34"/>
  <c r="V34"/>
  <c r="U34"/>
  <c r="T34"/>
  <c r="J34"/>
  <c r="G34"/>
  <c r="C34"/>
  <c r="A34"/>
  <c r="DJ6"/>
  <c r="DI6"/>
  <c r="DG6"/>
  <c r="DF6"/>
  <c r="DE6"/>
  <c r="CL6"/>
  <c r="BW6"/>
  <c r="BH6"/>
  <c r="BF6"/>
  <c r="AN6"/>
  <c r="AM6"/>
  <c r="AL6"/>
  <c r="W6"/>
  <c r="V6"/>
  <c r="U6"/>
  <c r="T6"/>
  <c r="J6"/>
  <c r="G6"/>
  <c r="C6"/>
  <c r="A6"/>
  <c r="DF16"/>
  <c r="DE16"/>
  <c r="CL16"/>
  <c r="BW16"/>
  <c r="BH16"/>
  <c r="BF16"/>
  <c r="AN16"/>
  <c r="AM16"/>
  <c r="AL16"/>
  <c r="W16"/>
  <c r="V16"/>
  <c r="U16"/>
  <c r="T16"/>
  <c r="J16"/>
  <c r="G16"/>
  <c r="C16"/>
  <c r="A16"/>
  <c r="DG8"/>
  <c r="DF8"/>
  <c r="DE8"/>
  <c r="DC8"/>
  <c r="DB8"/>
  <c r="CL8"/>
  <c r="BW8"/>
  <c r="BH8"/>
  <c r="BF8"/>
  <c r="AN8"/>
  <c r="AM8"/>
  <c r="AL8"/>
  <c r="W8"/>
  <c r="V8"/>
  <c r="U8"/>
  <c r="T8"/>
  <c r="J8"/>
  <c r="G8"/>
  <c r="C8"/>
  <c r="A8"/>
  <c r="DF22"/>
  <c r="DE22"/>
  <c r="DC22"/>
  <c r="DB22"/>
  <c r="CL22"/>
  <c r="BW22"/>
  <c r="BH22"/>
  <c r="BF22"/>
  <c r="AN22"/>
  <c r="AM22"/>
  <c r="AL22"/>
  <c r="W22"/>
  <c r="V22"/>
  <c r="U22"/>
  <c r="T22"/>
  <c r="J22"/>
  <c r="G22"/>
  <c r="C22"/>
  <c r="A22"/>
  <c r="DJ19"/>
  <c r="DI19"/>
  <c r="DG19"/>
  <c r="DF19"/>
  <c r="DE19"/>
  <c r="DC19"/>
  <c r="DB19"/>
  <c r="CL19"/>
  <c r="BW19"/>
  <c r="BH19"/>
  <c r="BF19"/>
  <c r="AN19"/>
  <c r="AM19"/>
  <c r="AL19"/>
  <c r="W19"/>
  <c r="V19"/>
  <c r="U19"/>
  <c r="T19"/>
  <c r="J19"/>
  <c r="G19"/>
  <c r="C19"/>
  <c r="A19"/>
  <c r="DG12"/>
  <c r="DF12"/>
  <c r="DE12"/>
  <c r="DC12"/>
  <c r="DB12"/>
  <c r="CL12"/>
  <c r="BW12"/>
  <c r="BH12"/>
  <c r="BF12"/>
  <c r="AN12"/>
  <c r="AM12"/>
  <c r="AL12"/>
  <c r="W12"/>
  <c r="V12"/>
  <c r="U12"/>
  <c r="T12"/>
  <c r="J12"/>
  <c r="G12"/>
  <c r="C12"/>
  <c r="A12"/>
  <c r="DJ26"/>
  <c r="DI26"/>
  <c r="DF26"/>
  <c r="DE26"/>
  <c r="CL26"/>
  <c r="BW26"/>
  <c r="BH26"/>
  <c r="BF26"/>
  <c r="AN26"/>
  <c r="AM26"/>
  <c r="AL26"/>
  <c r="W26"/>
  <c r="V26"/>
  <c r="U26"/>
  <c r="T26"/>
  <c r="J26"/>
  <c r="G26"/>
  <c r="C26"/>
  <c r="A26"/>
  <c r="DJ4"/>
  <c r="DI4"/>
  <c r="DF4"/>
  <c r="DE4"/>
  <c r="DC4"/>
  <c r="DB4"/>
  <c r="CL4"/>
  <c r="BW4"/>
  <c r="BH4"/>
  <c r="BF4"/>
  <c r="AN4"/>
  <c r="AM4"/>
  <c r="AL4"/>
  <c r="W4"/>
  <c r="V4"/>
  <c r="U4"/>
  <c r="T4"/>
  <c r="J4"/>
  <c r="G4"/>
  <c r="C4"/>
  <c r="A4"/>
  <c r="DF30"/>
  <c r="DE30"/>
  <c r="DC30"/>
  <c r="DB30"/>
  <c r="CL30"/>
  <c r="BW30"/>
  <c r="BH30"/>
  <c r="BF30"/>
  <c r="W30"/>
  <c r="V30"/>
  <c r="U30"/>
  <c r="T30"/>
  <c r="J30"/>
  <c r="G30"/>
  <c r="C30"/>
  <c r="A30"/>
  <c r="DG28"/>
  <c r="BW28"/>
  <c r="BH28"/>
  <c r="BF28"/>
  <c r="J28"/>
  <c r="G28"/>
  <c r="C28"/>
  <c r="A28"/>
  <c r="DJ24"/>
  <c r="DI24"/>
  <c r="DG24"/>
  <c r="DF24"/>
  <c r="DE24"/>
  <c r="DC24"/>
  <c r="DB24"/>
  <c r="CL24"/>
  <c r="BW24"/>
  <c r="BH24"/>
  <c r="BF24"/>
  <c r="AN24"/>
  <c r="AM24"/>
  <c r="AL24"/>
  <c r="W24"/>
  <c r="V24"/>
  <c r="U24"/>
  <c r="T24"/>
  <c r="J24"/>
  <c r="G24"/>
  <c r="C24"/>
  <c r="A24"/>
  <c r="DJ20"/>
  <c r="DI20"/>
  <c r="CL20"/>
  <c r="BW20"/>
  <c r="BH20"/>
  <c r="BF20"/>
  <c r="AN20"/>
  <c r="AM20"/>
  <c r="AL20"/>
  <c r="W20"/>
  <c r="V20"/>
  <c r="U20"/>
  <c r="T20"/>
  <c r="J20"/>
  <c r="G20"/>
  <c r="C20"/>
  <c r="A20"/>
  <c r="DJ33"/>
  <c r="DI33"/>
  <c r="DG33"/>
  <c r="DF33"/>
  <c r="DE33"/>
  <c r="DC33"/>
  <c r="DB33"/>
  <c r="CL33"/>
  <c r="BW33"/>
  <c r="BH33"/>
  <c r="BF33"/>
  <c r="AN33"/>
  <c r="AM33"/>
  <c r="AL33"/>
  <c r="W33"/>
  <c r="V33"/>
  <c r="U33"/>
  <c r="T33"/>
  <c r="J33"/>
  <c r="G33"/>
  <c r="C33"/>
  <c r="A33"/>
  <c r="CL15"/>
  <c r="BW15"/>
  <c r="BH15"/>
  <c r="BF15"/>
  <c r="AN15"/>
  <c r="AM15"/>
  <c r="AL15"/>
  <c r="W15"/>
  <c r="V15"/>
  <c r="U15"/>
  <c r="T15"/>
  <c r="J15"/>
  <c r="G15"/>
  <c r="C15"/>
  <c r="A15"/>
  <c r="DJ21"/>
  <c r="DI21"/>
  <c r="DG21"/>
  <c r="DF21"/>
  <c r="DE21"/>
  <c r="DC21"/>
  <c r="DB21"/>
  <c r="CL21"/>
  <c r="BW21"/>
  <c r="BH21"/>
  <c r="BF21"/>
  <c r="AN21"/>
  <c r="AM21"/>
  <c r="AL21"/>
  <c r="J21"/>
  <c r="G21"/>
  <c r="C21"/>
  <c r="A21"/>
  <c r="DJ29"/>
  <c r="DI29"/>
  <c r="DG29"/>
  <c r="CL29"/>
  <c r="BW29"/>
  <c r="BH29"/>
  <c r="BF29"/>
  <c r="AN29"/>
  <c r="AM29"/>
  <c r="AL29"/>
  <c r="W29"/>
  <c r="V29"/>
  <c r="U29"/>
  <c r="T29"/>
  <c r="J29"/>
  <c r="G29"/>
  <c r="C29"/>
  <c r="A29"/>
  <c r="DG5"/>
  <c r="CL5"/>
  <c r="BW5"/>
  <c r="BH5"/>
  <c r="BF5"/>
  <c r="AN5"/>
  <c r="AM5"/>
  <c r="AL5"/>
  <c r="W5"/>
  <c r="V5"/>
  <c r="U5"/>
  <c r="T5"/>
  <c r="J5"/>
  <c r="G5"/>
  <c r="C5"/>
  <c r="A5"/>
  <c r="DJ32"/>
  <c r="DI32"/>
  <c r="DG32"/>
  <c r="DF32"/>
  <c r="DE32"/>
  <c r="DC32"/>
  <c r="DB32"/>
  <c r="CL32"/>
  <c r="BW32"/>
  <c r="BH32"/>
  <c r="BF32"/>
  <c r="AN32"/>
  <c r="AM32"/>
  <c r="AL32"/>
  <c r="W32"/>
  <c r="V32"/>
  <c r="U32"/>
  <c r="T32"/>
  <c r="J32"/>
  <c r="G32"/>
  <c r="C32"/>
  <c r="A32"/>
  <c r="DJ17"/>
  <c r="DI17"/>
  <c r="CL17"/>
  <c r="BW17"/>
  <c r="BH17"/>
  <c r="BF17"/>
  <c r="AN17"/>
  <c r="AM17"/>
  <c r="AL17"/>
  <c r="W17"/>
  <c r="V17"/>
  <c r="U17"/>
  <c r="T17"/>
  <c r="J17"/>
  <c r="G17"/>
  <c r="C17"/>
  <c r="A17"/>
  <c r="DJ9"/>
  <c r="DI9"/>
  <c r="DF9"/>
  <c r="DE9"/>
  <c r="DC9"/>
  <c r="DB9"/>
  <c r="CL9"/>
  <c r="BW9"/>
  <c r="BH9"/>
  <c r="BF9"/>
  <c r="AN9"/>
  <c r="AM9"/>
  <c r="AL9"/>
  <c r="W9"/>
  <c r="V9"/>
  <c r="U9"/>
  <c r="T9"/>
  <c r="J9"/>
  <c r="G9"/>
  <c r="C9"/>
  <c r="A9"/>
  <c r="DJ14"/>
  <c r="DI14"/>
  <c r="DG14"/>
  <c r="DF14"/>
  <c r="DE14"/>
  <c r="DC14"/>
  <c r="DB14"/>
  <c r="CL14"/>
  <c r="BW14"/>
  <c r="BH14"/>
  <c r="BF14"/>
  <c r="W14"/>
  <c r="V14"/>
  <c r="U14"/>
  <c r="T14"/>
  <c r="J14"/>
  <c r="G14"/>
  <c r="C14"/>
  <c r="A14"/>
  <c r="N370" i="1"/>
  <c r="N364"/>
  <c r="N339"/>
  <c r="N300"/>
  <c r="N281"/>
  <c r="N240"/>
  <c r="N237"/>
  <c r="N208"/>
  <c r="N169"/>
  <c r="N152"/>
  <c r="N150"/>
  <c r="N113"/>
  <c r="N94"/>
  <c r="N68"/>
  <c r="N52"/>
  <c r="DR351"/>
  <c r="DQ351"/>
  <c r="DP351"/>
  <c r="DR341"/>
  <c r="DQ341"/>
  <c r="DP341"/>
  <c r="DR340"/>
  <c r="DQ340"/>
  <c r="DP340"/>
  <c r="DR334"/>
  <c r="DQ334"/>
  <c r="DP334"/>
  <c r="DR333"/>
  <c r="DQ333"/>
  <c r="DP333"/>
  <c r="DR332"/>
  <c r="DQ332"/>
  <c r="DP332"/>
  <c r="DR331"/>
  <c r="DQ331"/>
  <c r="DP331"/>
  <c r="DR321"/>
  <c r="DQ321"/>
  <c r="DP321"/>
  <c r="DR280"/>
  <c r="DQ280"/>
  <c r="DP280"/>
  <c r="DR259"/>
  <c r="DQ259"/>
  <c r="DP259"/>
  <c r="DR258"/>
  <c r="DQ258"/>
  <c r="DP258"/>
  <c r="DR247"/>
  <c r="DQ247"/>
  <c r="DP247"/>
  <c r="DR200"/>
  <c r="DQ200"/>
  <c r="DP200"/>
  <c r="DR121"/>
  <c r="DQ121"/>
  <c r="DP121"/>
  <c r="DR95"/>
  <c r="DQ95"/>
  <c r="DP95"/>
  <c r="DR20"/>
  <c r="DQ20"/>
  <c r="DP20"/>
  <c r="EF369"/>
  <c r="EE369"/>
  <c r="ED369"/>
  <c r="EF368"/>
  <c r="EE368"/>
  <c r="ED368"/>
  <c r="EF367"/>
  <c r="EE367"/>
  <c r="ED367"/>
  <c r="EF351"/>
  <c r="EE351"/>
  <c r="ED351"/>
  <c r="EF341"/>
  <c r="EE341"/>
  <c r="ED341"/>
  <c r="EF340"/>
  <c r="EE340"/>
  <c r="ED340"/>
  <c r="EF339"/>
  <c r="EE339"/>
  <c r="ED339"/>
  <c r="EF333"/>
  <c r="EE333"/>
  <c r="ED333"/>
  <c r="EF332"/>
  <c r="EE332"/>
  <c r="ED332"/>
  <c r="EF321"/>
  <c r="EE321"/>
  <c r="ED321"/>
  <c r="EF279"/>
  <c r="EE279"/>
  <c r="ED279"/>
  <c r="EF273"/>
  <c r="EE273"/>
  <c r="ED273"/>
  <c r="EF268"/>
  <c r="EE268"/>
  <c r="ED268"/>
  <c r="EF263"/>
  <c r="EE263"/>
  <c r="ED263"/>
  <c r="EF260"/>
  <c r="EE260"/>
  <c r="ED260"/>
  <c r="EF247"/>
  <c r="EE247"/>
  <c r="ED247"/>
  <c r="EF211"/>
  <c r="EE211"/>
  <c r="ED211"/>
  <c r="EF189"/>
  <c r="EE189"/>
  <c r="ED189"/>
  <c r="EF188"/>
  <c r="EE188"/>
  <c r="ED188"/>
  <c r="EF185"/>
  <c r="EE185"/>
  <c r="ED185"/>
  <c r="EF150"/>
  <c r="EE150"/>
  <c r="ED150"/>
  <c r="EF138"/>
  <c r="EE138"/>
  <c r="ED138"/>
  <c r="EF108"/>
  <c r="EE108"/>
  <c r="ED108"/>
  <c r="EF76"/>
  <c r="EE76"/>
  <c r="ED76"/>
  <c r="EF65"/>
  <c r="EE65"/>
  <c r="ED65"/>
  <c r="EF52"/>
  <c r="EE52"/>
  <c r="ED52"/>
  <c r="J2"/>
  <c r="J3"/>
  <c r="J4"/>
  <c r="J5"/>
  <c r="J6"/>
  <c r="J7"/>
  <c r="J8"/>
  <c r="J9"/>
  <c r="J10"/>
  <c r="J11"/>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2"/>
  <c r="J73"/>
  <c r="J74"/>
  <c r="J75"/>
  <c r="J76"/>
  <c r="J77"/>
  <c r="J78"/>
  <c r="J79"/>
  <c r="J80"/>
  <c r="J81"/>
  <c r="J82"/>
  <c r="J83"/>
  <c r="J84"/>
  <c r="J85"/>
  <c r="J86"/>
  <c r="J87"/>
  <c r="J88"/>
  <c r="J89"/>
  <c r="J90"/>
  <c r="J91"/>
  <c r="J92"/>
  <c r="J93"/>
  <c r="J94"/>
  <c r="J95"/>
  <c r="J96"/>
  <c r="J97"/>
  <c r="J98"/>
  <c r="J99"/>
  <c r="J100"/>
  <c r="J101"/>
  <c r="J102"/>
  <c r="J103"/>
  <c r="J104"/>
  <c r="J105"/>
  <c r="J106"/>
  <c r="J107"/>
  <c r="J108"/>
  <c r="J109"/>
  <c r="J110"/>
  <c r="J111"/>
  <c r="J112"/>
  <c r="J113"/>
  <c r="J114"/>
  <c r="J115"/>
  <c r="J116"/>
  <c r="J117"/>
  <c r="J118"/>
  <c r="J119"/>
  <c r="J120"/>
  <c r="J121"/>
  <c r="J122"/>
  <c r="J123"/>
  <c r="J124"/>
  <c r="J125"/>
  <c r="J126"/>
  <c r="J127"/>
  <c r="J128"/>
  <c r="J129"/>
  <c r="J130"/>
  <c r="J131"/>
  <c r="J132"/>
  <c r="J133"/>
  <c r="J134"/>
  <c r="J135"/>
  <c r="J136"/>
  <c r="J137"/>
  <c r="J138"/>
  <c r="J139"/>
  <c r="J140"/>
  <c r="J141"/>
  <c r="J142"/>
  <c r="J143"/>
  <c r="J144"/>
  <c r="J145"/>
  <c r="J146"/>
  <c r="J147"/>
  <c r="J148"/>
  <c r="J149"/>
  <c r="J150"/>
  <c r="J151"/>
  <c r="J152"/>
  <c r="J153"/>
  <c r="J154"/>
  <c r="J155"/>
  <c r="J156"/>
  <c r="J157"/>
  <c r="J158"/>
  <c r="J160"/>
  <c r="J161"/>
  <c r="J162"/>
  <c r="J163"/>
  <c r="J164"/>
  <c r="J165"/>
  <c r="J166"/>
  <c r="J167"/>
  <c r="J168"/>
  <c r="J169"/>
  <c r="J170"/>
  <c r="J171"/>
  <c r="J172"/>
  <c r="J173"/>
  <c r="J174"/>
  <c r="J175"/>
  <c r="J176"/>
  <c r="J177"/>
  <c r="J178"/>
  <c r="J179"/>
  <c r="J180"/>
  <c r="J181"/>
  <c r="J182"/>
  <c r="J183"/>
  <c r="J184"/>
  <c r="J185"/>
  <c r="J186"/>
  <c r="J187"/>
  <c r="J188"/>
  <c r="J189"/>
  <c r="J190"/>
  <c r="J191"/>
  <c r="J192"/>
  <c r="J193"/>
  <c r="J194"/>
  <c r="J195"/>
  <c r="J196"/>
  <c r="J197"/>
  <c r="J198"/>
  <c r="J199"/>
  <c r="J200"/>
  <c r="J201"/>
  <c r="J202"/>
  <c r="J203"/>
  <c r="J204"/>
  <c r="J205"/>
  <c r="J206"/>
  <c r="J207"/>
  <c r="J208"/>
  <c r="J209"/>
  <c r="J210"/>
  <c r="J211"/>
  <c r="J212"/>
  <c r="J213"/>
  <c r="J214"/>
  <c r="J215"/>
  <c r="J216"/>
  <c r="J217"/>
  <c r="J218"/>
  <c r="J219"/>
  <c r="J220"/>
  <c r="J221"/>
  <c r="J222"/>
  <c r="J223"/>
  <c r="J224"/>
  <c r="J225"/>
  <c r="J226"/>
  <c r="J227"/>
  <c r="J228"/>
  <c r="J229"/>
  <c r="J230"/>
  <c r="J231"/>
  <c r="J232"/>
  <c r="J233"/>
  <c r="J234"/>
  <c r="J235"/>
  <c r="J236"/>
  <c r="J237"/>
  <c r="J238"/>
  <c r="J239"/>
  <c r="J240"/>
  <c r="J241"/>
  <c r="J242"/>
  <c r="J243"/>
  <c r="J244"/>
  <c r="J245"/>
  <c r="J246"/>
  <c r="J247"/>
  <c r="J248"/>
  <c r="J249"/>
  <c r="J250"/>
  <c r="J251"/>
  <c r="J252"/>
  <c r="J253"/>
  <c r="J254"/>
  <c r="J255"/>
  <c r="J256"/>
  <c r="J257"/>
  <c r="J258"/>
  <c r="J259"/>
  <c r="J260"/>
  <c r="J261"/>
  <c r="J262"/>
  <c r="J263"/>
  <c r="J264"/>
  <c r="J265"/>
  <c r="J266"/>
  <c r="J267"/>
  <c r="J268"/>
  <c r="J269"/>
  <c r="J270"/>
  <c r="J271"/>
  <c r="J272"/>
  <c r="J273"/>
  <c r="J274"/>
  <c r="J275"/>
  <c r="J276"/>
  <c r="J277"/>
  <c r="J278"/>
  <c r="J279"/>
  <c r="J280"/>
  <c r="J281"/>
  <c r="J282"/>
  <c r="J283"/>
  <c r="J284"/>
  <c r="J285"/>
  <c r="J286"/>
  <c r="J287"/>
  <c r="J288"/>
  <c r="J289"/>
  <c r="J290"/>
  <c r="J291"/>
  <c r="J292"/>
  <c r="J293"/>
  <c r="J294"/>
  <c r="J295"/>
  <c r="J296"/>
  <c r="J297"/>
  <c r="J298"/>
  <c r="J299"/>
  <c r="J300"/>
  <c r="J301"/>
  <c r="J302"/>
  <c r="J303"/>
  <c r="J304"/>
  <c r="J305"/>
  <c r="J306"/>
  <c r="J307"/>
  <c r="J308"/>
  <c r="J309"/>
  <c r="J310"/>
  <c r="J311"/>
  <c r="J312"/>
  <c r="J313"/>
  <c r="J314"/>
  <c r="J315"/>
  <c r="J316"/>
  <c r="J317"/>
  <c r="J318"/>
  <c r="J319"/>
  <c r="J320"/>
  <c r="J321"/>
  <c r="J322"/>
  <c r="J323"/>
  <c r="J324"/>
  <c r="J325"/>
  <c r="J326"/>
  <c r="J327"/>
  <c r="J328"/>
  <c r="J329"/>
  <c r="J330"/>
  <c r="J331"/>
  <c r="J332"/>
  <c r="J333"/>
  <c r="J334"/>
  <c r="J335"/>
  <c r="J336"/>
  <c r="J337"/>
  <c r="J338"/>
  <c r="J339"/>
  <c r="J340"/>
  <c r="J341"/>
  <c r="J342"/>
  <c r="J343"/>
  <c r="J344"/>
  <c r="J345"/>
  <c r="J346"/>
  <c r="J347"/>
  <c r="J348"/>
  <c r="J349"/>
  <c r="J350"/>
  <c r="J351"/>
  <c r="J352"/>
  <c r="J353"/>
  <c r="J354"/>
  <c r="J355"/>
  <c r="J356"/>
  <c r="J357"/>
  <c r="J358"/>
  <c r="J359"/>
  <c r="J360"/>
  <c r="J361"/>
  <c r="J362"/>
  <c r="J363"/>
  <c r="J364"/>
  <c r="J365"/>
  <c r="J366"/>
  <c r="J367"/>
  <c r="J368"/>
  <c r="J369"/>
  <c r="J370"/>
  <c r="J371"/>
  <c r="J372"/>
  <c r="J373"/>
  <c r="J374"/>
  <c r="J375"/>
  <c r="J376"/>
  <c r="J377"/>
  <c r="J378"/>
  <c r="J379"/>
  <c r="J380"/>
  <c r="J381"/>
  <c r="DO381"/>
  <c r="DN381"/>
  <c r="DH381"/>
  <c r="DG381"/>
  <c r="DF381"/>
  <c r="DD381"/>
  <c r="DC381"/>
  <c r="CM381"/>
  <c r="BX381"/>
  <c r="BI381"/>
  <c r="BG381"/>
  <c r="X381"/>
  <c r="W381"/>
  <c r="V381"/>
  <c r="U381"/>
  <c r="DO380"/>
  <c r="DN380"/>
  <c r="DH380"/>
  <c r="DG380"/>
  <c r="DF380"/>
  <c r="DD380"/>
  <c r="DC380"/>
  <c r="CM380"/>
  <c r="BX380"/>
  <c r="BI380"/>
  <c r="BG380"/>
  <c r="AO380"/>
  <c r="AN380"/>
  <c r="AM380"/>
  <c r="X380"/>
  <c r="W380"/>
  <c r="V380"/>
  <c r="U380"/>
  <c r="DO379"/>
  <c r="DN379"/>
  <c r="DH379"/>
  <c r="DG379"/>
  <c r="DF379"/>
  <c r="DD379"/>
  <c r="DC379"/>
  <c r="CM379"/>
  <c r="BX379"/>
  <c r="BI379"/>
  <c r="BG379"/>
  <c r="DO378"/>
  <c r="DN378"/>
  <c r="CM378"/>
  <c r="BX378"/>
  <c r="BI378"/>
  <c r="BG378"/>
  <c r="AO378"/>
  <c r="AN378"/>
  <c r="AM378"/>
  <c r="X378"/>
  <c r="W378"/>
  <c r="V378"/>
  <c r="U378"/>
  <c r="DG377"/>
  <c r="DF377"/>
  <c r="CM377"/>
  <c r="BX377"/>
  <c r="BI377"/>
  <c r="BG377"/>
  <c r="AO377"/>
  <c r="AN377"/>
  <c r="AM377"/>
  <c r="X377"/>
  <c r="W377"/>
  <c r="V377"/>
  <c r="U377"/>
  <c r="DO376"/>
  <c r="DN376"/>
  <c r="DH376"/>
  <c r="DG376"/>
  <c r="DF376"/>
  <c r="DD376"/>
  <c r="DC376"/>
  <c r="BX376"/>
  <c r="BI376"/>
  <c r="BG376"/>
  <c r="AO376"/>
  <c r="AN376"/>
  <c r="AM376"/>
  <c r="X376"/>
  <c r="W376"/>
  <c r="V376"/>
  <c r="U376"/>
  <c r="DH375"/>
  <c r="DG375"/>
  <c r="DF375"/>
  <c r="BX375"/>
  <c r="DO374"/>
  <c r="DN374"/>
  <c r="DH374"/>
  <c r="DG374"/>
  <c r="DF374"/>
  <c r="DD374"/>
  <c r="DC374"/>
  <c r="CM374"/>
  <c r="BX374"/>
  <c r="BI374"/>
  <c r="BG374"/>
  <c r="AO374"/>
  <c r="AN374"/>
  <c r="AM374"/>
  <c r="X374"/>
  <c r="W374"/>
  <c r="V374"/>
  <c r="U374"/>
  <c r="DO373"/>
  <c r="DN373"/>
  <c r="DH373"/>
  <c r="DG373"/>
  <c r="DF373"/>
  <c r="DD373"/>
  <c r="DC373"/>
  <c r="CM373"/>
  <c r="BX373"/>
  <c r="BI373"/>
  <c r="BG373"/>
  <c r="AO373"/>
  <c r="AN373"/>
  <c r="AM373"/>
  <c r="X373"/>
  <c r="W373"/>
  <c r="V373"/>
  <c r="U373"/>
  <c r="DO372"/>
  <c r="DN372"/>
  <c r="DH372"/>
  <c r="DG372"/>
  <c r="DF372"/>
  <c r="DD372"/>
  <c r="DC372"/>
  <c r="CM372"/>
  <c r="BX372"/>
  <c r="BI372"/>
  <c r="BG372"/>
  <c r="AO372"/>
  <c r="AN372"/>
  <c r="AM372"/>
  <c r="X372"/>
  <c r="W372"/>
  <c r="V372"/>
  <c r="U372"/>
  <c r="DO371"/>
  <c r="DN371"/>
  <c r="DH371"/>
  <c r="DG371"/>
  <c r="DF371"/>
  <c r="DD371"/>
  <c r="DC371"/>
  <c r="BX371"/>
  <c r="BI371"/>
  <c r="BG371"/>
  <c r="X371"/>
  <c r="W371"/>
  <c r="V371"/>
  <c r="U371"/>
  <c r="DO370"/>
  <c r="DN370"/>
  <c r="DH370"/>
  <c r="DG370"/>
  <c r="DF370"/>
  <c r="DD370"/>
  <c r="DC370"/>
  <c r="BX370"/>
  <c r="BI370"/>
  <c r="BG370"/>
  <c r="DO369"/>
  <c r="DN369"/>
  <c r="DH369"/>
  <c r="DG369"/>
  <c r="DF369"/>
  <c r="DD369"/>
  <c r="DC369"/>
  <c r="CM369"/>
  <c r="BX369"/>
  <c r="BI369"/>
  <c r="BG369"/>
  <c r="AO369"/>
  <c r="AN369"/>
  <c r="AM369"/>
  <c r="X369"/>
  <c r="W369"/>
  <c r="V369"/>
  <c r="U369"/>
  <c r="DO368"/>
  <c r="DN368"/>
  <c r="DH368"/>
  <c r="DG368"/>
  <c r="DF368"/>
  <c r="DD368"/>
  <c r="DC368"/>
  <c r="CM368"/>
  <c r="BX368"/>
  <c r="BI368"/>
  <c r="BG368"/>
  <c r="AO368"/>
  <c r="AN368"/>
  <c r="AM368"/>
  <c r="X368"/>
  <c r="W368"/>
  <c r="V368"/>
  <c r="U368"/>
  <c r="DO367"/>
  <c r="DN367"/>
  <c r="DH367"/>
  <c r="DG367"/>
  <c r="DF367"/>
  <c r="DD367"/>
  <c r="DC367"/>
  <c r="CM367"/>
  <c r="BX367"/>
  <c r="BI367"/>
  <c r="BG367"/>
  <c r="AO367"/>
  <c r="AN367"/>
  <c r="AM367"/>
  <c r="X367"/>
  <c r="W367"/>
  <c r="V367"/>
  <c r="U367"/>
  <c r="DO366"/>
  <c r="DN366"/>
  <c r="DH366"/>
  <c r="DG366"/>
  <c r="DF366"/>
  <c r="DD366"/>
  <c r="DC366"/>
  <c r="CM366"/>
  <c r="BX366"/>
  <c r="BI366"/>
  <c r="BG366"/>
  <c r="AO366"/>
  <c r="AN366"/>
  <c r="AM366"/>
  <c r="X366"/>
  <c r="W366"/>
  <c r="V366"/>
  <c r="U366"/>
  <c r="DO365"/>
  <c r="DN365"/>
  <c r="DH365"/>
  <c r="DG365"/>
  <c r="DF365"/>
  <c r="DD365"/>
  <c r="DC365"/>
  <c r="CM365"/>
  <c r="BX365"/>
  <c r="BI365"/>
  <c r="BG365"/>
  <c r="AO365"/>
  <c r="AN365"/>
  <c r="AM365"/>
  <c r="X365"/>
  <c r="W365"/>
  <c r="V365"/>
  <c r="U365"/>
  <c r="DO364"/>
  <c r="DN364"/>
  <c r="DH364"/>
  <c r="DG364"/>
  <c r="DF364"/>
  <c r="DD364"/>
  <c r="DC364"/>
  <c r="CM364"/>
  <c r="BX364"/>
  <c r="BI364"/>
  <c r="BG364"/>
  <c r="AO364"/>
  <c r="AN364"/>
  <c r="AM364"/>
  <c r="X364"/>
  <c r="W364"/>
  <c r="V364"/>
  <c r="U364"/>
  <c r="DO363"/>
  <c r="DN363"/>
  <c r="DH363"/>
  <c r="DG363"/>
  <c r="DF363"/>
  <c r="BX363"/>
  <c r="BI363"/>
  <c r="BG363"/>
  <c r="AO363"/>
  <c r="AN363"/>
  <c r="AM363"/>
  <c r="DO362"/>
  <c r="DN362"/>
  <c r="DH362"/>
  <c r="DG362"/>
  <c r="DF362"/>
  <c r="DD362"/>
  <c r="DC362"/>
  <c r="CM362"/>
  <c r="BX362"/>
  <c r="BI362"/>
  <c r="BG362"/>
  <c r="AO362"/>
  <c r="AN362"/>
  <c r="AM362"/>
  <c r="X362"/>
  <c r="W362"/>
  <c r="V362"/>
  <c r="U362"/>
  <c r="DO361"/>
  <c r="DN361"/>
  <c r="DH361"/>
  <c r="DG361"/>
  <c r="DF361"/>
  <c r="DD361"/>
  <c r="DC361"/>
  <c r="CM361"/>
  <c r="BX361"/>
  <c r="BI361"/>
  <c r="BG361"/>
  <c r="AO361"/>
  <c r="AN361"/>
  <c r="AM361"/>
  <c r="X361"/>
  <c r="W361"/>
  <c r="V361"/>
  <c r="U361"/>
  <c r="DO360"/>
  <c r="DN360"/>
  <c r="DH360"/>
  <c r="DG360"/>
  <c r="DF360"/>
  <c r="DD360"/>
  <c r="DC360"/>
  <c r="CM360"/>
  <c r="BX360"/>
  <c r="BI360"/>
  <c r="BG360"/>
  <c r="AO360"/>
  <c r="AN360"/>
  <c r="AM360"/>
  <c r="X360"/>
  <c r="W360"/>
  <c r="V360"/>
  <c r="U360"/>
  <c r="DH359"/>
  <c r="DG359"/>
  <c r="DF359"/>
  <c r="DD359"/>
  <c r="DC359"/>
  <c r="CM359"/>
  <c r="BX359"/>
  <c r="BI359"/>
  <c r="BG359"/>
  <c r="AO359"/>
  <c r="AN359"/>
  <c r="AM359"/>
  <c r="X359"/>
  <c r="W359"/>
  <c r="V359"/>
  <c r="U359"/>
  <c r="DG358"/>
  <c r="DF358"/>
  <c r="DD358"/>
  <c r="DC358"/>
  <c r="CM358"/>
  <c r="BX358"/>
  <c r="BI358"/>
  <c r="BG358"/>
  <c r="AO358"/>
  <c r="AN358"/>
  <c r="AM358"/>
  <c r="X358"/>
  <c r="W358"/>
  <c r="V358"/>
  <c r="U358"/>
  <c r="DO357"/>
  <c r="DN357"/>
  <c r="DH357"/>
  <c r="DG357"/>
  <c r="DF357"/>
  <c r="DD357"/>
  <c r="DC357"/>
  <c r="CM357"/>
  <c r="BX357"/>
  <c r="BI357"/>
  <c r="BG357"/>
  <c r="AO357"/>
  <c r="AN357"/>
  <c r="AM357"/>
  <c r="X357"/>
  <c r="W357"/>
  <c r="V357"/>
  <c r="U357"/>
  <c r="DO356"/>
  <c r="DN356"/>
  <c r="CM356"/>
  <c r="BX356"/>
  <c r="BI356"/>
  <c r="BG356"/>
  <c r="AO356"/>
  <c r="AN356"/>
  <c r="AM356"/>
  <c r="X356"/>
  <c r="W356"/>
  <c r="V356"/>
  <c r="U356"/>
  <c r="DO355"/>
  <c r="DN355"/>
  <c r="DH355"/>
  <c r="CM355"/>
  <c r="BX355"/>
  <c r="BI355"/>
  <c r="BG355"/>
  <c r="AO355"/>
  <c r="AN355"/>
  <c r="AM355"/>
  <c r="X355"/>
  <c r="W355"/>
  <c r="V355"/>
  <c r="U355"/>
  <c r="DO354"/>
  <c r="DN354"/>
  <c r="DH354"/>
  <c r="DG354"/>
  <c r="DF354"/>
  <c r="DD354"/>
  <c r="DC354"/>
  <c r="CM354"/>
  <c r="BX354"/>
  <c r="BI354"/>
  <c r="BG354"/>
  <c r="AO354"/>
  <c r="AN354"/>
  <c r="AM354"/>
  <c r="X354"/>
  <c r="W354"/>
  <c r="V354"/>
  <c r="U354"/>
  <c r="DO353"/>
  <c r="DN353"/>
  <c r="DH353"/>
  <c r="DG353"/>
  <c r="DF353"/>
  <c r="DD353"/>
  <c r="DC353"/>
  <c r="CM353"/>
  <c r="BX353"/>
  <c r="BI353"/>
  <c r="BG353"/>
  <c r="AO353"/>
  <c r="AN353"/>
  <c r="AM353"/>
  <c r="X353"/>
  <c r="W353"/>
  <c r="V353"/>
  <c r="U353"/>
  <c r="BX352"/>
  <c r="DO351"/>
  <c r="DN351"/>
  <c r="DH351"/>
  <c r="DG351"/>
  <c r="DF351"/>
  <c r="CM351"/>
  <c r="BX351"/>
  <c r="BI351"/>
  <c r="BG351"/>
  <c r="AO351"/>
  <c r="AN351"/>
  <c r="AM351"/>
  <c r="DO350"/>
  <c r="DN350"/>
  <c r="DH350"/>
  <c r="DG350"/>
  <c r="DF350"/>
  <c r="DD350"/>
  <c r="DC350"/>
  <c r="CM350"/>
  <c r="BX350"/>
  <c r="BI350"/>
  <c r="BG350"/>
  <c r="AO350"/>
  <c r="AN350"/>
  <c r="AM350"/>
  <c r="X350"/>
  <c r="W350"/>
  <c r="V350"/>
  <c r="U350"/>
  <c r="DO349"/>
  <c r="DN349"/>
  <c r="DH349"/>
  <c r="DG349"/>
  <c r="DF349"/>
  <c r="DD349"/>
  <c r="DC349"/>
  <c r="CM349"/>
  <c r="BX349"/>
  <c r="BI349"/>
  <c r="BG349"/>
  <c r="AO349"/>
  <c r="AN349"/>
  <c r="AM349"/>
  <c r="X349"/>
  <c r="W349"/>
  <c r="V349"/>
  <c r="U349"/>
  <c r="DO348"/>
  <c r="DN348"/>
  <c r="DH348"/>
  <c r="DD348"/>
  <c r="DC348"/>
  <c r="CM348"/>
  <c r="BX348"/>
  <c r="BI348"/>
  <c r="BG348"/>
  <c r="AO348"/>
  <c r="AN348"/>
  <c r="AM348"/>
  <c r="X348"/>
  <c r="W348"/>
  <c r="V348"/>
  <c r="U348"/>
  <c r="DO347"/>
  <c r="DN347"/>
  <c r="DH347"/>
  <c r="CM347"/>
  <c r="BX347"/>
  <c r="BI347"/>
  <c r="BG347"/>
  <c r="AO347"/>
  <c r="AN347"/>
  <c r="AM347"/>
  <c r="X347"/>
  <c r="W347"/>
  <c r="V347"/>
  <c r="U347"/>
  <c r="DO346"/>
  <c r="DN346"/>
  <c r="DH346"/>
  <c r="DD346"/>
  <c r="DC346"/>
  <c r="CM346"/>
  <c r="BX346"/>
  <c r="BI346"/>
  <c r="BG346"/>
  <c r="AO346"/>
  <c r="AN346"/>
  <c r="AM346"/>
  <c r="X346"/>
  <c r="W346"/>
  <c r="V346"/>
  <c r="U346"/>
  <c r="DO345"/>
  <c r="DN345"/>
  <c r="DH345"/>
  <c r="DG345"/>
  <c r="DF345"/>
  <c r="CM345"/>
  <c r="BX345"/>
  <c r="BI345"/>
  <c r="BG345"/>
  <c r="AO345"/>
  <c r="AN345"/>
  <c r="AM345"/>
  <c r="DH344"/>
  <c r="DG344"/>
  <c r="DF344"/>
  <c r="BX344"/>
  <c r="BI344"/>
  <c r="BG344"/>
  <c r="AO344"/>
  <c r="AN344"/>
  <c r="AM344"/>
  <c r="X344"/>
  <c r="W344"/>
  <c r="V344"/>
  <c r="U344"/>
  <c r="DO343"/>
  <c r="DN343"/>
  <c r="DH343"/>
  <c r="DG343"/>
  <c r="DF343"/>
  <c r="DD343"/>
  <c r="DC343"/>
  <c r="CM343"/>
  <c r="BX343"/>
  <c r="BI343"/>
  <c r="BG343"/>
  <c r="AO343"/>
  <c r="AN343"/>
  <c r="AM343"/>
  <c r="X343"/>
  <c r="W343"/>
  <c r="V343"/>
  <c r="U343"/>
  <c r="DH342"/>
  <c r="DG342"/>
  <c r="DF342"/>
  <c r="DD342"/>
  <c r="DC342"/>
  <c r="CM342"/>
  <c r="BX342"/>
  <c r="BI342"/>
  <c r="BG342"/>
  <c r="AO342"/>
  <c r="AN342"/>
  <c r="AM342"/>
  <c r="X342"/>
  <c r="W342"/>
  <c r="V342"/>
  <c r="U342"/>
  <c r="DO341"/>
  <c r="DN341"/>
  <c r="DH341"/>
  <c r="DG341"/>
  <c r="DF341"/>
  <c r="DD341"/>
  <c r="DC341"/>
  <c r="CM341"/>
  <c r="BX341"/>
  <c r="BI341"/>
  <c r="BG341"/>
  <c r="X341"/>
  <c r="W341"/>
  <c r="V341"/>
  <c r="U341"/>
  <c r="DO340"/>
  <c r="DN340"/>
  <c r="DH340"/>
  <c r="DG340"/>
  <c r="DF340"/>
  <c r="DD340"/>
  <c r="DC340"/>
  <c r="BX340"/>
  <c r="BI340"/>
  <c r="BG340"/>
  <c r="AO340"/>
  <c r="AN340"/>
  <c r="AM340"/>
  <c r="X340"/>
  <c r="W340"/>
  <c r="V340"/>
  <c r="U340"/>
  <c r="DO339"/>
  <c r="DN339"/>
  <c r="DH339"/>
  <c r="DG339"/>
  <c r="DF339"/>
  <c r="DD339"/>
  <c r="DC339"/>
  <c r="CM339"/>
  <c r="BX339"/>
  <c r="BI339"/>
  <c r="BG339"/>
  <c r="AO339"/>
  <c r="AN339"/>
  <c r="AM339"/>
  <c r="X339"/>
  <c r="W339"/>
  <c r="V339"/>
  <c r="U339"/>
  <c r="DO338"/>
  <c r="DN338"/>
  <c r="DG338"/>
  <c r="DF338"/>
  <c r="DD338"/>
  <c r="DC338"/>
  <c r="CM338"/>
  <c r="BX338"/>
  <c r="BI338"/>
  <c r="BG338"/>
  <c r="AO338"/>
  <c r="AN338"/>
  <c r="AM338"/>
  <c r="X338"/>
  <c r="W338"/>
  <c r="V338"/>
  <c r="U338"/>
  <c r="DO337"/>
  <c r="DN337"/>
  <c r="CM337"/>
  <c r="BX337"/>
  <c r="BI337"/>
  <c r="BG337"/>
  <c r="AO337"/>
  <c r="AN337"/>
  <c r="AM337"/>
  <c r="X337"/>
  <c r="W337"/>
  <c r="V337"/>
  <c r="U337"/>
  <c r="DO336"/>
  <c r="DN336"/>
  <c r="DG336"/>
  <c r="DF336"/>
  <c r="CM336"/>
  <c r="BX336"/>
  <c r="BI336"/>
  <c r="BG336"/>
  <c r="AO336"/>
  <c r="AN336"/>
  <c r="AM336"/>
  <c r="X336"/>
  <c r="W336"/>
  <c r="V336"/>
  <c r="U336"/>
  <c r="DO335"/>
  <c r="DN335"/>
  <c r="DH335"/>
  <c r="DG335"/>
  <c r="DF335"/>
  <c r="DD335"/>
  <c r="DC335"/>
  <c r="CM335"/>
  <c r="BX335"/>
  <c r="BI335"/>
  <c r="BG335"/>
  <c r="AO335"/>
  <c r="AN335"/>
  <c r="AM335"/>
  <c r="X335"/>
  <c r="W335"/>
  <c r="V335"/>
  <c r="U335"/>
  <c r="DH334"/>
  <c r="DG334"/>
  <c r="DF334"/>
  <c r="CM334"/>
  <c r="BX334"/>
  <c r="BI334"/>
  <c r="BG334"/>
  <c r="AO334"/>
  <c r="AN334"/>
  <c r="AM334"/>
  <c r="X334"/>
  <c r="W334"/>
  <c r="V334"/>
  <c r="U334"/>
  <c r="CM333"/>
  <c r="BX333"/>
  <c r="BI333"/>
  <c r="BG333"/>
  <c r="AO333"/>
  <c r="AN333"/>
  <c r="AM333"/>
  <c r="X333"/>
  <c r="W333"/>
  <c r="V333"/>
  <c r="U333"/>
  <c r="DG332"/>
  <c r="DF332"/>
  <c r="BX332"/>
  <c r="BI332"/>
  <c r="BG332"/>
  <c r="AO332"/>
  <c r="AN332"/>
  <c r="AM332"/>
  <c r="X332"/>
  <c r="W332"/>
  <c r="V332"/>
  <c r="U332"/>
  <c r="DO331"/>
  <c r="DN331"/>
  <c r="DH331"/>
  <c r="DG331"/>
  <c r="DF331"/>
  <c r="DD331"/>
  <c r="DC331"/>
  <c r="CM331"/>
  <c r="BX331"/>
  <c r="BI331"/>
  <c r="BG331"/>
  <c r="AO331"/>
  <c r="AN331"/>
  <c r="AM331"/>
  <c r="X331"/>
  <c r="W331"/>
  <c r="V331"/>
  <c r="U331"/>
  <c r="DO330"/>
  <c r="DN330"/>
  <c r="DH330"/>
  <c r="DG330"/>
  <c r="DF330"/>
  <c r="DD330"/>
  <c r="DC330"/>
  <c r="CM330"/>
  <c r="BX330"/>
  <c r="BI330"/>
  <c r="BG330"/>
  <c r="AO330"/>
  <c r="AN330"/>
  <c r="AM330"/>
  <c r="X330"/>
  <c r="W330"/>
  <c r="V330"/>
  <c r="U330"/>
  <c r="DO329"/>
  <c r="DN329"/>
  <c r="DH329"/>
  <c r="DG329"/>
  <c r="DF329"/>
  <c r="DD329"/>
  <c r="DC329"/>
  <c r="CM329"/>
  <c r="BX329"/>
  <c r="BI329"/>
  <c r="BG329"/>
  <c r="AO329"/>
  <c r="AN329"/>
  <c r="AM329"/>
  <c r="X329"/>
  <c r="W329"/>
  <c r="V329"/>
  <c r="U329"/>
  <c r="DO328"/>
  <c r="DN328"/>
  <c r="DH328"/>
  <c r="DG328"/>
  <c r="DF328"/>
  <c r="DD328"/>
  <c r="DC328"/>
  <c r="CM328"/>
  <c r="BX328"/>
  <c r="BI328"/>
  <c r="BG328"/>
  <c r="AO328"/>
  <c r="AN328"/>
  <c r="AM328"/>
  <c r="X328"/>
  <c r="W328"/>
  <c r="V328"/>
  <c r="U328"/>
  <c r="DO327"/>
  <c r="DN327"/>
  <c r="DH327"/>
  <c r="DG327"/>
  <c r="DF327"/>
  <c r="DD327"/>
  <c r="DC327"/>
  <c r="CM327"/>
  <c r="BX327"/>
  <c r="BI327"/>
  <c r="BG327"/>
  <c r="AO327"/>
  <c r="AN327"/>
  <c r="AM327"/>
  <c r="X327"/>
  <c r="W327"/>
  <c r="V327"/>
  <c r="U327"/>
  <c r="DO326"/>
  <c r="DN326"/>
  <c r="DH326"/>
  <c r="DG326"/>
  <c r="DF326"/>
  <c r="DD326"/>
  <c r="DC326"/>
  <c r="BX326"/>
  <c r="BI326"/>
  <c r="BG326"/>
  <c r="X326"/>
  <c r="W326"/>
  <c r="V326"/>
  <c r="U326"/>
  <c r="DH325"/>
  <c r="DG325"/>
  <c r="DF325"/>
  <c r="BX325"/>
  <c r="BI325"/>
  <c r="BG325"/>
  <c r="AO325"/>
  <c r="AN325"/>
  <c r="AM325"/>
  <c r="X325"/>
  <c r="W325"/>
  <c r="V325"/>
  <c r="U325"/>
  <c r="DO324"/>
  <c r="DN324"/>
  <c r="DH324"/>
  <c r="DG324"/>
  <c r="DF324"/>
  <c r="DD324"/>
  <c r="DC324"/>
  <c r="CM324"/>
  <c r="BX324"/>
  <c r="BI324"/>
  <c r="BG324"/>
  <c r="AO324"/>
  <c r="AN324"/>
  <c r="AM324"/>
  <c r="X324"/>
  <c r="W324"/>
  <c r="V324"/>
  <c r="U324"/>
  <c r="DO323"/>
  <c r="DN323"/>
  <c r="DH323"/>
  <c r="DG323"/>
  <c r="DF323"/>
  <c r="CM323"/>
  <c r="BX323"/>
  <c r="BI323"/>
  <c r="BG323"/>
  <c r="AO323"/>
  <c r="AN323"/>
  <c r="AM323"/>
  <c r="X323"/>
  <c r="W323"/>
  <c r="V323"/>
  <c r="U323"/>
  <c r="DO322"/>
  <c r="DN322"/>
  <c r="CM322"/>
  <c r="BX322"/>
  <c r="BI322"/>
  <c r="BG322"/>
  <c r="AO322"/>
  <c r="AN322"/>
  <c r="AM322"/>
  <c r="X322"/>
  <c r="W322"/>
  <c r="V322"/>
  <c r="U322"/>
  <c r="DH321"/>
  <c r="DG321"/>
  <c r="DF321"/>
  <c r="DD321"/>
  <c r="DC321"/>
  <c r="CM321"/>
  <c r="BX321"/>
  <c r="BI321"/>
  <c r="BG321"/>
  <c r="AO321"/>
  <c r="AN321"/>
  <c r="AM321"/>
  <c r="X321"/>
  <c r="W321"/>
  <c r="V321"/>
  <c r="U321"/>
  <c r="DH320"/>
  <c r="DG320"/>
  <c r="DF320"/>
  <c r="DD320"/>
  <c r="DC320"/>
  <c r="BX320"/>
  <c r="BI320"/>
  <c r="BG320"/>
  <c r="AO320"/>
  <c r="AN320"/>
  <c r="AM320"/>
  <c r="X320"/>
  <c r="W320"/>
  <c r="V320"/>
  <c r="U320"/>
  <c r="DH319"/>
  <c r="BX319"/>
  <c r="BI319"/>
  <c r="BG319"/>
  <c r="X319"/>
  <c r="W319"/>
  <c r="V319"/>
  <c r="U319"/>
  <c r="DO318"/>
  <c r="DN318"/>
  <c r="DH318"/>
  <c r="DG318"/>
  <c r="DF318"/>
  <c r="DD318"/>
  <c r="DC318"/>
  <c r="CM318"/>
  <c r="BX318"/>
  <c r="BI318"/>
  <c r="BG318"/>
  <c r="AO318"/>
  <c r="AN318"/>
  <c r="AM318"/>
  <c r="X318"/>
  <c r="W318"/>
  <c r="V318"/>
  <c r="U318"/>
  <c r="DG317"/>
  <c r="DF317"/>
  <c r="DD317"/>
  <c r="DC317"/>
  <c r="CM317"/>
  <c r="BX317"/>
  <c r="BI317"/>
  <c r="BG317"/>
  <c r="AO317"/>
  <c r="AN317"/>
  <c r="AM317"/>
  <c r="DH316"/>
  <c r="DG316"/>
  <c r="DF316"/>
  <c r="CM316"/>
  <c r="BX316"/>
  <c r="BI316"/>
  <c r="BG316"/>
  <c r="DO315"/>
  <c r="DN315"/>
  <c r="DH315"/>
  <c r="DG315"/>
  <c r="DF315"/>
  <c r="DD315"/>
  <c r="DC315"/>
  <c r="CM315"/>
  <c r="BX315"/>
  <c r="BI315"/>
  <c r="BG315"/>
  <c r="AO315"/>
  <c r="AN315"/>
  <c r="AM315"/>
  <c r="X315"/>
  <c r="W315"/>
  <c r="V315"/>
  <c r="U315"/>
  <c r="DO314"/>
  <c r="DN314"/>
  <c r="DH314"/>
  <c r="DD314"/>
  <c r="DC314"/>
  <c r="CM314"/>
  <c r="BX314"/>
  <c r="BI314"/>
  <c r="BG314"/>
  <c r="AO314"/>
  <c r="AN314"/>
  <c r="AM314"/>
  <c r="X314"/>
  <c r="W314"/>
  <c r="V314"/>
  <c r="U314"/>
  <c r="DO313"/>
  <c r="DN313"/>
  <c r="DH313"/>
  <c r="DG313"/>
  <c r="DF313"/>
  <c r="DD313"/>
  <c r="DC313"/>
  <c r="CM313"/>
  <c r="BX313"/>
  <c r="BI313"/>
  <c r="BG313"/>
  <c r="AO313"/>
  <c r="AN313"/>
  <c r="AM313"/>
  <c r="X313"/>
  <c r="W313"/>
  <c r="V313"/>
  <c r="U313"/>
  <c r="DO312"/>
  <c r="DN312"/>
  <c r="DH312"/>
  <c r="DG312"/>
  <c r="DF312"/>
  <c r="DD312"/>
  <c r="DC312"/>
  <c r="CM312"/>
  <c r="BX312"/>
  <c r="BI312"/>
  <c r="BG312"/>
  <c r="AO312"/>
  <c r="AN312"/>
  <c r="AM312"/>
  <c r="X312"/>
  <c r="W312"/>
  <c r="V312"/>
  <c r="U312"/>
  <c r="DO311"/>
  <c r="DN311"/>
  <c r="DH311"/>
  <c r="DG311"/>
  <c r="DF311"/>
  <c r="DD311"/>
  <c r="DC311"/>
  <c r="CM311"/>
  <c r="BX311"/>
  <c r="BI311"/>
  <c r="BG311"/>
  <c r="AO311"/>
  <c r="AN311"/>
  <c r="AM311"/>
  <c r="X311"/>
  <c r="W311"/>
  <c r="V311"/>
  <c r="U311"/>
  <c r="DO310"/>
  <c r="DN310"/>
  <c r="DH310"/>
  <c r="DG310"/>
  <c r="DF310"/>
  <c r="DD310"/>
  <c r="DC310"/>
  <c r="CM310"/>
  <c r="BX310"/>
  <c r="BI310"/>
  <c r="BG310"/>
  <c r="AO310"/>
  <c r="AN310"/>
  <c r="AM310"/>
  <c r="X310"/>
  <c r="W310"/>
  <c r="V310"/>
  <c r="U310"/>
  <c r="DO309"/>
  <c r="DN309"/>
  <c r="DH309"/>
  <c r="DG309"/>
  <c r="DF309"/>
  <c r="DD309"/>
  <c r="DC309"/>
  <c r="CM309"/>
  <c r="BX309"/>
  <c r="BI309"/>
  <c r="BG309"/>
  <c r="AO309"/>
  <c r="AN309"/>
  <c r="AM309"/>
  <c r="X309"/>
  <c r="W309"/>
  <c r="V309"/>
  <c r="U309"/>
  <c r="DO308"/>
  <c r="DN308"/>
  <c r="DH308"/>
  <c r="DG308"/>
  <c r="DF308"/>
  <c r="DD308"/>
  <c r="DC308"/>
  <c r="CM308"/>
  <c r="BX308"/>
  <c r="BI308"/>
  <c r="BG308"/>
  <c r="DO307"/>
  <c r="DN307"/>
  <c r="DH307"/>
  <c r="DG307"/>
  <c r="DF307"/>
  <c r="DD307"/>
  <c r="DC307"/>
  <c r="CM307"/>
  <c r="BX307"/>
  <c r="BI307"/>
  <c r="BG307"/>
  <c r="AO307"/>
  <c r="AN307"/>
  <c r="AM307"/>
  <c r="X307"/>
  <c r="W307"/>
  <c r="V307"/>
  <c r="U307"/>
  <c r="DO306"/>
  <c r="DN306"/>
  <c r="DH306"/>
  <c r="DG306"/>
  <c r="DF306"/>
  <c r="DD306"/>
  <c r="DC306"/>
  <c r="CM306"/>
  <c r="BX306"/>
  <c r="BI306"/>
  <c r="BG306"/>
  <c r="AO306"/>
  <c r="AN306"/>
  <c r="AM306"/>
  <c r="X306"/>
  <c r="W306"/>
  <c r="V306"/>
  <c r="U306"/>
  <c r="DH305"/>
  <c r="DG305"/>
  <c r="DF305"/>
  <c r="DD305"/>
  <c r="DC305"/>
  <c r="CM305"/>
  <c r="BX305"/>
  <c r="BI305"/>
  <c r="BG305"/>
  <c r="AO305"/>
  <c r="AN305"/>
  <c r="AM305"/>
  <c r="X305"/>
  <c r="W305"/>
  <c r="V305"/>
  <c r="U305"/>
  <c r="DO304"/>
  <c r="DN304"/>
  <c r="DH304"/>
  <c r="DG304"/>
  <c r="DF304"/>
  <c r="DD304"/>
  <c r="DC304"/>
  <c r="CM304"/>
  <c r="BX304"/>
  <c r="BI304"/>
  <c r="BG304"/>
  <c r="AO304"/>
  <c r="AN304"/>
  <c r="AM304"/>
  <c r="X304"/>
  <c r="W304"/>
  <c r="V304"/>
  <c r="U304"/>
  <c r="DO303"/>
  <c r="DN303"/>
  <c r="DH303"/>
  <c r="DG303"/>
  <c r="DF303"/>
  <c r="DD303"/>
  <c r="DC303"/>
  <c r="CM303"/>
  <c r="BX303"/>
  <c r="BI303"/>
  <c r="BG303"/>
  <c r="AO303"/>
  <c r="AN303"/>
  <c r="AM303"/>
  <c r="X303"/>
  <c r="W303"/>
  <c r="V303"/>
  <c r="U303"/>
  <c r="DO302"/>
  <c r="DN302"/>
  <c r="DH302"/>
  <c r="DG302"/>
  <c r="DF302"/>
  <c r="BX302"/>
  <c r="DG301"/>
  <c r="DF301"/>
  <c r="DD301"/>
  <c r="DC301"/>
  <c r="CM301"/>
  <c r="BX301"/>
  <c r="BI301"/>
  <c r="BG301"/>
  <c r="AO301"/>
  <c r="AN301"/>
  <c r="AM301"/>
  <c r="DO300"/>
  <c r="DN300"/>
  <c r="DH300"/>
  <c r="DG300"/>
  <c r="DF300"/>
  <c r="DD300"/>
  <c r="DC300"/>
  <c r="BX300"/>
  <c r="BI300"/>
  <c r="BG300"/>
  <c r="X300"/>
  <c r="W300"/>
  <c r="V300"/>
  <c r="U300"/>
  <c r="DH299"/>
  <c r="BX299"/>
  <c r="BI299"/>
  <c r="BG299"/>
  <c r="AO299"/>
  <c r="AN299"/>
  <c r="AM299"/>
  <c r="X299"/>
  <c r="W299"/>
  <c r="V299"/>
  <c r="U299"/>
  <c r="DH298"/>
  <c r="DG298"/>
  <c r="DF298"/>
  <c r="CM298"/>
  <c r="BX298"/>
  <c r="BI298"/>
  <c r="BG298"/>
  <c r="AO298"/>
  <c r="AN298"/>
  <c r="AM298"/>
  <c r="DO297"/>
  <c r="DN297"/>
  <c r="DH297"/>
  <c r="DG297"/>
  <c r="DF297"/>
  <c r="DD297"/>
  <c r="DC297"/>
  <c r="CM297"/>
  <c r="BX297"/>
  <c r="BI297"/>
  <c r="BG297"/>
  <c r="AO297"/>
  <c r="AN297"/>
  <c r="AM297"/>
  <c r="X297"/>
  <c r="W297"/>
  <c r="V297"/>
  <c r="U297"/>
  <c r="DH296"/>
  <c r="DG296"/>
  <c r="DF296"/>
  <c r="DD296"/>
  <c r="DC296"/>
  <c r="CM296"/>
  <c r="BX296"/>
  <c r="BI296"/>
  <c r="BG296"/>
  <c r="AO296"/>
  <c r="AN296"/>
  <c r="AM296"/>
  <c r="X296"/>
  <c r="W296"/>
  <c r="V296"/>
  <c r="U296"/>
  <c r="DH295"/>
  <c r="DG295"/>
  <c r="DF295"/>
  <c r="DD295"/>
  <c r="DC295"/>
  <c r="CM295"/>
  <c r="BX295"/>
  <c r="BI295"/>
  <c r="BG295"/>
  <c r="AO295"/>
  <c r="AN295"/>
  <c r="AM295"/>
  <c r="X295"/>
  <c r="W295"/>
  <c r="V295"/>
  <c r="U295"/>
  <c r="DO294"/>
  <c r="DN294"/>
  <c r="DH294"/>
  <c r="DG294"/>
  <c r="DF294"/>
  <c r="DD294"/>
  <c r="DC294"/>
  <c r="CM294"/>
  <c r="BX294"/>
  <c r="BI294"/>
  <c r="BG294"/>
  <c r="AO294"/>
  <c r="AN294"/>
  <c r="AM294"/>
  <c r="X294"/>
  <c r="W294"/>
  <c r="V294"/>
  <c r="U294"/>
  <c r="DG293"/>
  <c r="DF293"/>
  <c r="DD293"/>
  <c r="DC293"/>
  <c r="CM293"/>
  <c r="BX293"/>
  <c r="BI293"/>
  <c r="BG293"/>
  <c r="AO293"/>
  <c r="AN293"/>
  <c r="AM293"/>
  <c r="X293"/>
  <c r="W293"/>
  <c r="V293"/>
  <c r="U293"/>
  <c r="DO292"/>
  <c r="DN292"/>
  <c r="DH292"/>
  <c r="DG292"/>
  <c r="DF292"/>
  <c r="DD292"/>
  <c r="DC292"/>
  <c r="CM292"/>
  <c r="BX292"/>
  <c r="BI292"/>
  <c r="BG292"/>
  <c r="AO292"/>
  <c r="AN292"/>
  <c r="AM292"/>
  <c r="X292"/>
  <c r="W292"/>
  <c r="V292"/>
  <c r="U292"/>
  <c r="DO291"/>
  <c r="DN291"/>
  <c r="DH291"/>
  <c r="DG291"/>
  <c r="DF291"/>
  <c r="DD291"/>
  <c r="DC291"/>
  <c r="CM291"/>
  <c r="BX291"/>
  <c r="BI291"/>
  <c r="BG291"/>
  <c r="AO291"/>
  <c r="AN291"/>
  <c r="AM291"/>
  <c r="X291"/>
  <c r="W291"/>
  <c r="V291"/>
  <c r="U291"/>
  <c r="DO290"/>
  <c r="DN290"/>
  <c r="DH290"/>
  <c r="DG290"/>
  <c r="DF290"/>
  <c r="DD290"/>
  <c r="DC290"/>
  <c r="CM290"/>
  <c r="BX290"/>
  <c r="BI290"/>
  <c r="BG290"/>
  <c r="X290"/>
  <c r="W290"/>
  <c r="V290"/>
  <c r="U290"/>
  <c r="DO289"/>
  <c r="DN289"/>
  <c r="DH289"/>
  <c r="DG289"/>
  <c r="DF289"/>
  <c r="CM289"/>
  <c r="BX289"/>
  <c r="BI289"/>
  <c r="BG289"/>
  <c r="AO289"/>
  <c r="AN289"/>
  <c r="AM289"/>
  <c r="X289"/>
  <c r="W289"/>
  <c r="V289"/>
  <c r="U289"/>
  <c r="DO288"/>
  <c r="DN288"/>
  <c r="DH288"/>
  <c r="DG288"/>
  <c r="DF288"/>
  <c r="DD288"/>
  <c r="DC288"/>
  <c r="CM288"/>
  <c r="BX288"/>
  <c r="BI288"/>
  <c r="BG288"/>
  <c r="X288"/>
  <c r="W288"/>
  <c r="V288"/>
  <c r="U288"/>
  <c r="DO287"/>
  <c r="DN287"/>
  <c r="CM287"/>
  <c r="BX287"/>
  <c r="BI287"/>
  <c r="BG287"/>
  <c r="AO287"/>
  <c r="AN287"/>
  <c r="AM287"/>
  <c r="X287"/>
  <c r="W287"/>
  <c r="V287"/>
  <c r="U287"/>
  <c r="DH286"/>
  <c r="DG286"/>
  <c r="DF286"/>
  <c r="DD286"/>
  <c r="DC286"/>
  <c r="CM286"/>
  <c r="BX286"/>
  <c r="BI286"/>
  <c r="BG286"/>
  <c r="AO286"/>
  <c r="AN286"/>
  <c r="AM286"/>
  <c r="X286"/>
  <c r="W286"/>
  <c r="V286"/>
  <c r="U286"/>
  <c r="DO285"/>
  <c r="DN285"/>
  <c r="DH285"/>
  <c r="DG285"/>
  <c r="DF285"/>
  <c r="DD285"/>
  <c r="DC285"/>
  <c r="CM285"/>
  <c r="BX285"/>
  <c r="BI285"/>
  <c r="BG285"/>
  <c r="X285"/>
  <c r="W285"/>
  <c r="V285"/>
  <c r="U285"/>
  <c r="DO284"/>
  <c r="DN284"/>
  <c r="DH284"/>
  <c r="DG284"/>
  <c r="DF284"/>
  <c r="DD284"/>
  <c r="DC284"/>
  <c r="BX284"/>
  <c r="BI284"/>
  <c r="BG284"/>
  <c r="DO283"/>
  <c r="DN283"/>
  <c r="DH283"/>
  <c r="DG283"/>
  <c r="DF283"/>
  <c r="DD283"/>
  <c r="DC283"/>
  <c r="CM283"/>
  <c r="BX283"/>
  <c r="BI283"/>
  <c r="BG283"/>
  <c r="AO283"/>
  <c r="AN283"/>
  <c r="AM283"/>
  <c r="X283"/>
  <c r="W283"/>
  <c r="V283"/>
  <c r="U283"/>
  <c r="DO282"/>
  <c r="DN282"/>
  <c r="DH282"/>
  <c r="DG282"/>
  <c r="DF282"/>
  <c r="DD282"/>
  <c r="DC282"/>
  <c r="CM282"/>
  <c r="BX282"/>
  <c r="BI282"/>
  <c r="BG282"/>
  <c r="AO282"/>
  <c r="AN282"/>
  <c r="AM282"/>
  <c r="X282"/>
  <c r="W282"/>
  <c r="V282"/>
  <c r="U282"/>
  <c r="DO281"/>
  <c r="DN281"/>
  <c r="DH281"/>
  <c r="DG281"/>
  <c r="DF281"/>
  <c r="DD281"/>
  <c r="DC281"/>
  <c r="BX281"/>
  <c r="BI281"/>
  <c r="BG281"/>
  <c r="AO281"/>
  <c r="AN281"/>
  <c r="AM281"/>
  <c r="DO280"/>
  <c r="DN280"/>
  <c r="DH280"/>
  <c r="DG280"/>
  <c r="DF280"/>
  <c r="DD280"/>
  <c r="DC280"/>
  <c r="CM280"/>
  <c r="BX280"/>
  <c r="BI280"/>
  <c r="BG280"/>
  <c r="X280"/>
  <c r="W280"/>
  <c r="V280"/>
  <c r="U280"/>
  <c r="DO279"/>
  <c r="DN279"/>
  <c r="DH279"/>
  <c r="DG279"/>
  <c r="DF279"/>
  <c r="DD279"/>
  <c r="DC279"/>
  <c r="BX279"/>
  <c r="DH278"/>
  <c r="CM278"/>
  <c r="BX278"/>
  <c r="BI278"/>
  <c r="BG278"/>
  <c r="AO278"/>
  <c r="AN278"/>
  <c r="AM278"/>
  <c r="X278"/>
  <c r="W278"/>
  <c r="V278"/>
  <c r="U278"/>
  <c r="DO277"/>
  <c r="DN277"/>
  <c r="DH277"/>
  <c r="DG277"/>
  <c r="DF277"/>
  <c r="DD277"/>
  <c r="DC277"/>
  <c r="CM277"/>
  <c r="BX277"/>
  <c r="BI277"/>
  <c r="BG277"/>
  <c r="AO277"/>
  <c r="AN277"/>
  <c r="AM277"/>
  <c r="X277"/>
  <c r="W277"/>
  <c r="V277"/>
  <c r="U277"/>
  <c r="DH276"/>
  <c r="DG276"/>
  <c r="DF276"/>
  <c r="DD276"/>
  <c r="DC276"/>
  <c r="CM276"/>
  <c r="BX276"/>
  <c r="BI276"/>
  <c r="BG276"/>
  <c r="AO276"/>
  <c r="AN276"/>
  <c r="AM276"/>
  <c r="X276"/>
  <c r="W276"/>
  <c r="V276"/>
  <c r="U276"/>
  <c r="DO275"/>
  <c r="DN275"/>
  <c r="DH275"/>
  <c r="CM275"/>
  <c r="BX275"/>
  <c r="BI275"/>
  <c r="BG275"/>
  <c r="AO275"/>
  <c r="AN275"/>
  <c r="AM275"/>
  <c r="X275"/>
  <c r="W275"/>
  <c r="V275"/>
  <c r="U275"/>
  <c r="DO274"/>
  <c r="DN274"/>
  <c r="DH274"/>
  <c r="DG274"/>
  <c r="DF274"/>
  <c r="DD274"/>
  <c r="DC274"/>
  <c r="CM274"/>
  <c r="BX274"/>
  <c r="BI274"/>
  <c r="BG274"/>
  <c r="AO274"/>
  <c r="AN274"/>
  <c r="AM274"/>
  <c r="X274"/>
  <c r="W274"/>
  <c r="V274"/>
  <c r="U274"/>
  <c r="DH273"/>
  <c r="DG273"/>
  <c r="DF273"/>
  <c r="DD273"/>
  <c r="DC273"/>
  <c r="BX273"/>
  <c r="BI273"/>
  <c r="BG273"/>
  <c r="DO272"/>
  <c r="DN272"/>
  <c r="DH272"/>
  <c r="DG272"/>
  <c r="DF272"/>
  <c r="DD272"/>
  <c r="DC272"/>
  <c r="CM272"/>
  <c r="BX272"/>
  <c r="BI272"/>
  <c r="BG272"/>
  <c r="AO272"/>
  <c r="AN272"/>
  <c r="AM272"/>
  <c r="X272"/>
  <c r="W272"/>
  <c r="V272"/>
  <c r="U272"/>
  <c r="DO271"/>
  <c r="DN271"/>
  <c r="DH271"/>
  <c r="DG271"/>
  <c r="DF271"/>
  <c r="DD271"/>
  <c r="DC271"/>
  <c r="CM271"/>
  <c r="BX271"/>
  <c r="BI271"/>
  <c r="BG271"/>
  <c r="AO271"/>
  <c r="AN271"/>
  <c r="AM271"/>
  <c r="X271"/>
  <c r="W271"/>
  <c r="V271"/>
  <c r="U271"/>
  <c r="DH270"/>
  <c r="DG270"/>
  <c r="DF270"/>
  <c r="DD270"/>
  <c r="DC270"/>
  <c r="CM270"/>
  <c r="BX270"/>
  <c r="BI270"/>
  <c r="BG270"/>
  <c r="AO270"/>
  <c r="AN270"/>
  <c r="AM270"/>
  <c r="X270"/>
  <c r="W270"/>
  <c r="V270"/>
  <c r="U270"/>
  <c r="DG269"/>
  <c r="DF269"/>
  <c r="CM269"/>
  <c r="BX269"/>
  <c r="BI269"/>
  <c r="BG269"/>
  <c r="AO269"/>
  <c r="AN269"/>
  <c r="AM269"/>
  <c r="X269"/>
  <c r="W269"/>
  <c r="V269"/>
  <c r="U269"/>
  <c r="DO268"/>
  <c r="DN268"/>
  <c r="DH268"/>
  <c r="DG268"/>
  <c r="DF268"/>
  <c r="DD268"/>
  <c r="DC268"/>
  <c r="CM268"/>
  <c r="BX268"/>
  <c r="BI268"/>
  <c r="BG268"/>
  <c r="AO268"/>
  <c r="AN268"/>
  <c r="AM268"/>
  <c r="X268"/>
  <c r="W268"/>
  <c r="V268"/>
  <c r="U268"/>
  <c r="DO267"/>
  <c r="DN267"/>
  <c r="DH267"/>
  <c r="DG267"/>
  <c r="DF267"/>
  <c r="DD267"/>
  <c r="DC267"/>
  <c r="CM267"/>
  <c r="BX267"/>
  <c r="BI267"/>
  <c r="BG267"/>
  <c r="X267"/>
  <c r="W267"/>
  <c r="V267"/>
  <c r="U267"/>
  <c r="DG266"/>
  <c r="DF266"/>
  <c r="CM266"/>
  <c r="BX266"/>
  <c r="BI266"/>
  <c r="BG266"/>
  <c r="AO266"/>
  <c r="AN266"/>
  <c r="AM266"/>
  <c r="X266"/>
  <c r="W266"/>
  <c r="V266"/>
  <c r="U266"/>
  <c r="DO265"/>
  <c r="DN265"/>
  <c r="DH265"/>
  <c r="DG265"/>
  <c r="DF265"/>
  <c r="DD265"/>
  <c r="DC265"/>
  <c r="CM265"/>
  <c r="BX265"/>
  <c r="BI265"/>
  <c r="BG265"/>
  <c r="AO265"/>
  <c r="AN265"/>
  <c r="AM265"/>
  <c r="X265"/>
  <c r="W265"/>
  <c r="V265"/>
  <c r="U265"/>
  <c r="DO264"/>
  <c r="DN264"/>
  <c r="DH264"/>
  <c r="DG264"/>
  <c r="DF264"/>
  <c r="DD264"/>
  <c r="DC264"/>
  <c r="CM264"/>
  <c r="BX264"/>
  <c r="BI264"/>
  <c r="BG264"/>
  <c r="AO264"/>
  <c r="AN264"/>
  <c r="AM264"/>
  <c r="X264"/>
  <c r="W264"/>
  <c r="V264"/>
  <c r="U264"/>
  <c r="DH263"/>
  <c r="DG263"/>
  <c r="DF263"/>
  <c r="DD263"/>
  <c r="DC263"/>
  <c r="CM263"/>
  <c r="BX263"/>
  <c r="BI263"/>
  <c r="BG263"/>
  <c r="AO263"/>
  <c r="AN263"/>
  <c r="AM263"/>
  <c r="X263"/>
  <c r="W263"/>
  <c r="V263"/>
  <c r="U263"/>
  <c r="DO262"/>
  <c r="DN262"/>
  <c r="DH262"/>
  <c r="DG262"/>
  <c r="DF262"/>
  <c r="DD262"/>
  <c r="DC262"/>
  <c r="CM262"/>
  <c r="BX262"/>
  <c r="BI262"/>
  <c r="BG262"/>
  <c r="AO262"/>
  <c r="AN262"/>
  <c r="AM262"/>
  <c r="X262"/>
  <c r="W262"/>
  <c r="V262"/>
  <c r="U262"/>
  <c r="DH261"/>
  <c r="DG261"/>
  <c r="DF261"/>
  <c r="DD261"/>
  <c r="DC261"/>
  <c r="CM261"/>
  <c r="BX261"/>
  <c r="BI261"/>
  <c r="BG261"/>
  <c r="AO261"/>
  <c r="AN261"/>
  <c r="AM261"/>
  <c r="X261"/>
  <c r="W261"/>
  <c r="V261"/>
  <c r="U261"/>
  <c r="DO260"/>
  <c r="DN260"/>
  <c r="DH260"/>
  <c r="DG260"/>
  <c r="DF260"/>
  <c r="DD260"/>
  <c r="DC260"/>
  <c r="CM260"/>
  <c r="BX260"/>
  <c r="BI260"/>
  <c r="BG260"/>
  <c r="AO260"/>
  <c r="AN260"/>
  <c r="AM260"/>
  <c r="X260"/>
  <c r="W260"/>
  <c r="V260"/>
  <c r="U260"/>
  <c r="DO259"/>
  <c r="DN259"/>
  <c r="DH259"/>
  <c r="DG259"/>
  <c r="DF259"/>
  <c r="DD259"/>
  <c r="DC259"/>
  <c r="CM259"/>
  <c r="BX259"/>
  <c r="BI259"/>
  <c r="BG259"/>
  <c r="AO259"/>
  <c r="AN259"/>
  <c r="AM259"/>
  <c r="X259"/>
  <c r="W259"/>
  <c r="V259"/>
  <c r="U259"/>
  <c r="DO258"/>
  <c r="DN258"/>
  <c r="DD258"/>
  <c r="DC258"/>
  <c r="CM258"/>
  <c r="BX258"/>
  <c r="BI258"/>
  <c r="BG258"/>
  <c r="X258"/>
  <c r="W258"/>
  <c r="V258"/>
  <c r="U258"/>
  <c r="DO257"/>
  <c r="DN257"/>
  <c r="DH257"/>
  <c r="DG257"/>
  <c r="DF257"/>
  <c r="DD257"/>
  <c r="DC257"/>
  <c r="CM257"/>
  <c r="BX257"/>
  <c r="BI257"/>
  <c r="BG257"/>
  <c r="AO257"/>
  <c r="AN257"/>
  <c r="AM257"/>
  <c r="X257"/>
  <c r="W257"/>
  <c r="V257"/>
  <c r="U257"/>
  <c r="DO256"/>
  <c r="DN256"/>
  <c r="DH256"/>
  <c r="DG256"/>
  <c r="DF256"/>
  <c r="DD256"/>
  <c r="DC256"/>
  <c r="CM256"/>
  <c r="BX256"/>
  <c r="BI256"/>
  <c r="BG256"/>
  <c r="AO256"/>
  <c r="AN256"/>
  <c r="AM256"/>
  <c r="X256"/>
  <c r="W256"/>
  <c r="V256"/>
  <c r="U256"/>
  <c r="DO255"/>
  <c r="DN255"/>
  <c r="DH255"/>
  <c r="DG255"/>
  <c r="DF255"/>
  <c r="CM255"/>
  <c r="BX255"/>
  <c r="BI255"/>
  <c r="BG255"/>
  <c r="AO255"/>
  <c r="AN255"/>
  <c r="AM255"/>
  <c r="X255"/>
  <c r="W255"/>
  <c r="V255"/>
  <c r="U255"/>
  <c r="DH254"/>
  <c r="DG254"/>
  <c r="DF254"/>
  <c r="DD254"/>
  <c r="DC254"/>
  <c r="CM254"/>
  <c r="BX254"/>
  <c r="BI254"/>
  <c r="BG254"/>
  <c r="AO254"/>
  <c r="AN254"/>
  <c r="AM254"/>
  <c r="X254"/>
  <c r="W254"/>
  <c r="V254"/>
  <c r="U254"/>
  <c r="DO253"/>
  <c r="DN253"/>
  <c r="DH253"/>
  <c r="DG253"/>
  <c r="DF253"/>
  <c r="DD253"/>
  <c r="DC253"/>
  <c r="CM253"/>
  <c r="BX253"/>
  <c r="BI253"/>
  <c r="BG253"/>
  <c r="AO253"/>
  <c r="AN253"/>
  <c r="AM253"/>
  <c r="X253"/>
  <c r="W253"/>
  <c r="V253"/>
  <c r="U253"/>
  <c r="DO252"/>
  <c r="DN252"/>
  <c r="DH252"/>
  <c r="DG252"/>
  <c r="DF252"/>
  <c r="DD252"/>
  <c r="DC252"/>
  <c r="BX252"/>
  <c r="AO252"/>
  <c r="AN252"/>
  <c r="AM252"/>
  <c r="DO251"/>
  <c r="DN251"/>
  <c r="DH251"/>
  <c r="DG251"/>
  <c r="DF251"/>
  <c r="DD251"/>
  <c r="DC251"/>
  <c r="CM251"/>
  <c r="BX251"/>
  <c r="BI251"/>
  <c r="BG251"/>
  <c r="AO251"/>
  <c r="AN251"/>
  <c r="AM251"/>
  <c r="X251"/>
  <c r="W251"/>
  <c r="V251"/>
  <c r="U251"/>
  <c r="DH250"/>
  <c r="DG250"/>
  <c r="DF250"/>
  <c r="DD250"/>
  <c r="DC250"/>
  <c r="CM250"/>
  <c r="BX250"/>
  <c r="BI250"/>
  <c r="BG250"/>
  <c r="AO250"/>
  <c r="AN250"/>
  <c r="AM250"/>
  <c r="X250"/>
  <c r="W250"/>
  <c r="V250"/>
  <c r="U250"/>
  <c r="DO249"/>
  <c r="DN249"/>
  <c r="DH249"/>
  <c r="DG249"/>
  <c r="DF249"/>
  <c r="DD249"/>
  <c r="DC249"/>
  <c r="CM249"/>
  <c r="BX249"/>
  <c r="BI249"/>
  <c r="BG249"/>
  <c r="AO249"/>
  <c r="AN249"/>
  <c r="AM249"/>
  <c r="X249"/>
  <c r="W249"/>
  <c r="V249"/>
  <c r="U249"/>
  <c r="DH248"/>
  <c r="DG248"/>
  <c r="DF248"/>
  <c r="DD248"/>
  <c r="DC248"/>
  <c r="CM248"/>
  <c r="BX248"/>
  <c r="AO248"/>
  <c r="AN248"/>
  <c r="AM248"/>
  <c r="DO247"/>
  <c r="DN247"/>
  <c r="DG247"/>
  <c r="DF247"/>
  <c r="CM247"/>
  <c r="BX247"/>
  <c r="BI247"/>
  <c r="BG247"/>
  <c r="AO247"/>
  <c r="AN247"/>
  <c r="AM247"/>
  <c r="X247"/>
  <c r="W247"/>
  <c r="V247"/>
  <c r="U247"/>
  <c r="DO246"/>
  <c r="DN246"/>
  <c r="DG246"/>
  <c r="DF246"/>
  <c r="DD246"/>
  <c r="DC246"/>
  <c r="CM246"/>
  <c r="BX246"/>
  <c r="BI246"/>
  <c r="BG246"/>
  <c r="AO246"/>
  <c r="AN246"/>
  <c r="AM246"/>
  <c r="X246"/>
  <c r="W246"/>
  <c r="V246"/>
  <c r="U246"/>
  <c r="DO245"/>
  <c r="DN245"/>
  <c r="DH245"/>
  <c r="DG245"/>
  <c r="DF245"/>
  <c r="DD245"/>
  <c r="DC245"/>
  <c r="CM245"/>
  <c r="BX245"/>
  <c r="BI245"/>
  <c r="BG245"/>
  <c r="AO245"/>
  <c r="AN245"/>
  <c r="AM245"/>
  <c r="X245"/>
  <c r="W245"/>
  <c r="V245"/>
  <c r="U245"/>
  <c r="DO244"/>
  <c r="DN244"/>
  <c r="DH244"/>
  <c r="DG244"/>
  <c r="DF244"/>
  <c r="DD244"/>
  <c r="DC244"/>
  <c r="CM244"/>
  <c r="BX244"/>
  <c r="BI244"/>
  <c r="BG244"/>
  <c r="AO244"/>
  <c r="AN244"/>
  <c r="AM244"/>
  <c r="X244"/>
  <c r="W244"/>
  <c r="V244"/>
  <c r="U244"/>
  <c r="DO243"/>
  <c r="DN243"/>
  <c r="DH243"/>
  <c r="DG243"/>
  <c r="DF243"/>
  <c r="DD243"/>
  <c r="DC243"/>
  <c r="CM243"/>
  <c r="BX243"/>
  <c r="BI243"/>
  <c r="BG243"/>
  <c r="AO243"/>
  <c r="AN243"/>
  <c r="AM243"/>
  <c r="X243"/>
  <c r="W243"/>
  <c r="V243"/>
  <c r="U243"/>
  <c r="BX242"/>
  <c r="BI242"/>
  <c r="BG242"/>
  <c r="AO242"/>
  <c r="AN242"/>
  <c r="AM242"/>
  <c r="X242"/>
  <c r="W242"/>
  <c r="V242"/>
  <c r="U242"/>
  <c r="DO241"/>
  <c r="DN241"/>
  <c r="DH241"/>
  <c r="DG241"/>
  <c r="DF241"/>
  <c r="DD241"/>
  <c r="DC241"/>
  <c r="CM241"/>
  <c r="BX241"/>
  <c r="BI241"/>
  <c r="BG241"/>
  <c r="AO241"/>
  <c r="AN241"/>
  <c r="AM241"/>
  <c r="X241"/>
  <c r="W241"/>
  <c r="V241"/>
  <c r="U241"/>
  <c r="DO240"/>
  <c r="DN240"/>
  <c r="DH240"/>
  <c r="DG240"/>
  <c r="DF240"/>
  <c r="DD240"/>
  <c r="DC240"/>
  <c r="BX240"/>
  <c r="DO239"/>
  <c r="DN239"/>
  <c r="DH239"/>
  <c r="DG239"/>
  <c r="DF239"/>
  <c r="DD239"/>
  <c r="DC239"/>
  <c r="CM239"/>
  <c r="BX239"/>
  <c r="BI239"/>
  <c r="BG239"/>
  <c r="AO239"/>
  <c r="AN239"/>
  <c r="AM239"/>
  <c r="X239"/>
  <c r="W239"/>
  <c r="V239"/>
  <c r="U239"/>
  <c r="DH238"/>
  <c r="DG238"/>
  <c r="DF238"/>
  <c r="DD238"/>
  <c r="DC238"/>
  <c r="CM238"/>
  <c r="BX238"/>
  <c r="BI238"/>
  <c r="BG238"/>
  <c r="AO238"/>
  <c r="AN238"/>
  <c r="AM238"/>
  <c r="X238"/>
  <c r="W238"/>
  <c r="V238"/>
  <c r="U238"/>
  <c r="DO237"/>
  <c r="DN237"/>
  <c r="DH237"/>
  <c r="DG237"/>
  <c r="DF237"/>
  <c r="DD237"/>
  <c r="DC237"/>
  <c r="CM237"/>
  <c r="BX237"/>
  <c r="BI237"/>
  <c r="BG237"/>
  <c r="X237"/>
  <c r="W237"/>
  <c r="V237"/>
  <c r="U237"/>
  <c r="DO236"/>
  <c r="DN236"/>
  <c r="BX236"/>
  <c r="BI236"/>
  <c r="BG236"/>
  <c r="DH235"/>
  <c r="DG235"/>
  <c r="DF235"/>
  <c r="DD235"/>
  <c r="DC235"/>
  <c r="CM235"/>
  <c r="BX235"/>
  <c r="BI235"/>
  <c r="BG235"/>
  <c r="AO235"/>
  <c r="AN235"/>
  <c r="AM235"/>
  <c r="X235"/>
  <c r="W235"/>
  <c r="V235"/>
  <c r="U235"/>
  <c r="DG234"/>
  <c r="DF234"/>
  <c r="BX234"/>
  <c r="BI234"/>
  <c r="BG234"/>
  <c r="AO234"/>
  <c r="AN234"/>
  <c r="AM234"/>
  <c r="X234"/>
  <c r="W234"/>
  <c r="V234"/>
  <c r="U234"/>
  <c r="DO233"/>
  <c r="DN233"/>
  <c r="DH233"/>
  <c r="DG233"/>
  <c r="DF233"/>
  <c r="DD233"/>
  <c r="DC233"/>
  <c r="CM233"/>
  <c r="BX233"/>
  <c r="BI233"/>
  <c r="BG233"/>
  <c r="AO233"/>
  <c r="AN233"/>
  <c r="AM233"/>
  <c r="X233"/>
  <c r="W233"/>
  <c r="V233"/>
  <c r="U233"/>
  <c r="DG232"/>
  <c r="DF232"/>
  <c r="CM232"/>
  <c r="BX232"/>
  <c r="BI232"/>
  <c r="BG232"/>
  <c r="AO232"/>
  <c r="AN232"/>
  <c r="AM232"/>
  <c r="X232"/>
  <c r="W232"/>
  <c r="V232"/>
  <c r="U232"/>
  <c r="DH231"/>
  <c r="DG231"/>
  <c r="DF231"/>
  <c r="DD231"/>
  <c r="DC231"/>
  <c r="CM231"/>
  <c r="BX231"/>
  <c r="BI231"/>
  <c r="BG231"/>
  <c r="AO231"/>
  <c r="AN231"/>
  <c r="AM231"/>
  <c r="X231"/>
  <c r="W231"/>
  <c r="V231"/>
  <c r="U231"/>
  <c r="DH230"/>
  <c r="DG230"/>
  <c r="DF230"/>
  <c r="DD230"/>
  <c r="DC230"/>
  <c r="CM230"/>
  <c r="BX230"/>
  <c r="BI230"/>
  <c r="BG230"/>
  <c r="AO230"/>
  <c r="AN230"/>
  <c r="AM230"/>
  <c r="X230"/>
  <c r="W230"/>
  <c r="V230"/>
  <c r="U230"/>
  <c r="DO229"/>
  <c r="DN229"/>
  <c r="DH229"/>
  <c r="DG229"/>
  <c r="DF229"/>
  <c r="DD229"/>
  <c r="DC229"/>
  <c r="CM229"/>
  <c r="BX229"/>
  <c r="AO229"/>
  <c r="AN229"/>
  <c r="AM229"/>
  <c r="X229"/>
  <c r="W229"/>
  <c r="V229"/>
  <c r="U229"/>
  <c r="DO228"/>
  <c r="DN228"/>
  <c r="DG228"/>
  <c r="DF228"/>
  <c r="DD228"/>
  <c r="DC228"/>
  <c r="CM228"/>
  <c r="BX228"/>
  <c r="BI228"/>
  <c r="BG228"/>
  <c r="AO228"/>
  <c r="AN228"/>
  <c r="AM228"/>
  <c r="X228"/>
  <c r="W228"/>
  <c r="V228"/>
  <c r="U228"/>
  <c r="DO227"/>
  <c r="DN227"/>
  <c r="DH227"/>
  <c r="DG227"/>
  <c r="DF227"/>
  <c r="DD227"/>
  <c r="DC227"/>
  <c r="CM227"/>
  <c r="BX227"/>
  <c r="BI227"/>
  <c r="BG227"/>
  <c r="AO227"/>
  <c r="AN227"/>
  <c r="AM227"/>
  <c r="X227"/>
  <c r="W227"/>
  <c r="V227"/>
  <c r="U227"/>
  <c r="DH226"/>
  <c r="DG226"/>
  <c r="DF226"/>
  <c r="DD226"/>
  <c r="DC226"/>
  <c r="CM226"/>
  <c r="BX226"/>
  <c r="BI226"/>
  <c r="BG226"/>
  <c r="AO226"/>
  <c r="AN226"/>
  <c r="AM226"/>
  <c r="X226"/>
  <c r="W226"/>
  <c r="V226"/>
  <c r="U226"/>
  <c r="DO225"/>
  <c r="DN225"/>
  <c r="DG225"/>
  <c r="DF225"/>
  <c r="CM225"/>
  <c r="BX225"/>
  <c r="X225"/>
  <c r="W225"/>
  <c r="V225"/>
  <c r="U225"/>
  <c r="DO224"/>
  <c r="DN224"/>
  <c r="DH224"/>
  <c r="DG224"/>
  <c r="DF224"/>
  <c r="DD224"/>
  <c r="DC224"/>
  <c r="CM224"/>
  <c r="BX224"/>
  <c r="BI224"/>
  <c r="BG224"/>
  <c r="AO224"/>
  <c r="AN224"/>
  <c r="AM224"/>
  <c r="X224"/>
  <c r="W224"/>
  <c r="V224"/>
  <c r="U224"/>
  <c r="CM223"/>
  <c r="BX223"/>
  <c r="BI223"/>
  <c r="BG223"/>
  <c r="X223"/>
  <c r="W223"/>
  <c r="V223"/>
  <c r="U223"/>
  <c r="DO222"/>
  <c r="DN222"/>
  <c r="DH222"/>
  <c r="DG222"/>
  <c r="DF222"/>
  <c r="DD222"/>
  <c r="DC222"/>
  <c r="CM222"/>
  <c r="BX222"/>
  <c r="AO222"/>
  <c r="AN222"/>
  <c r="AM222"/>
  <c r="DG221"/>
  <c r="DF221"/>
  <c r="DD221"/>
  <c r="DC221"/>
  <c r="CM221"/>
  <c r="BX221"/>
  <c r="BI221"/>
  <c r="BG221"/>
  <c r="AO221"/>
  <c r="AN221"/>
  <c r="AM221"/>
  <c r="X221"/>
  <c r="W221"/>
  <c r="V221"/>
  <c r="U221"/>
  <c r="DO220"/>
  <c r="DN220"/>
  <c r="DH220"/>
  <c r="DG220"/>
  <c r="DF220"/>
  <c r="DD220"/>
  <c r="DC220"/>
  <c r="CM220"/>
  <c r="BX220"/>
  <c r="BI220"/>
  <c r="BG220"/>
  <c r="AO220"/>
  <c r="AN220"/>
  <c r="AM220"/>
  <c r="X220"/>
  <c r="W220"/>
  <c r="V220"/>
  <c r="U220"/>
  <c r="DO219"/>
  <c r="DN219"/>
  <c r="DG219"/>
  <c r="DF219"/>
  <c r="DD219"/>
  <c r="DC219"/>
  <c r="CM219"/>
  <c r="BX219"/>
  <c r="BI219"/>
  <c r="BG219"/>
  <c r="AO219"/>
  <c r="AN219"/>
  <c r="AM219"/>
  <c r="X219"/>
  <c r="W219"/>
  <c r="V219"/>
  <c r="U219"/>
  <c r="DO218"/>
  <c r="DN218"/>
  <c r="DH218"/>
  <c r="DG218"/>
  <c r="DF218"/>
  <c r="DD218"/>
  <c r="DC218"/>
  <c r="CM218"/>
  <c r="BX218"/>
  <c r="BI218"/>
  <c r="BG218"/>
  <c r="AO218"/>
  <c r="AN218"/>
  <c r="AM218"/>
  <c r="X218"/>
  <c r="W218"/>
  <c r="V218"/>
  <c r="U218"/>
  <c r="DO217"/>
  <c r="DN217"/>
  <c r="DH217"/>
  <c r="DG217"/>
  <c r="DF217"/>
  <c r="DD217"/>
  <c r="DC217"/>
  <c r="CM217"/>
  <c r="BX217"/>
  <c r="BI217"/>
  <c r="BG217"/>
  <c r="AO217"/>
  <c r="AN217"/>
  <c r="AM217"/>
  <c r="X217"/>
  <c r="W217"/>
  <c r="V217"/>
  <c r="U217"/>
  <c r="DO216"/>
  <c r="DN216"/>
  <c r="DH216"/>
  <c r="DG216"/>
  <c r="DF216"/>
  <c r="DD216"/>
  <c r="DC216"/>
  <c r="CM216"/>
  <c r="BX216"/>
  <c r="BI216"/>
  <c r="BG216"/>
  <c r="AO216"/>
  <c r="AN216"/>
  <c r="AM216"/>
  <c r="X216"/>
  <c r="W216"/>
  <c r="V216"/>
  <c r="U216"/>
  <c r="DO215"/>
  <c r="DN215"/>
  <c r="DH215"/>
  <c r="DG215"/>
  <c r="DF215"/>
  <c r="DD215"/>
  <c r="DC215"/>
  <c r="CM215"/>
  <c r="BI215"/>
  <c r="BG215"/>
  <c r="AO215"/>
  <c r="AN215"/>
  <c r="AM215"/>
  <c r="X215"/>
  <c r="W215"/>
  <c r="V215"/>
  <c r="U215"/>
  <c r="DH214"/>
  <c r="DD214"/>
  <c r="DC214"/>
  <c r="CM214"/>
  <c r="BX214"/>
  <c r="BI214"/>
  <c r="BG214"/>
  <c r="AO214"/>
  <c r="AN214"/>
  <c r="AM214"/>
  <c r="X214"/>
  <c r="W214"/>
  <c r="V214"/>
  <c r="U214"/>
  <c r="DO213"/>
  <c r="DN213"/>
  <c r="DH213"/>
  <c r="DD213"/>
  <c r="DC213"/>
  <c r="BX213"/>
  <c r="BI213"/>
  <c r="BG213"/>
  <c r="X213"/>
  <c r="W213"/>
  <c r="V213"/>
  <c r="U213"/>
  <c r="DO212"/>
  <c r="DN212"/>
  <c r="DH212"/>
  <c r="DG212"/>
  <c r="DF212"/>
  <c r="DD212"/>
  <c r="DC212"/>
  <c r="CM212"/>
  <c r="BX212"/>
  <c r="BI212"/>
  <c r="BG212"/>
  <c r="AO212"/>
  <c r="AN212"/>
  <c r="AM212"/>
  <c r="X212"/>
  <c r="W212"/>
  <c r="V212"/>
  <c r="U212"/>
  <c r="DO211"/>
  <c r="DN211"/>
  <c r="DH211"/>
  <c r="DG211"/>
  <c r="DF211"/>
  <c r="DD211"/>
  <c r="DC211"/>
  <c r="BX211"/>
  <c r="DG210"/>
  <c r="DF210"/>
  <c r="CM210"/>
  <c r="BX210"/>
  <c r="BI210"/>
  <c r="BG210"/>
  <c r="BX209"/>
  <c r="AO209"/>
  <c r="AN209"/>
  <c r="AM209"/>
  <c r="X209"/>
  <c r="W209"/>
  <c r="V209"/>
  <c r="U209"/>
  <c r="DO208"/>
  <c r="DN208"/>
  <c r="DH208"/>
  <c r="DG208"/>
  <c r="DF208"/>
  <c r="DD208"/>
  <c r="DC208"/>
  <c r="CM208"/>
  <c r="BX208"/>
  <c r="BI208"/>
  <c r="BG208"/>
  <c r="AO208"/>
  <c r="AN208"/>
  <c r="AM208"/>
  <c r="X208"/>
  <c r="W208"/>
  <c r="V208"/>
  <c r="U208"/>
  <c r="DO207"/>
  <c r="DN207"/>
  <c r="DG207"/>
  <c r="DF207"/>
  <c r="DD207"/>
  <c r="DC207"/>
  <c r="CM207"/>
  <c r="BX207"/>
  <c r="BI207"/>
  <c r="BG207"/>
  <c r="AO207"/>
  <c r="AN207"/>
  <c r="AM207"/>
  <c r="X207"/>
  <c r="W207"/>
  <c r="V207"/>
  <c r="U207"/>
  <c r="DO206"/>
  <c r="DN206"/>
  <c r="DH206"/>
  <c r="DG206"/>
  <c r="DF206"/>
  <c r="DD206"/>
  <c r="DC206"/>
  <c r="CM206"/>
  <c r="BX206"/>
  <c r="BI206"/>
  <c r="BG206"/>
  <c r="AO206"/>
  <c r="AN206"/>
  <c r="AM206"/>
  <c r="X206"/>
  <c r="W206"/>
  <c r="V206"/>
  <c r="U206"/>
  <c r="DO205"/>
  <c r="DN205"/>
  <c r="DH205"/>
  <c r="DG205"/>
  <c r="DF205"/>
  <c r="DD205"/>
  <c r="DC205"/>
  <c r="CM205"/>
  <c r="BX205"/>
  <c r="BI205"/>
  <c r="BG205"/>
  <c r="AO205"/>
  <c r="AN205"/>
  <c r="AM205"/>
  <c r="X205"/>
  <c r="W205"/>
  <c r="V205"/>
  <c r="U205"/>
  <c r="DH204"/>
  <c r="DG204"/>
  <c r="DF204"/>
  <c r="DD204"/>
  <c r="DC204"/>
  <c r="CM204"/>
  <c r="BX204"/>
  <c r="BI204"/>
  <c r="BG204"/>
  <c r="AO204"/>
  <c r="AN204"/>
  <c r="AM204"/>
  <c r="X204"/>
  <c r="W204"/>
  <c r="V204"/>
  <c r="U204"/>
  <c r="DO203"/>
  <c r="DN203"/>
  <c r="DH203"/>
  <c r="DG203"/>
  <c r="DF203"/>
  <c r="DD203"/>
  <c r="DC203"/>
  <c r="CM203"/>
  <c r="BX203"/>
  <c r="BI203"/>
  <c r="BG203"/>
  <c r="AO203"/>
  <c r="AN203"/>
  <c r="AM203"/>
  <c r="X203"/>
  <c r="W203"/>
  <c r="V203"/>
  <c r="U203"/>
  <c r="DG202"/>
  <c r="DF202"/>
  <c r="DD202"/>
  <c r="DC202"/>
  <c r="CM202"/>
  <c r="BX202"/>
  <c r="BI202"/>
  <c r="BG202"/>
  <c r="AO202"/>
  <c r="AN202"/>
  <c r="AM202"/>
  <c r="X202"/>
  <c r="W202"/>
  <c r="V202"/>
  <c r="U202"/>
  <c r="DO201"/>
  <c r="DN201"/>
  <c r="DH201"/>
  <c r="DG201"/>
  <c r="DF201"/>
  <c r="DD201"/>
  <c r="DC201"/>
  <c r="CM201"/>
  <c r="BX201"/>
  <c r="BI201"/>
  <c r="BG201"/>
  <c r="AO201"/>
  <c r="AN201"/>
  <c r="AM201"/>
  <c r="X201"/>
  <c r="W201"/>
  <c r="V201"/>
  <c r="U201"/>
  <c r="BX200"/>
  <c r="DO199"/>
  <c r="DN199"/>
  <c r="CM199"/>
  <c r="BX199"/>
  <c r="BI199"/>
  <c r="BG199"/>
  <c r="DO198"/>
  <c r="DN198"/>
  <c r="DH198"/>
  <c r="DG198"/>
  <c r="DF198"/>
  <c r="DD198"/>
  <c r="DC198"/>
  <c r="CM198"/>
  <c r="BX198"/>
  <c r="AO198"/>
  <c r="AN198"/>
  <c r="AM198"/>
  <c r="X198"/>
  <c r="W198"/>
  <c r="V198"/>
  <c r="U198"/>
  <c r="DO197"/>
  <c r="DN197"/>
  <c r="DH197"/>
  <c r="DG197"/>
  <c r="DF197"/>
  <c r="DD197"/>
  <c r="DC197"/>
  <c r="BX197"/>
  <c r="BI197"/>
  <c r="BG197"/>
  <c r="AO197"/>
  <c r="AN197"/>
  <c r="AM197"/>
  <c r="DO196"/>
  <c r="DN196"/>
  <c r="DH196"/>
  <c r="DG196"/>
  <c r="DF196"/>
  <c r="DD196"/>
  <c r="DC196"/>
  <c r="CM196"/>
  <c r="BX196"/>
  <c r="BI196"/>
  <c r="BG196"/>
  <c r="AO196"/>
  <c r="AN196"/>
  <c r="AM196"/>
  <c r="X196"/>
  <c r="W196"/>
  <c r="V196"/>
  <c r="U196"/>
  <c r="DO195"/>
  <c r="DN195"/>
  <c r="DH195"/>
  <c r="DG195"/>
  <c r="DF195"/>
  <c r="DD195"/>
  <c r="DC195"/>
  <c r="CM195"/>
  <c r="BX195"/>
  <c r="BI195"/>
  <c r="BG195"/>
  <c r="AO195"/>
  <c r="AN195"/>
  <c r="AM195"/>
  <c r="X195"/>
  <c r="W195"/>
  <c r="V195"/>
  <c r="U195"/>
  <c r="DO194"/>
  <c r="DN194"/>
  <c r="DH194"/>
  <c r="DG194"/>
  <c r="DF194"/>
  <c r="DD194"/>
  <c r="DC194"/>
  <c r="CM194"/>
  <c r="BX194"/>
  <c r="BI194"/>
  <c r="BG194"/>
  <c r="AO194"/>
  <c r="AN194"/>
  <c r="AM194"/>
  <c r="X194"/>
  <c r="W194"/>
  <c r="V194"/>
  <c r="U194"/>
  <c r="CM193"/>
  <c r="BX193"/>
  <c r="BI193"/>
  <c r="BG193"/>
  <c r="AO193"/>
  <c r="AN193"/>
  <c r="AM193"/>
  <c r="X193"/>
  <c r="W193"/>
  <c r="V193"/>
  <c r="U193"/>
  <c r="DO192"/>
  <c r="DN192"/>
  <c r="DH192"/>
  <c r="DG192"/>
  <c r="DF192"/>
  <c r="DD192"/>
  <c r="DC192"/>
  <c r="CM192"/>
  <c r="BX192"/>
  <c r="BI192"/>
  <c r="BG192"/>
  <c r="AO192"/>
  <c r="AN192"/>
  <c r="AM192"/>
  <c r="X192"/>
  <c r="W192"/>
  <c r="V192"/>
  <c r="U192"/>
  <c r="DO191"/>
  <c r="DN191"/>
  <c r="DH191"/>
  <c r="DG191"/>
  <c r="DF191"/>
  <c r="DD191"/>
  <c r="DC191"/>
  <c r="CM191"/>
  <c r="BX191"/>
  <c r="BI191"/>
  <c r="BG191"/>
  <c r="AO191"/>
  <c r="AN191"/>
  <c r="AM191"/>
  <c r="X191"/>
  <c r="W191"/>
  <c r="V191"/>
  <c r="U191"/>
  <c r="DO190"/>
  <c r="DN190"/>
  <c r="DH190"/>
  <c r="DG190"/>
  <c r="DF190"/>
  <c r="DD190"/>
  <c r="DC190"/>
  <c r="CM190"/>
  <c r="BX190"/>
  <c r="BI190"/>
  <c r="BG190"/>
  <c r="AO190"/>
  <c r="AN190"/>
  <c r="AM190"/>
  <c r="X190"/>
  <c r="W190"/>
  <c r="V190"/>
  <c r="U190"/>
  <c r="DO189"/>
  <c r="DN189"/>
  <c r="DH189"/>
  <c r="DG189"/>
  <c r="DF189"/>
  <c r="DD189"/>
  <c r="DC189"/>
  <c r="CM189"/>
  <c r="BX189"/>
  <c r="BI189"/>
  <c r="BG189"/>
  <c r="AO189"/>
  <c r="AN189"/>
  <c r="AM189"/>
  <c r="X189"/>
  <c r="W189"/>
  <c r="V189"/>
  <c r="U189"/>
  <c r="DO188"/>
  <c r="DN188"/>
  <c r="DH188"/>
  <c r="DG188"/>
  <c r="DF188"/>
  <c r="DD188"/>
  <c r="DC188"/>
  <c r="CM188"/>
  <c r="BX188"/>
  <c r="BI188"/>
  <c r="BG188"/>
  <c r="AO188"/>
  <c r="AN188"/>
  <c r="AM188"/>
  <c r="X188"/>
  <c r="W188"/>
  <c r="V188"/>
  <c r="U188"/>
  <c r="DO187"/>
  <c r="DN187"/>
  <c r="DH187"/>
  <c r="DG187"/>
  <c r="DF187"/>
  <c r="DD187"/>
  <c r="DC187"/>
  <c r="CM187"/>
  <c r="BX187"/>
  <c r="BI187"/>
  <c r="BG187"/>
  <c r="AO187"/>
  <c r="AN187"/>
  <c r="AM187"/>
  <c r="X187"/>
  <c r="W187"/>
  <c r="V187"/>
  <c r="U187"/>
  <c r="DG186"/>
  <c r="DF186"/>
  <c r="DD186"/>
  <c r="DC186"/>
  <c r="CM186"/>
  <c r="BX186"/>
  <c r="BI186"/>
  <c r="BG186"/>
  <c r="AO186"/>
  <c r="AN186"/>
  <c r="AM186"/>
  <c r="X186"/>
  <c r="W186"/>
  <c r="V186"/>
  <c r="U186"/>
  <c r="DO185"/>
  <c r="DN185"/>
  <c r="DH185"/>
  <c r="DG185"/>
  <c r="DF185"/>
  <c r="DD185"/>
  <c r="DC185"/>
  <c r="CM185"/>
  <c r="BX185"/>
  <c r="AO185"/>
  <c r="AN185"/>
  <c r="AM185"/>
  <c r="X185"/>
  <c r="W185"/>
  <c r="V185"/>
  <c r="U185"/>
  <c r="DH184"/>
  <c r="DG184"/>
  <c r="DF184"/>
  <c r="DD184"/>
  <c r="DC184"/>
  <c r="CM184"/>
  <c r="BX184"/>
  <c r="BI184"/>
  <c r="BG184"/>
  <c r="AO184"/>
  <c r="AN184"/>
  <c r="AM184"/>
  <c r="X184"/>
  <c r="W184"/>
  <c r="V184"/>
  <c r="U184"/>
  <c r="DO183"/>
  <c r="DN183"/>
  <c r="DH183"/>
  <c r="DG183"/>
  <c r="DF183"/>
  <c r="DD183"/>
  <c r="DC183"/>
  <c r="CM183"/>
  <c r="BX183"/>
  <c r="BI183"/>
  <c r="BG183"/>
  <c r="AO183"/>
  <c r="AN183"/>
  <c r="AM183"/>
  <c r="X183"/>
  <c r="W183"/>
  <c r="V183"/>
  <c r="U183"/>
  <c r="DH182"/>
  <c r="DG182"/>
  <c r="DF182"/>
  <c r="BX182"/>
  <c r="BI182"/>
  <c r="BG182"/>
  <c r="DH181"/>
  <c r="DG181"/>
  <c r="DF181"/>
  <c r="DD181"/>
  <c r="DC181"/>
  <c r="CM181"/>
  <c r="BX181"/>
  <c r="BI181"/>
  <c r="BG181"/>
  <c r="AO181"/>
  <c r="AN181"/>
  <c r="AM181"/>
  <c r="X181"/>
  <c r="W181"/>
  <c r="V181"/>
  <c r="U181"/>
  <c r="DO180"/>
  <c r="DN180"/>
  <c r="DH180"/>
  <c r="DG180"/>
  <c r="DF180"/>
  <c r="DD180"/>
  <c r="DC180"/>
  <c r="CM180"/>
  <c r="BX180"/>
  <c r="BI180"/>
  <c r="BG180"/>
  <c r="AO180"/>
  <c r="AN180"/>
  <c r="AM180"/>
  <c r="X180"/>
  <c r="W180"/>
  <c r="V180"/>
  <c r="U180"/>
  <c r="DO179"/>
  <c r="DN179"/>
  <c r="DH179"/>
  <c r="DG179"/>
  <c r="DF179"/>
  <c r="DD179"/>
  <c r="DC179"/>
  <c r="CM179"/>
  <c r="BX179"/>
  <c r="BI179"/>
  <c r="BG179"/>
  <c r="X179"/>
  <c r="W179"/>
  <c r="V179"/>
  <c r="U179"/>
  <c r="DO178"/>
  <c r="DN178"/>
  <c r="DH178"/>
  <c r="DG178"/>
  <c r="DF178"/>
  <c r="DD178"/>
  <c r="DC178"/>
  <c r="CM178"/>
  <c r="BX178"/>
  <c r="BI178"/>
  <c r="BG178"/>
  <c r="AO178"/>
  <c r="AN178"/>
  <c r="AM178"/>
  <c r="X178"/>
  <c r="W178"/>
  <c r="V178"/>
  <c r="U178"/>
  <c r="DO177"/>
  <c r="DN177"/>
  <c r="DH177"/>
  <c r="DG177"/>
  <c r="DF177"/>
  <c r="DD177"/>
  <c r="DC177"/>
  <c r="CM177"/>
  <c r="BX177"/>
  <c r="BI177"/>
  <c r="BG177"/>
  <c r="AO177"/>
  <c r="AN177"/>
  <c r="AM177"/>
  <c r="X177"/>
  <c r="W177"/>
  <c r="V177"/>
  <c r="U177"/>
  <c r="DO176"/>
  <c r="DN176"/>
  <c r="DG176"/>
  <c r="DF176"/>
  <c r="DD176"/>
  <c r="DC176"/>
  <c r="CM176"/>
  <c r="BX176"/>
  <c r="BI176"/>
  <c r="BG176"/>
  <c r="AO176"/>
  <c r="AN176"/>
  <c r="AM176"/>
  <c r="X176"/>
  <c r="W176"/>
  <c r="V176"/>
  <c r="U176"/>
  <c r="DO175"/>
  <c r="DN175"/>
  <c r="DH175"/>
  <c r="DG175"/>
  <c r="DF175"/>
  <c r="DD175"/>
  <c r="DC175"/>
  <c r="CM175"/>
  <c r="BX175"/>
  <c r="BI175"/>
  <c r="BG175"/>
  <c r="AO175"/>
  <c r="AN175"/>
  <c r="AM175"/>
  <c r="X175"/>
  <c r="W175"/>
  <c r="V175"/>
  <c r="U175"/>
  <c r="DO174"/>
  <c r="DN174"/>
  <c r="DH174"/>
  <c r="DG174"/>
  <c r="DF174"/>
  <c r="BX174"/>
  <c r="BI174"/>
  <c r="BG174"/>
  <c r="DO173"/>
  <c r="DN173"/>
  <c r="DH173"/>
  <c r="DG173"/>
  <c r="DF173"/>
  <c r="DD173"/>
  <c r="DC173"/>
  <c r="CM173"/>
  <c r="BX173"/>
  <c r="BI173"/>
  <c r="BG173"/>
  <c r="AO173"/>
  <c r="AN173"/>
  <c r="AM173"/>
  <c r="X173"/>
  <c r="W173"/>
  <c r="V173"/>
  <c r="U173"/>
  <c r="DG172"/>
  <c r="DF172"/>
  <c r="DD172"/>
  <c r="DC172"/>
  <c r="CM172"/>
  <c r="BX172"/>
  <c r="BI172"/>
  <c r="BG172"/>
  <c r="AO172"/>
  <c r="AN172"/>
  <c r="AM172"/>
  <c r="X172"/>
  <c r="W172"/>
  <c r="V172"/>
  <c r="U172"/>
  <c r="DO171"/>
  <c r="DN171"/>
  <c r="DH171"/>
  <c r="DG171"/>
  <c r="DF171"/>
  <c r="DD171"/>
  <c r="DC171"/>
  <c r="CM171"/>
  <c r="BX171"/>
  <c r="BI171"/>
  <c r="BG171"/>
  <c r="AO171"/>
  <c r="AN171"/>
  <c r="AM171"/>
  <c r="X171"/>
  <c r="W171"/>
  <c r="V171"/>
  <c r="U171"/>
  <c r="DO170"/>
  <c r="DN170"/>
  <c r="DH170"/>
  <c r="DG170"/>
  <c r="DF170"/>
  <c r="DD170"/>
  <c r="DC170"/>
  <c r="CM170"/>
  <c r="BX170"/>
  <c r="BI170"/>
  <c r="BG170"/>
  <c r="AO170"/>
  <c r="AN170"/>
  <c r="AM170"/>
  <c r="X170"/>
  <c r="W170"/>
  <c r="V170"/>
  <c r="U170"/>
  <c r="DO169"/>
  <c r="DN169"/>
  <c r="DH169"/>
  <c r="DG169"/>
  <c r="DF169"/>
  <c r="DD169"/>
  <c r="DC169"/>
  <c r="CM169"/>
  <c r="BX169"/>
  <c r="X169"/>
  <c r="W169"/>
  <c r="V169"/>
  <c r="U169"/>
  <c r="DH168"/>
  <c r="DG168"/>
  <c r="DF168"/>
  <c r="DD168"/>
  <c r="DC168"/>
  <c r="CM168"/>
  <c r="BX168"/>
  <c r="BI168"/>
  <c r="BG168"/>
  <c r="AO168"/>
  <c r="AN168"/>
  <c r="AM168"/>
  <c r="X168"/>
  <c r="W168"/>
  <c r="V168"/>
  <c r="U168"/>
  <c r="DO167"/>
  <c r="DN167"/>
  <c r="DH167"/>
  <c r="DG167"/>
  <c r="DF167"/>
  <c r="DD167"/>
  <c r="DC167"/>
  <c r="CM167"/>
  <c r="BX167"/>
  <c r="BI167"/>
  <c r="BG167"/>
  <c r="AO167"/>
  <c r="AN167"/>
  <c r="AM167"/>
  <c r="DO166"/>
  <c r="DN166"/>
  <c r="DH166"/>
  <c r="DG166"/>
  <c r="DF166"/>
  <c r="DD166"/>
  <c r="DC166"/>
  <c r="CM166"/>
  <c r="BX166"/>
  <c r="BI166"/>
  <c r="BG166"/>
  <c r="X166"/>
  <c r="W166"/>
  <c r="V166"/>
  <c r="U166"/>
  <c r="DO165"/>
  <c r="DN165"/>
  <c r="DH165"/>
  <c r="DG165"/>
  <c r="DF165"/>
  <c r="DD165"/>
  <c r="DC165"/>
  <c r="CM165"/>
  <c r="BX165"/>
  <c r="BI165"/>
  <c r="BG165"/>
  <c r="AO165"/>
  <c r="AN165"/>
  <c r="AM165"/>
  <c r="X165"/>
  <c r="W165"/>
  <c r="V165"/>
  <c r="U165"/>
  <c r="DO164"/>
  <c r="DN164"/>
  <c r="DH164"/>
  <c r="DG164"/>
  <c r="DF164"/>
  <c r="DD164"/>
  <c r="DC164"/>
  <c r="CM164"/>
  <c r="BX164"/>
  <c r="BI164"/>
  <c r="BG164"/>
  <c r="AO164"/>
  <c r="AN164"/>
  <c r="AM164"/>
  <c r="X164"/>
  <c r="W164"/>
  <c r="V164"/>
  <c r="U164"/>
  <c r="DO163"/>
  <c r="DN163"/>
  <c r="DH163"/>
  <c r="DG163"/>
  <c r="DF163"/>
  <c r="DD163"/>
  <c r="DC163"/>
  <c r="CM163"/>
  <c r="BX163"/>
  <c r="BI163"/>
  <c r="BG163"/>
  <c r="AO163"/>
  <c r="AN163"/>
  <c r="AM163"/>
  <c r="X163"/>
  <c r="W163"/>
  <c r="V163"/>
  <c r="U163"/>
  <c r="DO162"/>
  <c r="DN162"/>
  <c r="DH162"/>
  <c r="DG162"/>
  <c r="DF162"/>
  <c r="BX162"/>
  <c r="BI162"/>
  <c r="BG162"/>
  <c r="DO161"/>
  <c r="DN161"/>
  <c r="DH161"/>
  <c r="DG161"/>
  <c r="DF161"/>
  <c r="CM161"/>
  <c r="BX161"/>
  <c r="BI161"/>
  <c r="BG161"/>
  <c r="AO161"/>
  <c r="AN161"/>
  <c r="AM161"/>
  <c r="X161"/>
  <c r="W161"/>
  <c r="V161"/>
  <c r="U161"/>
  <c r="DO160"/>
  <c r="DN160"/>
  <c r="DG160"/>
  <c r="DF160"/>
  <c r="DD160"/>
  <c r="DC160"/>
  <c r="CM160"/>
  <c r="BX160"/>
  <c r="BI160"/>
  <c r="BG160"/>
  <c r="AO160"/>
  <c r="AN160"/>
  <c r="AM160"/>
  <c r="DO158"/>
  <c r="DN158"/>
  <c r="DH158"/>
  <c r="DG158"/>
  <c r="DF158"/>
  <c r="DD158"/>
  <c r="DC158"/>
  <c r="CM158"/>
  <c r="BX158"/>
  <c r="BI158"/>
  <c r="BG158"/>
  <c r="AO158"/>
  <c r="AN158"/>
  <c r="AM158"/>
  <c r="X158"/>
  <c r="W158"/>
  <c r="V158"/>
  <c r="U158"/>
  <c r="DO157"/>
  <c r="DN157"/>
  <c r="DH157"/>
  <c r="DG157"/>
  <c r="DF157"/>
  <c r="DD157"/>
  <c r="DC157"/>
  <c r="CM157"/>
  <c r="BX157"/>
  <c r="BI157"/>
  <c r="BG157"/>
  <c r="AO157"/>
  <c r="AN157"/>
  <c r="AM157"/>
  <c r="X157"/>
  <c r="W157"/>
  <c r="V157"/>
  <c r="U157"/>
  <c r="DO156"/>
  <c r="DN156"/>
  <c r="DH156"/>
  <c r="DG156"/>
  <c r="DF156"/>
  <c r="DD156"/>
  <c r="DC156"/>
  <c r="CM156"/>
  <c r="BX156"/>
  <c r="BI156"/>
  <c r="BG156"/>
  <c r="AO156"/>
  <c r="AN156"/>
  <c r="AM156"/>
  <c r="X156"/>
  <c r="W156"/>
  <c r="V156"/>
  <c r="U156"/>
  <c r="DG155"/>
  <c r="DF155"/>
  <c r="CM155"/>
  <c r="BX155"/>
  <c r="BI155"/>
  <c r="BG155"/>
  <c r="AO155"/>
  <c r="AN155"/>
  <c r="AM155"/>
  <c r="X155"/>
  <c r="W155"/>
  <c r="V155"/>
  <c r="U155"/>
  <c r="DO154"/>
  <c r="DN154"/>
  <c r="DH154"/>
  <c r="DG154"/>
  <c r="DF154"/>
  <c r="DD154"/>
  <c r="DC154"/>
  <c r="CM154"/>
  <c r="BX154"/>
  <c r="BI154"/>
  <c r="BG154"/>
  <c r="AO154"/>
  <c r="AN154"/>
  <c r="AM154"/>
  <c r="X154"/>
  <c r="W154"/>
  <c r="V154"/>
  <c r="U154"/>
  <c r="DO153"/>
  <c r="DN153"/>
  <c r="DG153"/>
  <c r="DF153"/>
  <c r="CM153"/>
  <c r="BX153"/>
  <c r="BI153"/>
  <c r="BG153"/>
  <c r="AO153"/>
  <c r="AN153"/>
  <c r="AM153"/>
  <c r="X153"/>
  <c r="W153"/>
  <c r="V153"/>
  <c r="U153"/>
  <c r="DO152"/>
  <c r="DN152"/>
  <c r="DH152"/>
  <c r="DG152"/>
  <c r="DF152"/>
  <c r="DD152"/>
  <c r="DC152"/>
  <c r="CM152"/>
  <c r="BX152"/>
  <c r="BI152"/>
  <c r="BG152"/>
  <c r="AO152"/>
  <c r="AN152"/>
  <c r="AM152"/>
  <c r="X152"/>
  <c r="W152"/>
  <c r="V152"/>
  <c r="U152"/>
  <c r="DO151"/>
  <c r="DN151"/>
  <c r="DG151"/>
  <c r="DF151"/>
  <c r="DD151"/>
  <c r="DC151"/>
  <c r="CM151"/>
  <c r="BX151"/>
  <c r="BI151"/>
  <c r="BG151"/>
  <c r="AO151"/>
  <c r="AN151"/>
  <c r="AM151"/>
  <c r="X151"/>
  <c r="W151"/>
  <c r="V151"/>
  <c r="U151"/>
  <c r="DH150"/>
  <c r="DG150"/>
  <c r="DF150"/>
  <c r="DD150"/>
  <c r="DC150"/>
  <c r="CM150"/>
  <c r="BX150"/>
  <c r="BI150"/>
  <c r="BG150"/>
  <c r="AO150"/>
  <c r="AN150"/>
  <c r="AM150"/>
  <c r="X150"/>
  <c r="W150"/>
  <c r="V150"/>
  <c r="U150"/>
  <c r="CM149"/>
  <c r="BX149"/>
  <c r="BI149"/>
  <c r="BG149"/>
  <c r="AO149"/>
  <c r="AN149"/>
  <c r="AM149"/>
  <c r="X149"/>
  <c r="W149"/>
  <c r="V149"/>
  <c r="U149"/>
  <c r="DO148"/>
  <c r="DN148"/>
  <c r="DH148"/>
  <c r="DG148"/>
  <c r="DF148"/>
  <c r="DD148"/>
  <c r="DC148"/>
  <c r="CM148"/>
  <c r="BX148"/>
  <c r="BI148"/>
  <c r="BG148"/>
  <c r="AO148"/>
  <c r="AN148"/>
  <c r="AM148"/>
  <c r="X148"/>
  <c r="W148"/>
  <c r="V148"/>
  <c r="U148"/>
  <c r="DO147"/>
  <c r="DN147"/>
  <c r="DG147"/>
  <c r="DF147"/>
  <c r="DD147"/>
  <c r="DC147"/>
  <c r="CM147"/>
  <c r="BX147"/>
  <c r="BI147"/>
  <c r="BG147"/>
  <c r="AO147"/>
  <c r="AN147"/>
  <c r="AM147"/>
  <c r="X147"/>
  <c r="W147"/>
  <c r="V147"/>
  <c r="U147"/>
  <c r="DG146"/>
  <c r="DF146"/>
  <c r="DD146"/>
  <c r="DC146"/>
  <c r="CM146"/>
  <c r="BX146"/>
  <c r="BI146"/>
  <c r="BG146"/>
  <c r="AO146"/>
  <c r="AN146"/>
  <c r="AM146"/>
  <c r="X146"/>
  <c r="W146"/>
  <c r="V146"/>
  <c r="U146"/>
  <c r="DO145"/>
  <c r="DN145"/>
  <c r="DH145"/>
  <c r="DG145"/>
  <c r="DF145"/>
  <c r="DD145"/>
  <c r="DC145"/>
  <c r="CM145"/>
  <c r="BX145"/>
  <c r="BI145"/>
  <c r="BG145"/>
  <c r="AO145"/>
  <c r="AN145"/>
  <c r="AM145"/>
  <c r="X145"/>
  <c r="W145"/>
  <c r="V145"/>
  <c r="U145"/>
  <c r="DO144"/>
  <c r="DN144"/>
  <c r="DH144"/>
  <c r="DG144"/>
  <c r="DF144"/>
  <c r="DD144"/>
  <c r="DC144"/>
  <c r="CM144"/>
  <c r="BX144"/>
  <c r="BI144"/>
  <c r="BG144"/>
  <c r="AO144"/>
  <c r="AN144"/>
  <c r="AM144"/>
  <c r="X144"/>
  <c r="W144"/>
  <c r="V144"/>
  <c r="U144"/>
  <c r="CM143"/>
  <c r="BX143"/>
  <c r="BI143"/>
  <c r="BG143"/>
  <c r="X143"/>
  <c r="W143"/>
  <c r="V143"/>
  <c r="U143"/>
  <c r="DG142"/>
  <c r="DF142"/>
  <c r="DD142"/>
  <c r="DC142"/>
  <c r="CM142"/>
  <c r="BX142"/>
  <c r="BI142"/>
  <c r="BG142"/>
  <c r="X142"/>
  <c r="W142"/>
  <c r="V142"/>
  <c r="U142"/>
  <c r="DO141"/>
  <c r="DN141"/>
  <c r="DH141"/>
  <c r="DG141"/>
  <c r="DF141"/>
  <c r="DD141"/>
  <c r="DC141"/>
  <c r="CM141"/>
  <c r="BX141"/>
  <c r="BI141"/>
  <c r="BG141"/>
  <c r="AO141"/>
  <c r="AN141"/>
  <c r="AM141"/>
  <c r="X141"/>
  <c r="W141"/>
  <c r="V141"/>
  <c r="U141"/>
  <c r="DO140"/>
  <c r="DN140"/>
  <c r="DG140"/>
  <c r="DF140"/>
  <c r="DD140"/>
  <c r="DC140"/>
  <c r="CM140"/>
  <c r="BX140"/>
  <c r="BI140"/>
  <c r="BG140"/>
  <c r="AO140"/>
  <c r="AN140"/>
  <c r="AM140"/>
  <c r="X140"/>
  <c r="W140"/>
  <c r="V140"/>
  <c r="U140"/>
  <c r="DH139"/>
  <c r="DG139"/>
  <c r="DF139"/>
  <c r="DD139"/>
  <c r="DC139"/>
  <c r="CM139"/>
  <c r="BX139"/>
  <c r="BI139"/>
  <c r="BG139"/>
  <c r="AO139"/>
  <c r="AN139"/>
  <c r="AM139"/>
  <c r="X139"/>
  <c r="W139"/>
  <c r="V139"/>
  <c r="U139"/>
  <c r="DO138"/>
  <c r="DN138"/>
  <c r="DH138"/>
  <c r="DG138"/>
  <c r="DF138"/>
  <c r="DD138"/>
  <c r="DC138"/>
  <c r="CM138"/>
  <c r="BX138"/>
  <c r="BI138"/>
  <c r="BG138"/>
  <c r="AO138"/>
  <c r="AN138"/>
  <c r="AM138"/>
  <c r="X138"/>
  <c r="W138"/>
  <c r="V138"/>
  <c r="U138"/>
  <c r="DO137"/>
  <c r="DN137"/>
  <c r="DG137"/>
  <c r="DF137"/>
  <c r="DD137"/>
  <c r="DC137"/>
  <c r="CM137"/>
  <c r="BX137"/>
  <c r="BI137"/>
  <c r="BG137"/>
  <c r="AO137"/>
  <c r="AN137"/>
  <c r="AM137"/>
  <c r="X137"/>
  <c r="W137"/>
  <c r="V137"/>
  <c r="U137"/>
  <c r="DO136"/>
  <c r="DN136"/>
  <c r="DH136"/>
  <c r="DG136"/>
  <c r="DF136"/>
  <c r="DD136"/>
  <c r="DC136"/>
  <c r="BX136"/>
  <c r="DH135"/>
  <c r="DG135"/>
  <c r="DF135"/>
  <c r="DD135"/>
  <c r="DC135"/>
  <c r="CM135"/>
  <c r="BX135"/>
  <c r="BI135"/>
  <c r="BG135"/>
  <c r="AO135"/>
  <c r="AN135"/>
  <c r="AM135"/>
  <c r="X135"/>
  <c r="W135"/>
  <c r="V135"/>
  <c r="U135"/>
  <c r="DO134"/>
  <c r="DN134"/>
  <c r="DH134"/>
  <c r="DG134"/>
  <c r="DF134"/>
  <c r="DD134"/>
  <c r="DC134"/>
  <c r="CM134"/>
  <c r="BX134"/>
  <c r="BI134"/>
  <c r="BG134"/>
  <c r="AO134"/>
  <c r="AN134"/>
  <c r="AM134"/>
  <c r="X134"/>
  <c r="W134"/>
  <c r="V134"/>
  <c r="U134"/>
  <c r="DH133"/>
  <c r="BX133"/>
  <c r="BI133"/>
  <c r="BG133"/>
  <c r="DO132"/>
  <c r="DN132"/>
  <c r="DG132"/>
  <c r="DF132"/>
  <c r="DD132"/>
  <c r="DC132"/>
  <c r="CM132"/>
  <c r="BX132"/>
  <c r="BI132"/>
  <c r="BG132"/>
  <c r="AO132"/>
  <c r="AN132"/>
  <c r="AM132"/>
  <c r="X132"/>
  <c r="W132"/>
  <c r="V132"/>
  <c r="U132"/>
  <c r="DO131"/>
  <c r="DN131"/>
  <c r="DH131"/>
  <c r="DG131"/>
  <c r="DF131"/>
  <c r="DD131"/>
  <c r="DC131"/>
  <c r="CM131"/>
  <c r="BX131"/>
  <c r="BI131"/>
  <c r="BG131"/>
  <c r="AO131"/>
  <c r="AN131"/>
  <c r="AM131"/>
  <c r="X131"/>
  <c r="W131"/>
  <c r="V131"/>
  <c r="U131"/>
  <c r="DO130"/>
  <c r="DN130"/>
  <c r="DH130"/>
  <c r="DG130"/>
  <c r="DF130"/>
  <c r="DD130"/>
  <c r="DC130"/>
  <c r="BX130"/>
  <c r="BI130"/>
  <c r="BG130"/>
  <c r="X130"/>
  <c r="W130"/>
  <c r="V130"/>
  <c r="U130"/>
  <c r="DO129"/>
  <c r="DN129"/>
  <c r="DG129"/>
  <c r="DF129"/>
  <c r="DD129"/>
  <c r="DC129"/>
  <c r="CM129"/>
  <c r="BX129"/>
  <c r="BI129"/>
  <c r="BG129"/>
  <c r="AO129"/>
  <c r="AN129"/>
  <c r="AM129"/>
  <c r="X129"/>
  <c r="W129"/>
  <c r="V129"/>
  <c r="U129"/>
  <c r="DH128"/>
  <c r="DG128"/>
  <c r="DF128"/>
  <c r="DD128"/>
  <c r="DC128"/>
  <c r="CM128"/>
  <c r="BX128"/>
  <c r="BI128"/>
  <c r="BG128"/>
  <c r="AO128"/>
  <c r="AN128"/>
  <c r="AM128"/>
  <c r="X128"/>
  <c r="W128"/>
  <c r="V128"/>
  <c r="U128"/>
  <c r="DG127"/>
  <c r="DF127"/>
  <c r="DD127"/>
  <c r="DC127"/>
  <c r="CM127"/>
  <c r="BX127"/>
  <c r="BI127"/>
  <c r="BG127"/>
  <c r="AO127"/>
  <c r="AN127"/>
  <c r="AM127"/>
  <c r="X127"/>
  <c r="W127"/>
  <c r="V127"/>
  <c r="U127"/>
  <c r="DO126"/>
  <c r="DN126"/>
  <c r="DH126"/>
  <c r="DG126"/>
  <c r="DF126"/>
  <c r="DD126"/>
  <c r="DC126"/>
  <c r="CM126"/>
  <c r="BX126"/>
  <c r="BI126"/>
  <c r="BG126"/>
  <c r="AO126"/>
  <c r="AN126"/>
  <c r="AM126"/>
  <c r="X126"/>
  <c r="W126"/>
  <c r="V126"/>
  <c r="U126"/>
  <c r="DO125"/>
  <c r="DN125"/>
  <c r="DH125"/>
  <c r="DG125"/>
  <c r="DF125"/>
  <c r="DD125"/>
  <c r="DC125"/>
  <c r="CM125"/>
  <c r="BX125"/>
  <c r="BI125"/>
  <c r="BG125"/>
  <c r="AO125"/>
  <c r="AN125"/>
  <c r="AM125"/>
  <c r="X125"/>
  <c r="W125"/>
  <c r="V125"/>
  <c r="U125"/>
  <c r="DO124"/>
  <c r="DN124"/>
  <c r="DH124"/>
  <c r="DG124"/>
  <c r="DF124"/>
  <c r="DD124"/>
  <c r="DC124"/>
  <c r="CM124"/>
  <c r="BX124"/>
  <c r="BI124"/>
  <c r="BG124"/>
  <c r="AO124"/>
  <c r="AN124"/>
  <c r="AM124"/>
  <c r="X124"/>
  <c r="W124"/>
  <c r="V124"/>
  <c r="U124"/>
  <c r="DN123"/>
  <c r="DH123"/>
  <c r="CM123"/>
  <c r="BX123"/>
  <c r="BI123"/>
  <c r="BG123"/>
  <c r="AO123"/>
  <c r="AN123"/>
  <c r="AM123"/>
  <c r="X123"/>
  <c r="W123"/>
  <c r="V123"/>
  <c r="U123"/>
  <c r="DO122"/>
  <c r="DN122"/>
  <c r="DH122"/>
  <c r="DG122"/>
  <c r="DF122"/>
  <c r="DD122"/>
  <c r="DC122"/>
  <c r="CM122"/>
  <c r="BX122"/>
  <c r="BI122"/>
  <c r="BG122"/>
  <c r="AO122"/>
  <c r="AN122"/>
  <c r="AM122"/>
  <c r="X122"/>
  <c r="W122"/>
  <c r="V122"/>
  <c r="U122"/>
  <c r="DG121"/>
  <c r="DF121"/>
  <c r="CM121"/>
  <c r="BX121"/>
  <c r="BI121"/>
  <c r="BG121"/>
  <c r="AO121"/>
  <c r="AN121"/>
  <c r="AM121"/>
  <c r="X121"/>
  <c r="W121"/>
  <c r="V121"/>
  <c r="U121"/>
  <c r="DO120"/>
  <c r="DN120"/>
  <c r="DH120"/>
  <c r="DG120"/>
  <c r="DF120"/>
  <c r="DD120"/>
  <c r="DC120"/>
  <c r="CM120"/>
  <c r="BX120"/>
  <c r="BI120"/>
  <c r="BG120"/>
  <c r="AO120"/>
  <c r="AN120"/>
  <c r="AM120"/>
  <c r="X120"/>
  <c r="W120"/>
  <c r="V120"/>
  <c r="U120"/>
  <c r="DO119"/>
  <c r="DN119"/>
  <c r="DH119"/>
  <c r="DG119"/>
  <c r="DF119"/>
  <c r="DD119"/>
  <c r="DC119"/>
  <c r="CM119"/>
  <c r="BX119"/>
  <c r="BI119"/>
  <c r="BG119"/>
  <c r="AO119"/>
  <c r="AN119"/>
  <c r="AM119"/>
  <c r="X119"/>
  <c r="W119"/>
  <c r="V119"/>
  <c r="U119"/>
  <c r="DO118"/>
  <c r="DN118"/>
  <c r="DH118"/>
  <c r="DG118"/>
  <c r="DF118"/>
  <c r="DD118"/>
  <c r="DC118"/>
  <c r="CM118"/>
  <c r="BX118"/>
  <c r="BI118"/>
  <c r="BG118"/>
  <c r="AO118"/>
  <c r="AN118"/>
  <c r="AM118"/>
  <c r="X118"/>
  <c r="W118"/>
  <c r="V118"/>
  <c r="U118"/>
  <c r="DO117"/>
  <c r="DN117"/>
  <c r="DH117"/>
  <c r="DG117"/>
  <c r="DF117"/>
  <c r="DD117"/>
  <c r="DC117"/>
  <c r="CM117"/>
  <c r="BX117"/>
  <c r="BI117"/>
  <c r="BG117"/>
  <c r="AO117"/>
  <c r="AN117"/>
  <c r="AM117"/>
  <c r="DH116"/>
  <c r="DG116"/>
  <c r="DF116"/>
  <c r="DD116"/>
  <c r="DC116"/>
  <c r="CM116"/>
  <c r="BX116"/>
  <c r="BI116"/>
  <c r="BG116"/>
  <c r="AO116"/>
  <c r="AN116"/>
  <c r="AM116"/>
  <c r="X116"/>
  <c r="W116"/>
  <c r="V116"/>
  <c r="U116"/>
  <c r="DO115"/>
  <c r="DN115"/>
  <c r="DH115"/>
  <c r="DG115"/>
  <c r="DF115"/>
  <c r="DD115"/>
  <c r="DC115"/>
  <c r="CM115"/>
  <c r="BX115"/>
  <c r="BI115"/>
  <c r="BG115"/>
  <c r="DO114"/>
  <c r="DN114"/>
  <c r="DH114"/>
  <c r="DG114"/>
  <c r="DF114"/>
  <c r="DD114"/>
  <c r="DC114"/>
  <c r="CM114"/>
  <c r="BX114"/>
  <c r="BI114"/>
  <c r="BG114"/>
  <c r="AO114"/>
  <c r="AN114"/>
  <c r="AM114"/>
  <c r="X114"/>
  <c r="W114"/>
  <c r="V114"/>
  <c r="U114"/>
  <c r="DH113"/>
  <c r="DG113"/>
  <c r="DF113"/>
  <c r="DD113"/>
  <c r="DC113"/>
  <c r="CM113"/>
  <c r="BX113"/>
  <c r="BI113"/>
  <c r="BG113"/>
  <c r="AO113"/>
  <c r="AN113"/>
  <c r="AM113"/>
  <c r="X113"/>
  <c r="W113"/>
  <c r="V113"/>
  <c r="U113"/>
  <c r="DO112"/>
  <c r="DN112"/>
  <c r="DH112"/>
  <c r="DG112"/>
  <c r="DF112"/>
  <c r="DD112"/>
  <c r="DC112"/>
  <c r="CM112"/>
  <c r="BX112"/>
  <c r="BI112"/>
  <c r="BG112"/>
  <c r="AO112"/>
  <c r="AN112"/>
  <c r="AM112"/>
  <c r="X112"/>
  <c r="W112"/>
  <c r="V112"/>
  <c r="U112"/>
  <c r="DO111"/>
  <c r="DN111"/>
  <c r="DG111"/>
  <c r="DF111"/>
  <c r="DD111"/>
  <c r="DC111"/>
  <c r="CM111"/>
  <c r="BX111"/>
  <c r="BI111"/>
  <c r="BG111"/>
  <c r="AO111"/>
  <c r="AN111"/>
  <c r="AM111"/>
  <c r="X111"/>
  <c r="W111"/>
  <c r="V111"/>
  <c r="U111"/>
  <c r="DO110"/>
  <c r="DN110"/>
  <c r="DH110"/>
  <c r="DG110"/>
  <c r="DF110"/>
  <c r="DD110"/>
  <c r="DC110"/>
  <c r="CM110"/>
  <c r="BX110"/>
  <c r="BI110"/>
  <c r="BG110"/>
  <c r="AO110"/>
  <c r="AN110"/>
  <c r="AM110"/>
  <c r="X110"/>
  <c r="W110"/>
  <c r="V110"/>
  <c r="U110"/>
  <c r="DO109"/>
  <c r="DN109"/>
  <c r="DH109"/>
  <c r="DG109"/>
  <c r="DF109"/>
  <c r="DD109"/>
  <c r="DC109"/>
  <c r="CM109"/>
  <c r="BX109"/>
  <c r="BI109"/>
  <c r="BG109"/>
  <c r="AO109"/>
  <c r="AN109"/>
  <c r="AM109"/>
  <c r="X109"/>
  <c r="W109"/>
  <c r="V109"/>
  <c r="U109"/>
  <c r="DH108"/>
  <c r="DG108"/>
  <c r="DF108"/>
  <c r="DD108"/>
  <c r="DC108"/>
  <c r="BX108"/>
  <c r="DO107"/>
  <c r="DN107"/>
  <c r="DH107"/>
  <c r="DG107"/>
  <c r="DF107"/>
  <c r="DD107"/>
  <c r="DC107"/>
  <c r="DO106"/>
  <c r="DN106"/>
  <c r="DH106"/>
  <c r="DG106"/>
  <c r="DF106"/>
  <c r="DD106"/>
  <c r="DC106"/>
  <c r="CM106"/>
  <c r="BX106"/>
  <c r="BI106"/>
  <c r="BG106"/>
  <c r="AO106"/>
  <c r="AN106"/>
  <c r="AM106"/>
  <c r="X106"/>
  <c r="W106"/>
  <c r="V106"/>
  <c r="U106"/>
  <c r="DO105"/>
  <c r="DN105"/>
  <c r="DH105"/>
  <c r="DG105"/>
  <c r="DF105"/>
  <c r="DD105"/>
  <c r="DC105"/>
  <c r="CM105"/>
  <c r="BX105"/>
  <c r="BI105"/>
  <c r="BG105"/>
  <c r="AO105"/>
  <c r="AN105"/>
  <c r="AM105"/>
  <c r="X105"/>
  <c r="W105"/>
  <c r="V105"/>
  <c r="U105"/>
  <c r="DO104"/>
  <c r="DN104"/>
  <c r="DH104"/>
  <c r="DG104"/>
  <c r="DF104"/>
  <c r="DD104"/>
  <c r="DC104"/>
  <c r="CM104"/>
  <c r="BX104"/>
  <c r="BI104"/>
  <c r="BG104"/>
  <c r="AO104"/>
  <c r="AN104"/>
  <c r="AM104"/>
  <c r="X104"/>
  <c r="W104"/>
  <c r="V104"/>
  <c r="U104"/>
  <c r="DO103"/>
  <c r="DN103"/>
  <c r="DH103"/>
  <c r="DG103"/>
  <c r="DF103"/>
  <c r="CM103"/>
  <c r="BX103"/>
  <c r="BI103"/>
  <c r="BG103"/>
  <c r="AO103"/>
  <c r="AN103"/>
  <c r="AM103"/>
  <c r="X103"/>
  <c r="W103"/>
  <c r="V103"/>
  <c r="U103"/>
  <c r="DO102"/>
  <c r="DN102"/>
  <c r="DH102"/>
  <c r="DG102"/>
  <c r="DF102"/>
  <c r="DD102"/>
  <c r="DC102"/>
  <c r="CM102"/>
  <c r="BX102"/>
  <c r="BI102"/>
  <c r="BG102"/>
  <c r="AO102"/>
  <c r="AN102"/>
  <c r="AM102"/>
  <c r="X102"/>
  <c r="W102"/>
  <c r="V102"/>
  <c r="U102"/>
  <c r="DO101"/>
  <c r="DN101"/>
  <c r="CM101"/>
  <c r="BX101"/>
  <c r="BI101"/>
  <c r="BG101"/>
  <c r="AO101"/>
  <c r="AN101"/>
  <c r="AM101"/>
  <c r="X101"/>
  <c r="W101"/>
  <c r="V101"/>
  <c r="U101"/>
  <c r="DO100"/>
  <c r="DN100"/>
  <c r="DH100"/>
  <c r="DG100"/>
  <c r="DF100"/>
  <c r="DD100"/>
  <c r="DC100"/>
  <c r="CM100"/>
  <c r="BX100"/>
  <c r="BI100"/>
  <c r="BG100"/>
  <c r="AO100"/>
  <c r="AN100"/>
  <c r="AM100"/>
  <c r="X100"/>
  <c r="W100"/>
  <c r="V100"/>
  <c r="U100"/>
  <c r="DO99"/>
  <c r="DN99"/>
  <c r="DH99"/>
  <c r="DG99"/>
  <c r="DF99"/>
  <c r="DD99"/>
  <c r="DC99"/>
  <c r="CM99"/>
  <c r="BX99"/>
  <c r="BI99"/>
  <c r="BG99"/>
  <c r="AO99"/>
  <c r="AN99"/>
  <c r="AM99"/>
  <c r="X99"/>
  <c r="W99"/>
  <c r="V99"/>
  <c r="U99"/>
  <c r="DO98"/>
  <c r="DN98"/>
  <c r="DH98"/>
  <c r="DG98"/>
  <c r="DF98"/>
  <c r="DD98"/>
  <c r="DC98"/>
  <c r="CM98"/>
  <c r="BX98"/>
  <c r="BI98"/>
  <c r="BG98"/>
  <c r="AO98"/>
  <c r="AN98"/>
  <c r="AM98"/>
  <c r="X98"/>
  <c r="W98"/>
  <c r="V98"/>
  <c r="U98"/>
  <c r="DO97"/>
  <c r="DN97"/>
  <c r="BX97"/>
  <c r="X97"/>
  <c r="W97"/>
  <c r="V97"/>
  <c r="U97"/>
  <c r="DO96"/>
  <c r="DN96"/>
  <c r="DH96"/>
  <c r="DG96"/>
  <c r="DF96"/>
  <c r="DD96"/>
  <c r="DC96"/>
  <c r="CM96"/>
  <c r="BX96"/>
  <c r="BI96"/>
  <c r="BG96"/>
  <c r="AO96"/>
  <c r="AN96"/>
  <c r="AM96"/>
  <c r="X96"/>
  <c r="W96"/>
  <c r="V96"/>
  <c r="U96"/>
  <c r="DD95"/>
  <c r="DC95"/>
  <c r="CM95"/>
  <c r="BX95"/>
  <c r="BI95"/>
  <c r="BG95"/>
  <c r="AO95"/>
  <c r="AN95"/>
  <c r="AM95"/>
  <c r="X95"/>
  <c r="W95"/>
  <c r="V95"/>
  <c r="U95"/>
  <c r="DO94"/>
  <c r="DN94"/>
  <c r="DH94"/>
  <c r="DG94"/>
  <c r="DF94"/>
  <c r="DD94"/>
  <c r="DC94"/>
  <c r="CM94"/>
  <c r="BX94"/>
  <c r="BI94"/>
  <c r="BG94"/>
  <c r="AO94"/>
  <c r="AN94"/>
  <c r="AM94"/>
  <c r="X94"/>
  <c r="W94"/>
  <c r="V94"/>
  <c r="U94"/>
  <c r="DO93"/>
  <c r="DN93"/>
  <c r="DH93"/>
  <c r="DG93"/>
  <c r="DF93"/>
  <c r="DD93"/>
  <c r="DC93"/>
  <c r="CM93"/>
  <c r="BX93"/>
  <c r="BI93"/>
  <c r="BG93"/>
  <c r="AO93"/>
  <c r="AN93"/>
  <c r="AM93"/>
  <c r="X93"/>
  <c r="W93"/>
  <c r="V93"/>
  <c r="U93"/>
  <c r="DO92"/>
  <c r="DN92"/>
  <c r="DH92"/>
  <c r="DG92"/>
  <c r="DF92"/>
  <c r="DD92"/>
  <c r="DC92"/>
  <c r="CM92"/>
  <c r="BX92"/>
  <c r="BI92"/>
  <c r="BG92"/>
  <c r="AO92"/>
  <c r="AN92"/>
  <c r="AM92"/>
  <c r="X92"/>
  <c r="W92"/>
  <c r="V92"/>
  <c r="U92"/>
  <c r="DH91"/>
  <c r="DG91"/>
  <c r="DF91"/>
  <c r="DD91"/>
  <c r="DC91"/>
  <c r="BX91"/>
  <c r="X91"/>
  <c r="W91"/>
  <c r="V91"/>
  <c r="U91"/>
  <c r="DO90"/>
  <c r="DN90"/>
  <c r="DH90"/>
  <c r="DG90"/>
  <c r="DF90"/>
  <c r="DD90"/>
  <c r="DC90"/>
  <c r="CM90"/>
  <c r="BX90"/>
  <c r="BI90"/>
  <c r="BG90"/>
  <c r="AO90"/>
  <c r="AN90"/>
  <c r="AM90"/>
  <c r="X90"/>
  <c r="W90"/>
  <c r="V90"/>
  <c r="U90"/>
  <c r="DO89"/>
  <c r="DN89"/>
  <c r="DG89"/>
  <c r="DF89"/>
  <c r="DD89"/>
  <c r="DC89"/>
  <c r="CM89"/>
  <c r="BX89"/>
  <c r="BI89"/>
  <c r="BG89"/>
  <c r="AO89"/>
  <c r="AN89"/>
  <c r="AM89"/>
  <c r="X89"/>
  <c r="W89"/>
  <c r="V89"/>
  <c r="U89"/>
  <c r="DO88"/>
  <c r="DN88"/>
  <c r="DH88"/>
  <c r="DG88"/>
  <c r="DF88"/>
  <c r="DD88"/>
  <c r="DC88"/>
  <c r="CM88"/>
  <c r="BX88"/>
  <c r="BI88"/>
  <c r="BG88"/>
  <c r="AO88"/>
  <c r="AN88"/>
  <c r="AM88"/>
  <c r="X88"/>
  <c r="W88"/>
  <c r="V88"/>
  <c r="U88"/>
  <c r="DO87"/>
  <c r="DN87"/>
  <c r="DH87"/>
  <c r="DG87"/>
  <c r="DF87"/>
  <c r="CM87"/>
  <c r="BX87"/>
  <c r="BI87"/>
  <c r="BG87"/>
  <c r="AO87"/>
  <c r="AN87"/>
  <c r="AM87"/>
  <c r="X87"/>
  <c r="W87"/>
  <c r="V87"/>
  <c r="U87"/>
  <c r="DO86"/>
  <c r="DN86"/>
  <c r="DH86"/>
  <c r="DG86"/>
  <c r="DF86"/>
  <c r="DD86"/>
  <c r="DC86"/>
  <c r="CM86"/>
  <c r="BX86"/>
  <c r="BI86"/>
  <c r="BG86"/>
  <c r="AO86"/>
  <c r="AN86"/>
  <c r="AM86"/>
  <c r="X86"/>
  <c r="W86"/>
  <c r="V86"/>
  <c r="U86"/>
  <c r="DO85"/>
  <c r="DN85"/>
  <c r="DH85"/>
  <c r="DG85"/>
  <c r="DF85"/>
  <c r="DD85"/>
  <c r="DC85"/>
  <c r="CM85"/>
  <c r="BX85"/>
  <c r="BI85"/>
  <c r="BG85"/>
  <c r="AO85"/>
  <c r="AN85"/>
  <c r="AM85"/>
  <c r="X85"/>
  <c r="W85"/>
  <c r="V85"/>
  <c r="U85"/>
  <c r="DO84"/>
  <c r="DN84"/>
  <c r="DH84"/>
  <c r="DG84"/>
  <c r="DF84"/>
  <c r="DD84"/>
  <c r="DC84"/>
  <c r="CM84"/>
  <c r="BX84"/>
  <c r="BI84"/>
  <c r="BG84"/>
  <c r="AO84"/>
  <c r="AN84"/>
  <c r="AM84"/>
  <c r="X84"/>
  <c r="W84"/>
  <c r="V84"/>
  <c r="U84"/>
  <c r="DO83"/>
  <c r="DN83"/>
  <c r="DH83"/>
  <c r="DG83"/>
  <c r="DF83"/>
  <c r="DD83"/>
  <c r="DC83"/>
  <c r="CM83"/>
  <c r="BX83"/>
  <c r="BI83"/>
  <c r="BG83"/>
  <c r="AO83"/>
  <c r="AN83"/>
  <c r="AM83"/>
  <c r="X83"/>
  <c r="W83"/>
  <c r="V83"/>
  <c r="U83"/>
  <c r="DO82"/>
  <c r="DN82"/>
  <c r="DH82"/>
  <c r="DG82"/>
  <c r="DF82"/>
  <c r="DD82"/>
  <c r="DC82"/>
  <c r="CM82"/>
  <c r="BX82"/>
  <c r="BI82"/>
  <c r="BG82"/>
  <c r="AO82"/>
  <c r="AN82"/>
  <c r="AM82"/>
  <c r="X82"/>
  <c r="W82"/>
  <c r="V82"/>
  <c r="U82"/>
  <c r="DO81"/>
  <c r="DN81"/>
  <c r="DH81"/>
  <c r="DG81"/>
  <c r="DF81"/>
  <c r="DD81"/>
  <c r="DC81"/>
  <c r="CM81"/>
  <c r="BX81"/>
  <c r="BI81"/>
  <c r="BG81"/>
  <c r="AO81"/>
  <c r="AN81"/>
  <c r="AM81"/>
  <c r="X81"/>
  <c r="W81"/>
  <c r="V81"/>
  <c r="U81"/>
  <c r="DO80"/>
  <c r="DN80"/>
  <c r="DH80"/>
  <c r="DG80"/>
  <c r="DF80"/>
  <c r="DD80"/>
  <c r="DC80"/>
  <c r="CM80"/>
  <c r="BX80"/>
  <c r="BI80"/>
  <c r="BG80"/>
  <c r="AO80"/>
  <c r="AN80"/>
  <c r="AM80"/>
  <c r="X80"/>
  <c r="W80"/>
  <c r="V80"/>
  <c r="U80"/>
  <c r="CM79"/>
  <c r="BX79"/>
  <c r="BI79"/>
  <c r="BG79"/>
  <c r="AO79"/>
  <c r="AN79"/>
  <c r="AM79"/>
  <c r="X79"/>
  <c r="W79"/>
  <c r="V79"/>
  <c r="U79"/>
  <c r="DO78"/>
  <c r="DN78"/>
  <c r="DH78"/>
  <c r="DG78"/>
  <c r="DF78"/>
  <c r="DD78"/>
  <c r="DC78"/>
  <c r="CM78"/>
  <c r="BX78"/>
  <c r="BI78"/>
  <c r="BG78"/>
  <c r="AO78"/>
  <c r="AN78"/>
  <c r="AM78"/>
  <c r="X78"/>
  <c r="W78"/>
  <c r="V78"/>
  <c r="U78"/>
  <c r="DO77"/>
  <c r="DN77"/>
  <c r="DH77"/>
  <c r="DG77"/>
  <c r="DF77"/>
  <c r="DD77"/>
  <c r="DC77"/>
  <c r="CM77"/>
  <c r="BX77"/>
  <c r="BI77"/>
  <c r="BG77"/>
  <c r="AO77"/>
  <c r="AN77"/>
  <c r="AM77"/>
  <c r="X77"/>
  <c r="W77"/>
  <c r="V77"/>
  <c r="U77"/>
  <c r="DO76"/>
  <c r="DN76"/>
  <c r="DH76"/>
  <c r="DG76"/>
  <c r="DF76"/>
  <c r="DD76"/>
  <c r="DC76"/>
  <c r="CM76"/>
  <c r="BX76"/>
  <c r="BI76"/>
  <c r="BG76"/>
  <c r="AO76"/>
  <c r="AN76"/>
  <c r="AM76"/>
  <c r="X76"/>
  <c r="W76"/>
  <c r="V76"/>
  <c r="U76"/>
  <c r="DO75"/>
  <c r="DN75"/>
  <c r="DH75"/>
  <c r="DG75"/>
  <c r="DF75"/>
  <c r="DD75"/>
  <c r="DC75"/>
  <c r="CM75"/>
  <c r="BX75"/>
  <c r="BI75"/>
  <c r="BG75"/>
  <c r="AO75"/>
  <c r="AN75"/>
  <c r="AM75"/>
  <c r="X75"/>
  <c r="W75"/>
  <c r="V75"/>
  <c r="U75"/>
  <c r="DH74"/>
  <c r="DG74"/>
  <c r="DF74"/>
  <c r="DD74"/>
  <c r="DC74"/>
  <c r="CM74"/>
  <c r="BX74"/>
  <c r="BI74"/>
  <c r="BG74"/>
  <c r="AO74"/>
  <c r="AN74"/>
  <c r="AM74"/>
  <c r="X74"/>
  <c r="W74"/>
  <c r="V74"/>
  <c r="U74"/>
  <c r="DO73"/>
  <c r="DN73"/>
  <c r="DH73"/>
  <c r="DG73"/>
  <c r="DF73"/>
  <c r="DD73"/>
  <c r="DC73"/>
  <c r="CM73"/>
  <c r="BX73"/>
  <c r="BI73"/>
  <c r="BG73"/>
  <c r="AO73"/>
  <c r="AN73"/>
  <c r="AM73"/>
  <c r="X73"/>
  <c r="W73"/>
  <c r="V73"/>
  <c r="U73"/>
  <c r="DO72"/>
  <c r="DN72"/>
  <c r="DH72"/>
  <c r="DG72"/>
  <c r="DF72"/>
  <c r="DD72"/>
  <c r="DC72"/>
  <c r="CM72"/>
  <c r="BX72"/>
  <c r="DO71"/>
  <c r="DN71"/>
  <c r="CM71"/>
  <c r="BX71"/>
  <c r="BI71"/>
  <c r="BG71"/>
  <c r="AO71"/>
  <c r="AN71"/>
  <c r="AM71"/>
  <c r="X71"/>
  <c r="W71"/>
  <c r="V71"/>
  <c r="U71"/>
  <c r="DO70"/>
  <c r="DN70"/>
  <c r="DH70"/>
  <c r="DG70"/>
  <c r="DF70"/>
  <c r="DD70"/>
  <c r="DC70"/>
  <c r="CM70"/>
  <c r="BX70"/>
  <c r="BI70"/>
  <c r="BG70"/>
  <c r="AO70"/>
  <c r="AN70"/>
  <c r="AM70"/>
  <c r="X70"/>
  <c r="W70"/>
  <c r="V70"/>
  <c r="U70"/>
  <c r="BX69"/>
  <c r="DO68"/>
  <c r="DN68"/>
  <c r="DH68"/>
  <c r="DG68"/>
  <c r="DF68"/>
  <c r="CM68"/>
  <c r="BX68"/>
  <c r="BI68"/>
  <c r="BG68"/>
  <c r="X68"/>
  <c r="W68"/>
  <c r="V68"/>
  <c r="U68"/>
  <c r="DO67"/>
  <c r="DN67"/>
  <c r="DH67"/>
  <c r="DG67"/>
  <c r="DF67"/>
  <c r="DD67"/>
  <c r="DC67"/>
  <c r="CM67"/>
  <c r="BX67"/>
  <c r="BI67"/>
  <c r="BG67"/>
  <c r="AO67"/>
  <c r="AN67"/>
  <c r="AM67"/>
  <c r="X67"/>
  <c r="W67"/>
  <c r="V67"/>
  <c r="U67"/>
  <c r="DO66"/>
  <c r="DN66"/>
  <c r="DH66"/>
  <c r="DG66"/>
  <c r="DF66"/>
  <c r="DD66"/>
  <c r="DC66"/>
  <c r="CM66"/>
  <c r="BX66"/>
  <c r="BI66"/>
  <c r="BG66"/>
  <c r="AO66"/>
  <c r="AN66"/>
  <c r="AM66"/>
  <c r="X66"/>
  <c r="W66"/>
  <c r="V66"/>
  <c r="U66"/>
  <c r="DO65"/>
  <c r="DN65"/>
  <c r="DH65"/>
  <c r="DG65"/>
  <c r="DF65"/>
  <c r="DD65"/>
  <c r="DC65"/>
  <c r="CM65"/>
  <c r="BX65"/>
  <c r="BI65"/>
  <c r="BG65"/>
  <c r="AO65"/>
  <c r="AN65"/>
  <c r="AM65"/>
  <c r="X65"/>
  <c r="W65"/>
  <c r="V65"/>
  <c r="U65"/>
  <c r="DO64"/>
  <c r="DN64"/>
  <c r="DH64"/>
  <c r="DG64"/>
  <c r="DF64"/>
  <c r="DD64"/>
  <c r="DC64"/>
  <c r="CM64"/>
  <c r="BX64"/>
  <c r="BI64"/>
  <c r="BG64"/>
  <c r="AO64"/>
  <c r="AN64"/>
  <c r="AM64"/>
  <c r="X64"/>
  <c r="W64"/>
  <c r="V64"/>
  <c r="U64"/>
  <c r="DH63"/>
  <c r="DD63"/>
  <c r="DC63"/>
  <c r="CM63"/>
  <c r="BX63"/>
  <c r="BI63"/>
  <c r="BG63"/>
  <c r="AO63"/>
  <c r="AN63"/>
  <c r="AM63"/>
  <c r="X63"/>
  <c r="W63"/>
  <c r="V63"/>
  <c r="U63"/>
  <c r="DO62"/>
  <c r="DN62"/>
  <c r="DH62"/>
  <c r="DG62"/>
  <c r="DF62"/>
  <c r="DD62"/>
  <c r="DC62"/>
  <c r="CM62"/>
  <c r="BX62"/>
  <c r="BI62"/>
  <c r="BG62"/>
  <c r="AO62"/>
  <c r="AN62"/>
  <c r="AM62"/>
  <c r="X62"/>
  <c r="W62"/>
  <c r="V62"/>
  <c r="U62"/>
  <c r="DO61"/>
  <c r="DN61"/>
  <c r="DH61"/>
  <c r="DG61"/>
  <c r="DF61"/>
  <c r="DD61"/>
  <c r="DC61"/>
  <c r="CM61"/>
  <c r="BX61"/>
  <c r="BI61"/>
  <c r="BG61"/>
  <c r="AO61"/>
  <c r="AN61"/>
  <c r="AM61"/>
  <c r="X61"/>
  <c r="W61"/>
  <c r="V61"/>
  <c r="U61"/>
  <c r="DO60"/>
  <c r="DN60"/>
  <c r="DD60"/>
  <c r="DC60"/>
  <c r="CM60"/>
  <c r="BX60"/>
  <c r="BI60"/>
  <c r="BG60"/>
  <c r="AO60"/>
  <c r="AN60"/>
  <c r="AM60"/>
  <c r="X60"/>
  <c r="W60"/>
  <c r="V60"/>
  <c r="U60"/>
  <c r="DO59"/>
  <c r="DN59"/>
  <c r="DH59"/>
  <c r="DG59"/>
  <c r="DF59"/>
  <c r="DD59"/>
  <c r="DC59"/>
  <c r="BX59"/>
  <c r="BI59"/>
  <c r="BG59"/>
  <c r="AO59"/>
  <c r="AN59"/>
  <c r="AM59"/>
  <c r="DO58"/>
  <c r="DN58"/>
  <c r="DH58"/>
  <c r="DG58"/>
  <c r="DF58"/>
  <c r="DD58"/>
  <c r="DC58"/>
  <c r="CM58"/>
  <c r="BX58"/>
  <c r="BI58"/>
  <c r="BG58"/>
  <c r="AO58"/>
  <c r="AN58"/>
  <c r="AM58"/>
  <c r="X58"/>
  <c r="W58"/>
  <c r="V58"/>
  <c r="U58"/>
  <c r="DO57"/>
  <c r="DN57"/>
  <c r="DH57"/>
  <c r="CM57"/>
  <c r="BX57"/>
  <c r="BI57"/>
  <c r="BG57"/>
  <c r="AO57"/>
  <c r="AN57"/>
  <c r="AM57"/>
  <c r="X57"/>
  <c r="W57"/>
  <c r="V57"/>
  <c r="U57"/>
  <c r="DO56"/>
  <c r="DN56"/>
  <c r="DH56"/>
  <c r="DG56"/>
  <c r="DF56"/>
  <c r="DD56"/>
  <c r="DC56"/>
  <c r="CM56"/>
  <c r="BX56"/>
  <c r="BI56"/>
  <c r="BG56"/>
  <c r="AO56"/>
  <c r="AN56"/>
  <c r="AM56"/>
  <c r="X56"/>
  <c r="W56"/>
  <c r="V56"/>
  <c r="U56"/>
  <c r="DH55"/>
  <c r="DG55"/>
  <c r="DF55"/>
  <c r="DD55"/>
  <c r="DC55"/>
  <c r="CM55"/>
  <c r="BX55"/>
  <c r="BI55"/>
  <c r="BG55"/>
  <c r="X55"/>
  <c r="W55"/>
  <c r="V55"/>
  <c r="U55"/>
  <c r="DO54"/>
  <c r="DN54"/>
  <c r="DH54"/>
  <c r="DG54"/>
  <c r="DF54"/>
  <c r="DD54"/>
  <c r="DC54"/>
  <c r="CM54"/>
  <c r="BX54"/>
  <c r="BI54"/>
  <c r="BG54"/>
  <c r="AO54"/>
  <c r="AN54"/>
  <c r="AM54"/>
  <c r="X54"/>
  <c r="W54"/>
  <c r="V54"/>
  <c r="U54"/>
  <c r="DO53"/>
  <c r="DN53"/>
  <c r="DG53"/>
  <c r="DF53"/>
  <c r="DD53"/>
  <c r="DC53"/>
  <c r="CM53"/>
  <c r="BX53"/>
  <c r="BI53"/>
  <c r="BG53"/>
  <c r="AO53"/>
  <c r="AN53"/>
  <c r="AM53"/>
  <c r="X53"/>
  <c r="W53"/>
  <c r="V53"/>
  <c r="U53"/>
  <c r="DO52"/>
  <c r="DN52"/>
  <c r="DH52"/>
  <c r="DG52"/>
  <c r="DF52"/>
  <c r="DD52"/>
  <c r="DC52"/>
  <c r="CM52"/>
  <c r="BX52"/>
  <c r="BI52"/>
  <c r="BG52"/>
  <c r="AO52"/>
  <c r="AN52"/>
  <c r="AM52"/>
  <c r="X52"/>
  <c r="W52"/>
  <c r="V52"/>
  <c r="U52"/>
  <c r="DH51"/>
  <c r="CM51"/>
  <c r="BX51"/>
  <c r="BI51"/>
  <c r="BG51"/>
  <c r="AO51"/>
  <c r="AN51"/>
  <c r="AM51"/>
  <c r="X51"/>
  <c r="W51"/>
  <c r="V51"/>
  <c r="U51"/>
  <c r="DO50"/>
  <c r="DN50"/>
  <c r="DH50"/>
  <c r="DG50"/>
  <c r="DF50"/>
  <c r="DD50"/>
  <c r="DC50"/>
  <c r="CM50"/>
  <c r="BX50"/>
  <c r="BI50"/>
  <c r="BG50"/>
  <c r="AO50"/>
  <c r="AN50"/>
  <c r="AM50"/>
  <c r="X50"/>
  <c r="W50"/>
  <c r="V50"/>
  <c r="U50"/>
  <c r="DO49"/>
  <c r="DN49"/>
  <c r="CM49"/>
  <c r="BX49"/>
  <c r="BI49"/>
  <c r="BG49"/>
  <c r="AO49"/>
  <c r="AN49"/>
  <c r="AM49"/>
  <c r="X49"/>
  <c r="W49"/>
  <c r="V49"/>
  <c r="U49"/>
  <c r="DO48"/>
  <c r="DN48"/>
  <c r="DH48"/>
  <c r="DG48"/>
  <c r="DF48"/>
  <c r="CM48"/>
  <c r="BX48"/>
  <c r="BI48"/>
  <c r="BG48"/>
  <c r="AO48"/>
  <c r="AN48"/>
  <c r="AM48"/>
  <c r="X48"/>
  <c r="W48"/>
  <c r="V48"/>
  <c r="U48"/>
  <c r="CM47"/>
  <c r="BX47"/>
  <c r="BI47"/>
  <c r="BG47"/>
  <c r="AO47"/>
  <c r="AN47"/>
  <c r="AM47"/>
  <c r="X47"/>
  <c r="W47"/>
  <c r="V47"/>
  <c r="U47"/>
  <c r="DO46"/>
  <c r="DN46"/>
  <c r="DH46"/>
  <c r="DG46"/>
  <c r="DF46"/>
  <c r="DD46"/>
  <c r="DC46"/>
  <c r="CM46"/>
  <c r="BX46"/>
  <c r="BI46"/>
  <c r="BG46"/>
  <c r="AO46"/>
  <c r="AN46"/>
  <c r="AM46"/>
  <c r="X46"/>
  <c r="W46"/>
  <c r="V46"/>
  <c r="U46"/>
  <c r="DH45"/>
  <c r="DG45"/>
  <c r="DF45"/>
  <c r="DD45"/>
  <c r="DC45"/>
  <c r="CM45"/>
  <c r="BX45"/>
  <c r="BI45"/>
  <c r="BG45"/>
  <c r="AO45"/>
  <c r="AN45"/>
  <c r="AM45"/>
  <c r="X45"/>
  <c r="W45"/>
  <c r="V45"/>
  <c r="U45"/>
  <c r="DO44"/>
  <c r="DN44"/>
  <c r="DH44"/>
  <c r="DG44"/>
  <c r="DF44"/>
  <c r="DD44"/>
  <c r="DC44"/>
  <c r="CM44"/>
  <c r="BX44"/>
  <c r="BI44"/>
  <c r="BG44"/>
  <c r="AO44"/>
  <c r="AN44"/>
  <c r="AM44"/>
  <c r="X44"/>
  <c r="W44"/>
  <c r="V44"/>
  <c r="U44"/>
  <c r="DO43"/>
  <c r="DN43"/>
  <c r="DH43"/>
  <c r="DG43"/>
  <c r="DF43"/>
  <c r="DD43"/>
  <c r="DC43"/>
  <c r="CM43"/>
  <c r="BX43"/>
  <c r="BI43"/>
  <c r="BG43"/>
  <c r="AO43"/>
  <c r="AN43"/>
  <c r="AM43"/>
  <c r="X43"/>
  <c r="W43"/>
  <c r="V43"/>
  <c r="U43"/>
  <c r="DO42"/>
  <c r="DN42"/>
  <c r="DG42"/>
  <c r="DF42"/>
  <c r="DD42"/>
  <c r="DC42"/>
  <c r="CM42"/>
  <c r="BX42"/>
  <c r="BI42"/>
  <c r="BG42"/>
  <c r="AO42"/>
  <c r="AN42"/>
  <c r="AM42"/>
  <c r="X42"/>
  <c r="W42"/>
  <c r="V42"/>
  <c r="U42"/>
  <c r="DH41"/>
  <c r="DG41"/>
  <c r="DF41"/>
  <c r="DD41"/>
  <c r="DC41"/>
  <c r="CM41"/>
  <c r="BX41"/>
  <c r="BI41"/>
  <c r="BG41"/>
  <c r="AO41"/>
  <c r="AN41"/>
  <c r="AM41"/>
  <c r="X41"/>
  <c r="W41"/>
  <c r="V41"/>
  <c r="U41"/>
  <c r="DO40"/>
  <c r="DN40"/>
  <c r="DH40"/>
  <c r="DG40"/>
  <c r="DF40"/>
  <c r="CM40"/>
  <c r="BX40"/>
  <c r="BI40"/>
  <c r="BG40"/>
  <c r="AO40"/>
  <c r="AN40"/>
  <c r="AM40"/>
  <c r="X40"/>
  <c r="W40"/>
  <c r="V40"/>
  <c r="U40"/>
  <c r="DH39"/>
  <c r="DG39"/>
  <c r="DF39"/>
  <c r="DD39"/>
  <c r="DC39"/>
  <c r="CM39"/>
  <c r="BX39"/>
  <c r="BI39"/>
  <c r="BG39"/>
  <c r="AO39"/>
  <c r="AN39"/>
  <c r="AM39"/>
  <c r="X39"/>
  <c r="W39"/>
  <c r="V39"/>
  <c r="U39"/>
  <c r="DO38"/>
  <c r="DN38"/>
  <c r="DH38"/>
  <c r="DG38"/>
  <c r="DF38"/>
  <c r="DD38"/>
  <c r="DC38"/>
  <c r="CM38"/>
  <c r="BX38"/>
  <c r="BI38"/>
  <c r="BG38"/>
  <c r="AO38"/>
  <c r="AN38"/>
  <c r="AM38"/>
  <c r="X38"/>
  <c r="W38"/>
  <c r="V38"/>
  <c r="U38"/>
  <c r="DH37"/>
  <c r="DG37"/>
  <c r="DF37"/>
  <c r="DD37"/>
  <c r="DC37"/>
  <c r="CM37"/>
  <c r="BX37"/>
  <c r="BI37"/>
  <c r="BG37"/>
  <c r="AO37"/>
  <c r="AN37"/>
  <c r="AM37"/>
  <c r="X37"/>
  <c r="W37"/>
  <c r="V37"/>
  <c r="U37"/>
  <c r="DH36"/>
  <c r="DG36"/>
  <c r="DF36"/>
  <c r="DD36"/>
  <c r="DC36"/>
  <c r="CM36"/>
  <c r="BX36"/>
  <c r="BI36"/>
  <c r="BG36"/>
  <c r="AO36"/>
  <c r="AN36"/>
  <c r="AM36"/>
  <c r="X36"/>
  <c r="W36"/>
  <c r="V36"/>
  <c r="U36"/>
  <c r="CM35"/>
  <c r="BX35"/>
  <c r="BI35"/>
  <c r="BG35"/>
  <c r="AO35"/>
  <c r="AN35"/>
  <c r="AM35"/>
  <c r="X35"/>
  <c r="W35"/>
  <c r="V35"/>
  <c r="U35"/>
  <c r="DH34"/>
  <c r="DG34"/>
  <c r="DF34"/>
  <c r="DD34"/>
  <c r="DC34"/>
  <c r="CM34"/>
  <c r="BX34"/>
  <c r="BI34"/>
  <c r="BG34"/>
  <c r="AO34"/>
  <c r="AN34"/>
  <c r="AM34"/>
  <c r="X34"/>
  <c r="W34"/>
  <c r="V34"/>
  <c r="U34"/>
  <c r="DH33"/>
  <c r="DG33"/>
  <c r="DF33"/>
  <c r="DD33"/>
  <c r="DC33"/>
  <c r="BX33"/>
  <c r="AO33"/>
  <c r="AN33"/>
  <c r="AM33"/>
  <c r="DO32"/>
  <c r="DN32"/>
  <c r="DH32"/>
  <c r="DG32"/>
  <c r="DF32"/>
  <c r="DD32"/>
  <c r="DC32"/>
  <c r="BX32"/>
  <c r="BI32"/>
  <c r="BG32"/>
  <c r="AO32"/>
  <c r="AN32"/>
  <c r="AM32"/>
  <c r="X32"/>
  <c r="W32"/>
  <c r="V32"/>
  <c r="U32"/>
  <c r="DO31"/>
  <c r="DN31"/>
  <c r="DG31"/>
  <c r="DF31"/>
  <c r="DD31"/>
  <c r="DC31"/>
  <c r="CM31"/>
  <c r="BX31"/>
  <c r="BI31"/>
  <c r="BG31"/>
  <c r="AO31"/>
  <c r="AN31"/>
  <c r="AM31"/>
  <c r="X31"/>
  <c r="W31"/>
  <c r="V31"/>
  <c r="U31"/>
  <c r="DO30"/>
  <c r="DN30"/>
  <c r="DH30"/>
  <c r="DG30"/>
  <c r="DF30"/>
  <c r="DD30"/>
  <c r="DC30"/>
  <c r="CM30"/>
  <c r="BX30"/>
  <c r="BI30"/>
  <c r="BG30"/>
  <c r="AO30"/>
  <c r="AN30"/>
  <c r="AM30"/>
  <c r="X30"/>
  <c r="W30"/>
  <c r="V30"/>
  <c r="U30"/>
  <c r="DO29"/>
  <c r="DN29"/>
  <c r="DG29"/>
  <c r="DF29"/>
  <c r="DD29"/>
  <c r="DC29"/>
  <c r="CM29"/>
  <c r="BX29"/>
  <c r="BI29"/>
  <c r="BG29"/>
  <c r="AO29"/>
  <c r="AN29"/>
  <c r="AM29"/>
  <c r="X29"/>
  <c r="W29"/>
  <c r="V29"/>
  <c r="U29"/>
  <c r="CM28"/>
  <c r="BX28"/>
  <c r="BI28"/>
  <c r="BG28"/>
  <c r="DO27"/>
  <c r="DN27"/>
  <c r="DH27"/>
  <c r="DG27"/>
  <c r="DF27"/>
  <c r="DD27"/>
  <c r="DC27"/>
  <c r="CM27"/>
  <c r="BX27"/>
  <c r="BI27"/>
  <c r="BG27"/>
  <c r="AO27"/>
  <c r="AN27"/>
  <c r="AM27"/>
  <c r="X27"/>
  <c r="W27"/>
  <c r="V27"/>
  <c r="U27"/>
  <c r="DO26"/>
  <c r="DN26"/>
  <c r="DH26"/>
  <c r="DG26"/>
  <c r="DF26"/>
  <c r="DD26"/>
  <c r="DC26"/>
  <c r="CM26"/>
  <c r="BX26"/>
  <c r="BI26"/>
  <c r="BG26"/>
  <c r="AO26"/>
  <c r="AN26"/>
  <c r="AM26"/>
  <c r="X26"/>
  <c r="W26"/>
  <c r="V26"/>
  <c r="U26"/>
  <c r="DO25"/>
  <c r="DN25"/>
  <c r="DH25"/>
  <c r="DG25"/>
  <c r="DF25"/>
  <c r="DD25"/>
  <c r="DC25"/>
  <c r="CM25"/>
  <c r="BX25"/>
  <c r="BI25"/>
  <c r="BG25"/>
  <c r="AO25"/>
  <c r="AN25"/>
  <c r="AM25"/>
  <c r="X25"/>
  <c r="W25"/>
  <c r="V25"/>
  <c r="U25"/>
  <c r="DO24"/>
  <c r="DN24"/>
  <c r="DH24"/>
  <c r="DG24"/>
  <c r="DF24"/>
  <c r="DD24"/>
  <c r="DC24"/>
  <c r="CM24"/>
  <c r="BX24"/>
  <c r="BI24"/>
  <c r="BG24"/>
  <c r="AO24"/>
  <c r="AN24"/>
  <c r="AM24"/>
  <c r="X24"/>
  <c r="W24"/>
  <c r="V24"/>
  <c r="U24"/>
  <c r="DO23"/>
  <c r="DN23"/>
  <c r="DH23"/>
  <c r="DG23"/>
  <c r="DF23"/>
  <c r="DD23"/>
  <c r="DC23"/>
  <c r="CM23"/>
  <c r="BX23"/>
  <c r="BI23"/>
  <c r="BG23"/>
  <c r="X23"/>
  <c r="W23"/>
  <c r="V23"/>
  <c r="U23"/>
  <c r="DH22"/>
  <c r="CM22"/>
  <c r="BX22"/>
  <c r="BI22"/>
  <c r="BG22"/>
  <c r="AO22"/>
  <c r="AN22"/>
  <c r="AM22"/>
  <c r="DO21"/>
  <c r="DN21"/>
  <c r="DH21"/>
  <c r="DG21"/>
  <c r="DF21"/>
  <c r="CM21"/>
  <c r="BX21"/>
  <c r="BI21"/>
  <c r="BG21"/>
  <c r="AO21"/>
  <c r="AN21"/>
  <c r="AM21"/>
  <c r="X21"/>
  <c r="W21"/>
  <c r="V21"/>
  <c r="U21"/>
  <c r="DO20"/>
  <c r="DN20"/>
  <c r="DH20"/>
  <c r="DG20"/>
  <c r="DF20"/>
  <c r="DD20"/>
  <c r="DC20"/>
  <c r="CM20"/>
  <c r="BX20"/>
  <c r="BI20"/>
  <c r="BG20"/>
  <c r="AO20"/>
  <c r="AN20"/>
  <c r="AM20"/>
  <c r="X20"/>
  <c r="W20"/>
  <c r="V20"/>
  <c r="U20"/>
  <c r="DG19"/>
  <c r="DF19"/>
  <c r="DD19"/>
  <c r="DC19"/>
  <c r="CM19"/>
  <c r="BX19"/>
  <c r="BI19"/>
  <c r="BG19"/>
  <c r="DH18"/>
  <c r="DG18"/>
  <c r="DF18"/>
  <c r="DD18"/>
  <c r="DC18"/>
  <c r="CM18"/>
  <c r="BX18"/>
  <c r="BI18"/>
  <c r="BG18"/>
  <c r="AO18"/>
  <c r="AN18"/>
  <c r="AM18"/>
  <c r="X18"/>
  <c r="W18"/>
  <c r="V18"/>
  <c r="U18"/>
  <c r="DO17"/>
  <c r="DN17"/>
  <c r="DH17"/>
  <c r="DG17"/>
  <c r="DF17"/>
  <c r="DD17"/>
  <c r="DC17"/>
  <c r="CM17"/>
  <c r="BX17"/>
  <c r="BI17"/>
  <c r="BG17"/>
  <c r="AO17"/>
  <c r="AN17"/>
  <c r="AM17"/>
  <c r="X17"/>
  <c r="W17"/>
  <c r="V17"/>
  <c r="U17"/>
  <c r="DO16"/>
  <c r="DN16"/>
  <c r="DH16"/>
  <c r="DG16"/>
  <c r="DF16"/>
  <c r="DD16"/>
  <c r="DC16"/>
  <c r="CM16"/>
  <c r="BX16"/>
  <c r="BI16"/>
  <c r="BG16"/>
  <c r="AO16"/>
  <c r="AN16"/>
  <c r="AM16"/>
  <c r="X16"/>
  <c r="W16"/>
  <c r="V16"/>
  <c r="U16"/>
  <c r="DG15"/>
  <c r="DF15"/>
  <c r="CM15"/>
  <c r="BX15"/>
  <c r="BI15"/>
  <c r="BG15"/>
  <c r="AO15"/>
  <c r="AN15"/>
  <c r="AM15"/>
  <c r="X15"/>
  <c r="W15"/>
  <c r="V15"/>
  <c r="U15"/>
  <c r="DO14"/>
  <c r="DN14"/>
  <c r="DH14"/>
  <c r="DG14"/>
  <c r="DF14"/>
  <c r="DD14"/>
  <c r="DC14"/>
  <c r="CM14"/>
  <c r="BX14"/>
  <c r="BI14"/>
  <c r="BG14"/>
  <c r="AO14"/>
  <c r="AN14"/>
  <c r="AM14"/>
  <c r="X14"/>
  <c r="W14"/>
  <c r="V14"/>
  <c r="U14"/>
  <c r="DO13"/>
  <c r="DN13"/>
  <c r="DG13"/>
  <c r="DF13"/>
  <c r="DD13"/>
  <c r="DC13"/>
  <c r="CM13"/>
  <c r="BX13"/>
  <c r="BI13"/>
  <c r="BG13"/>
  <c r="AO13"/>
  <c r="AN13"/>
  <c r="AM13"/>
  <c r="X13"/>
  <c r="W13"/>
  <c r="V13"/>
  <c r="U13"/>
  <c r="DO12"/>
  <c r="DN12"/>
  <c r="DH12"/>
  <c r="DG12"/>
  <c r="DF12"/>
  <c r="DD12"/>
  <c r="DC12"/>
  <c r="CM12"/>
  <c r="BX12"/>
  <c r="BI12"/>
  <c r="BG12"/>
  <c r="AO12"/>
  <c r="AN12"/>
  <c r="AM12"/>
  <c r="X12"/>
  <c r="W12"/>
  <c r="V12"/>
  <c r="U12"/>
  <c r="DO11"/>
  <c r="DN11"/>
  <c r="DH11"/>
  <c r="DG11"/>
  <c r="DF11"/>
  <c r="DD11"/>
  <c r="DC11"/>
  <c r="CM11"/>
  <c r="BX11"/>
  <c r="BI11"/>
  <c r="BG11"/>
  <c r="AO11"/>
  <c r="AN11"/>
  <c r="AM11"/>
  <c r="X11"/>
  <c r="W11"/>
  <c r="V11"/>
  <c r="U11"/>
  <c r="DH10"/>
  <c r="DG10"/>
  <c r="DF10"/>
  <c r="DD10"/>
  <c r="DC10"/>
  <c r="BX10"/>
  <c r="BI10"/>
  <c r="BG10"/>
  <c r="DH9"/>
  <c r="DG9"/>
  <c r="DF9"/>
  <c r="DD9"/>
  <c r="DC9"/>
  <c r="CM9"/>
  <c r="BX9"/>
  <c r="BI9"/>
  <c r="BG9"/>
  <c r="AO9"/>
  <c r="AN9"/>
  <c r="AM9"/>
  <c r="X9"/>
  <c r="W9"/>
  <c r="V9"/>
  <c r="U9"/>
  <c r="DO8"/>
  <c r="DN8"/>
  <c r="DH8"/>
  <c r="DG8"/>
  <c r="DF8"/>
  <c r="DD8"/>
  <c r="DC8"/>
  <c r="CM8"/>
  <c r="BX8"/>
  <c r="BI8"/>
  <c r="BG8"/>
  <c r="AO8"/>
  <c r="AN8"/>
  <c r="AM8"/>
  <c r="X8"/>
  <c r="W8"/>
  <c r="V8"/>
  <c r="U8"/>
  <c r="DO7"/>
  <c r="DN7"/>
  <c r="BX7"/>
  <c r="BI7"/>
  <c r="BG7"/>
  <c r="X7"/>
  <c r="W7"/>
  <c r="V7"/>
  <c r="U7"/>
  <c r="DH6"/>
  <c r="DG6"/>
  <c r="DF6"/>
  <c r="DD6"/>
  <c r="DC6"/>
  <c r="CM6"/>
  <c r="BX6"/>
  <c r="BI6"/>
  <c r="BG6"/>
  <c r="AO6"/>
  <c r="AN6"/>
  <c r="AM6"/>
  <c r="X6"/>
  <c r="W6"/>
  <c r="V6"/>
  <c r="U6"/>
  <c r="DO5"/>
  <c r="DN5"/>
  <c r="DH5"/>
  <c r="DG5"/>
  <c r="DF5"/>
  <c r="DD5"/>
  <c r="DC5"/>
  <c r="CM5"/>
  <c r="BX5"/>
  <c r="BI5"/>
  <c r="BG5"/>
  <c r="AO5"/>
  <c r="AN5"/>
  <c r="AM5"/>
  <c r="X5"/>
  <c r="W5"/>
  <c r="V5"/>
  <c r="U5"/>
  <c r="DO4"/>
  <c r="DN4"/>
  <c r="DH4"/>
  <c r="DG4"/>
  <c r="DF4"/>
  <c r="DD4"/>
  <c r="DC4"/>
  <c r="CM4"/>
  <c r="BX4"/>
  <c r="BI4"/>
  <c r="BG4"/>
  <c r="DO3"/>
  <c r="DN3"/>
  <c r="DH3"/>
  <c r="DG3"/>
  <c r="DF3"/>
  <c r="DD3"/>
  <c r="DC3"/>
  <c r="CM3"/>
  <c r="BX3"/>
  <c r="BI3"/>
  <c r="BG3"/>
  <c r="AO3"/>
  <c r="AN3"/>
  <c r="AM3"/>
  <c r="X3"/>
  <c r="W3"/>
  <c r="V3"/>
  <c r="U3"/>
  <c r="DO2"/>
  <c r="DN2"/>
  <c r="DH2"/>
  <c r="DG2"/>
  <c r="DF2"/>
  <c r="DD2"/>
  <c r="DC2"/>
  <c r="CM2"/>
  <c r="BX2"/>
  <c r="BI2"/>
  <c r="BG2"/>
  <c r="AO2"/>
  <c r="AN2"/>
  <c r="AM2"/>
  <c r="X2"/>
  <c r="W2"/>
  <c r="V2"/>
  <c r="U2"/>
  <c r="A2"/>
  <c r="C2"/>
  <c r="G2"/>
  <c r="A3"/>
  <c r="C3"/>
  <c r="G3"/>
  <c r="A4"/>
  <c r="C4"/>
  <c r="G4"/>
  <c r="A5"/>
  <c r="C5"/>
  <c r="G5"/>
  <c r="A6"/>
  <c r="C6"/>
  <c r="G6"/>
  <c r="A7"/>
  <c r="C7"/>
  <c r="G7"/>
  <c r="A8"/>
  <c r="C8"/>
  <c r="G8"/>
  <c r="A9"/>
  <c r="C9"/>
  <c r="G9"/>
  <c r="A10"/>
  <c r="C10"/>
  <c r="G10"/>
  <c r="A11"/>
  <c r="C11"/>
  <c r="G11"/>
  <c r="A12"/>
  <c r="C12"/>
  <c r="G12"/>
  <c r="A13"/>
  <c r="C13"/>
  <c r="G13"/>
  <c r="A14"/>
  <c r="C14"/>
  <c r="G14"/>
  <c r="A15"/>
  <c r="C15"/>
  <c r="G15"/>
  <c r="A16"/>
  <c r="C16"/>
  <c r="G16"/>
  <c r="A17"/>
  <c r="C17"/>
  <c r="G17"/>
  <c r="A18"/>
  <c r="C18"/>
  <c r="G18"/>
  <c r="A19"/>
  <c r="C19"/>
  <c r="G19"/>
  <c r="A20"/>
  <c r="C20"/>
  <c r="G20"/>
  <c r="A21"/>
  <c r="C21"/>
  <c r="G21"/>
  <c r="A22"/>
  <c r="C22"/>
  <c r="G22"/>
  <c r="A23"/>
  <c r="C23"/>
  <c r="G23"/>
  <c r="A24"/>
  <c r="C24"/>
  <c r="G24"/>
  <c r="A25"/>
  <c r="C25"/>
  <c r="G25"/>
  <c r="A26"/>
  <c r="C26"/>
  <c r="G26"/>
  <c r="A27"/>
  <c r="C27"/>
  <c r="G27"/>
  <c r="A28"/>
  <c r="C28"/>
  <c r="G28"/>
  <c r="A29"/>
  <c r="C29"/>
  <c r="G29"/>
  <c r="A30"/>
  <c r="C30"/>
  <c r="G30"/>
  <c r="A31"/>
  <c r="C31"/>
  <c r="G31"/>
  <c r="A32"/>
  <c r="C32"/>
  <c r="G32"/>
  <c r="A33"/>
  <c r="C33"/>
  <c r="G33"/>
  <c r="A34"/>
  <c r="C34"/>
  <c r="G34"/>
  <c r="A35"/>
  <c r="C35"/>
  <c r="G35"/>
  <c r="A36"/>
  <c r="C36"/>
  <c r="G36"/>
  <c r="A37"/>
  <c r="C37"/>
  <c r="G37"/>
  <c r="A38"/>
  <c r="C38"/>
  <c r="G38"/>
  <c r="A39"/>
  <c r="C39"/>
  <c r="G39"/>
  <c r="A40"/>
  <c r="C40"/>
  <c r="G40"/>
  <c r="A41"/>
  <c r="C41"/>
  <c r="G41"/>
  <c r="A42"/>
  <c r="C42"/>
  <c r="G42"/>
  <c r="A43"/>
  <c r="C43"/>
  <c r="G43"/>
  <c r="A44"/>
  <c r="C44"/>
  <c r="G44"/>
  <c r="A45"/>
  <c r="C45"/>
  <c r="G45"/>
  <c r="A46"/>
  <c r="C46"/>
  <c r="G46"/>
  <c r="A47"/>
  <c r="C47"/>
  <c r="G47"/>
  <c r="A48"/>
  <c r="C48"/>
  <c r="G48"/>
  <c r="A49"/>
  <c r="C49"/>
  <c r="G49"/>
  <c r="A50"/>
  <c r="C50"/>
  <c r="G50"/>
  <c r="A51"/>
  <c r="C51"/>
  <c r="G51"/>
  <c r="A52"/>
  <c r="C52"/>
  <c r="G52"/>
  <c r="A53"/>
  <c r="C53"/>
  <c r="G53"/>
  <c r="A54"/>
  <c r="C54"/>
  <c r="G54"/>
  <c r="A55"/>
  <c r="C55"/>
  <c r="G55"/>
  <c r="A56"/>
  <c r="C56"/>
  <c r="G56"/>
  <c r="A57"/>
  <c r="C57"/>
  <c r="G57"/>
  <c r="A58"/>
  <c r="C58"/>
  <c r="G58"/>
  <c r="A59"/>
  <c r="C59"/>
  <c r="G59"/>
  <c r="A60"/>
  <c r="C60"/>
  <c r="G60"/>
  <c r="A61"/>
  <c r="C61"/>
  <c r="G61"/>
  <c r="A62"/>
  <c r="C62"/>
  <c r="G62"/>
  <c r="A63"/>
  <c r="C63"/>
  <c r="G63"/>
  <c r="A64"/>
  <c r="C64"/>
  <c r="G64"/>
  <c r="A65"/>
  <c r="C65"/>
  <c r="G65"/>
  <c r="A66"/>
  <c r="C66"/>
  <c r="G66"/>
  <c r="A67"/>
  <c r="C67"/>
  <c r="G67"/>
  <c r="A68"/>
  <c r="C68"/>
  <c r="G68"/>
  <c r="A69"/>
  <c r="C69"/>
  <c r="G69"/>
  <c r="A70"/>
  <c r="C70"/>
  <c r="G70"/>
  <c r="A71"/>
  <c r="C71"/>
  <c r="G71"/>
  <c r="A72"/>
  <c r="C72"/>
  <c r="G72"/>
  <c r="A73"/>
  <c r="C73"/>
  <c r="G73"/>
  <c r="A74"/>
  <c r="C74"/>
  <c r="G74"/>
  <c r="A75"/>
  <c r="C75"/>
  <c r="G75"/>
  <c r="A76"/>
  <c r="C76"/>
  <c r="G76"/>
  <c r="A77"/>
  <c r="C77"/>
  <c r="G77"/>
  <c r="A78"/>
  <c r="C78"/>
  <c r="G78"/>
  <c r="A79"/>
  <c r="C79"/>
  <c r="G79"/>
  <c r="A80"/>
  <c r="C80"/>
  <c r="G80"/>
  <c r="A81"/>
  <c r="C81"/>
  <c r="G81"/>
  <c r="A82"/>
  <c r="C82"/>
  <c r="G82"/>
  <c r="A83"/>
  <c r="C83"/>
  <c r="G83"/>
  <c r="A84"/>
  <c r="C84"/>
  <c r="G84"/>
  <c r="A85"/>
  <c r="C85"/>
  <c r="G85"/>
  <c r="A86"/>
  <c r="C86"/>
  <c r="G86"/>
  <c r="A87"/>
  <c r="C87"/>
  <c r="G87"/>
  <c r="A88"/>
  <c r="C88"/>
  <c r="G88"/>
  <c r="A89"/>
  <c r="C89"/>
  <c r="G89"/>
  <c r="A90"/>
  <c r="C90"/>
  <c r="G90"/>
  <c r="A91"/>
  <c r="C91"/>
  <c r="G91"/>
  <c r="A92"/>
  <c r="C92"/>
  <c r="G92"/>
  <c r="A93"/>
  <c r="C93"/>
  <c r="G93"/>
  <c r="A94"/>
  <c r="C94"/>
  <c r="G94"/>
  <c r="A95"/>
  <c r="G95"/>
  <c r="A96"/>
  <c r="C96"/>
  <c r="G96"/>
  <c r="A97"/>
  <c r="C97"/>
  <c r="G97"/>
  <c r="A98"/>
  <c r="C98"/>
  <c r="G98"/>
  <c r="A99"/>
  <c r="C99"/>
  <c r="G99"/>
  <c r="A100"/>
  <c r="C100"/>
  <c r="G100"/>
  <c r="A101"/>
  <c r="C101"/>
  <c r="G101"/>
  <c r="A102"/>
  <c r="C102"/>
  <c r="G102"/>
  <c r="A103"/>
  <c r="C103"/>
  <c r="G103"/>
  <c r="A104"/>
  <c r="C104"/>
  <c r="G104"/>
  <c r="A105"/>
  <c r="C105"/>
  <c r="G105"/>
  <c r="A106"/>
  <c r="C106"/>
  <c r="G106"/>
  <c r="A107"/>
  <c r="C107"/>
  <c r="G107"/>
  <c r="A108"/>
  <c r="C108"/>
  <c r="G108"/>
  <c r="A109"/>
  <c r="C109"/>
  <c r="G109"/>
  <c r="A110"/>
  <c r="C110"/>
  <c r="G110"/>
  <c r="A111"/>
  <c r="C111"/>
  <c r="G111"/>
  <c r="A112"/>
  <c r="C112"/>
  <c r="G112"/>
  <c r="A113"/>
  <c r="C113"/>
  <c r="G113"/>
  <c r="A114"/>
  <c r="C114"/>
  <c r="G114"/>
  <c r="A115"/>
  <c r="C115"/>
  <c r="G115"/>
  <c r="A116"/>
  <c r="C116"/>
  <c r="G116"/>
  <c r="A117"/>
  <c r="C117"/>
  <c r="G117"/>
  <c r="A118"/>
  <c r="C118"/>
  <c r="G118"/>
  <c r="A119"/>
  <c r="C119"/>
  <c r="G119"/>
  <c r="A120"/>
  <c r="C120"/>
  <c r="G120"/>
  <c r="A121"/>
  <c r="C121"/>
  <c r="G121"/>
  <c r="A122"/>
  <c r="C122"/>
  <c r="G122"/>
  <c r="A123"/>
  <c r="G123"/>
  <c r="A124"/>
  <c r="C124"/>
  <c r="G124"/>
  <c r="A125"/>
  <c r="C125"/>
  <c r="G125"/>
  <c r="A126"/>
  <c r="C126"/>
  <c r="G126"/>
  <c r="A127"/>
  <c r="C127"/>
  <c r="G127"/>
  <c r="A128"/>
  <c r="C128"/>
  <c r="G128"/>
  <c r="A129"/>
  <c r="C129"/>
  <c r="G129"/>
  <c r="A130"/>
  <c r="C130"/>
  <c r="G130"/>
  <c r="A131"/>
  <c r="C131"/>
  <c r="G131"/>
  <c r="A132"/>
  <c r="C132"/>
  <c r="G132"/>
  <c r="A133"/>
  <c r="C133"/>
  <c r="G133"/>
  <c r="A134"/>
  <c r="C134"/>
  <c r="G134"/>
  <c r="A135"/>
  <c r="C135"/>
  <c r="G135"/>
  <c r="A136"/>
  <c r="C136"/>
  <c r="G136"/>
  <c r="A137"/>
  <c r="C137"/>
  <c r="G137"/>
  <c r="G138"/>
  <c r="A139"/>
  <c r="C139"/>
  <c r="G139"/>
  <c r="A140"/>
  <c r="C140"/>
  <c r="G140"/>
  <c r="A141"/>
  <c r="G141"/>
  <c r="A142"/>
  <c r="C142"/>
  <c r="G142"/>
  <c r="A143"/>
  <c r="C143"/>
  <c r="G143"/>
  <c r="A144"/>
  <c r="C144"/>
  <c r="G144"/>
  <c r="A145"/>
  <c r="C145"/>
  <c r="G145"/>
  <c r="A146"/>
  <c r="C146"/>
  <c r="G146"/>
  <c r="A147"/>
  <c r="C147"/>
  <c r="G147"/>
  <c r="A148"/>
  <c r="C148"/>
  <c r="G148"/>
  <c r="A149"/>
  <c r="C149"/>
  <c r="G149"/>
  <c r="A150"/>
  <c r="C150"/>
  <c r="G150"/>
  <c r="A151"/>
  <c r="C151"/>
  <c r="G151"/>
  <c r="A152"/>
  <c r="C152"/>
  <c r="G152"/>
  <c r="A153"/>
  <c r="C153"/>
  <c r="G153"/>
  <c r="A154"/>
  <c r="C154"/>
  <c r="G154"/>
  <c r="A155"/>
  <c r="C155"/>
  <c r="G155"/>
  <c r="A156"/>
  <c r="C156"/>
  <c r="G156"/>
  <c r="A157"/>
  <c r="C157"/>
  <c r="G157"/>
  <c r="A158"/>
  <c r="C158"/>
  <c r="G158"/>
  <c r="A160"/>
  <c r="C160"/>
  <c r="G160"/>
  <c r="A161"/>
  <c r="C161"/>
  <c r="G161"/>
  <c r="A162"/>
  <c r="C162"/>
  <c r="G162"/>
  <c r="A163"/>
  <c r="C163"/>
  <c r="G163"/>
  <c r="A164"/>
  <c r="C164"/>
  <c r="G164"/>
  <c r="A165"/>
  <c r="C165"/>
  <c r="G165"/>
  <c r="A166"/>
  <c r="C166"/>
  <c r="G166"/>
  <c r="A167"/>
  <c r="C167"/>
  <c r="G167"/>
  <c r="A168"/>
  <c r="C168"/>
  <c r="G168"/>
  <c r="A169"/>
  <c r="C169"/>
  <c r="G169"/>
  <c r="A170"/>
  <c r="C170"/>
  <c r="G170"/>
  <c r="A171"/>
  <c r="C171"/>
  <c r="G171"/>
  <c r="A172"/>
  <c r="C172"/>
  <c r="G172"/>
  <c r="A173"/>
  <c r="C173"/>
  <c r="G173"/>
  <c r="A174"/>
  <c r="C174"/>
  <c r="G174"/>
  <c r="A175"/>
  <c r="C175"/>
  <c r="G175"/>
  <c r="A176"/>
  <c r="C176"/>
  <c r="G176"/>
  <c r="A177"/>
  <c r="C177"/>
  <c r="G177"/>
  <c r="A178"/>
  <c r="C178"/>
  <c r="G178"/>
  <c r="A179"/>
  <c r="C179"/>
  <c r="G179"/>
  <c r="A180"/>
  <c r="C180"/>
  <c r="G180"/>
  <c r="A181"/>
  <c r="C181"/>
  <c r="G181"/>
  <c r="A182"/>
  <c r="C182"/>
  <c r="G182"/>
  <c r="A183"/>
  <c r="C183"/>
  <c r="G183"/>
  <c r="A184"/>
  <c r="C184"/>
  <c r="G184"/>
  <c r="A185"/>
  <c r="C185"/>
  <c r="G185"/>
  <c r="A186"/>
  <c r="C186"/>
  <c r="G186"/>
  <c r="A187"/>
  <c r="C187"/>
  <c r="G187"/>
  <c r="A188"/>
  <c r="C188"/>
  <c r="G188"/>
  <c r="A189"/>
  <c r="C189"/>
  <c r="G189"/>
  <c r="A190"/>
  <c r="C190"/>
  <c r="G190"/>
  <c r="A191"/>
  <c r="C191"/>
  <c r="G191"/>
  <c r="A192"/>
  <c r="C192"/>
  <c r="G192"/>
  <c r="A193"/>
  <c r="C193"/>
  <c r="G193"/>
  <c r="A194"/>
  <c r="C194"/>
  <c r="G194"/>
  <c r="A195"/>
  <c r="C195"/>
  <c r="G195"/>
  <c r="A196"/>
  <c r="C196"/>
  <c r="G196"/>
  <c r="A197"/>
  <c r="C197"/>
  <c r="G197"/>
  <c r="A198"/>
  <c r="C198"/>
  <c r="G198"/>
  <c r="A199"/>
  <c r="C199"/>
  <c r="G199"/>
  <c r="A200"/>
  <c r="C200"/>
  <c r="G200"/>
  <c r="A201"/>
  <c r="C201"/>
  <c r="G201"/>
  <c r="A202"/>
  <c r="C202"/>
  <c r="G202"/>
  <c r="A203"/>
  <c r="C203"/>
  <c r="G203"/>
  <c r="A204"/>
  <c r="C204"/>
  <c r="G204"/>
  <c r="A205"/>
  <c r="C205"/>
  <c r="G205"/>
  <c r="A206"/>
  <c r="C206"/>
  <c r="G206"/>
  <c r="A207"/>
  <c r="C207"/>
  <c r="G207"/>
  <c r="A208"/>
  <c r="C208"/>
  <c r="G208"/>
  <c r="A209"/>
  <c r="C209"/>
  <c r="G209"/>
  <c r="A210"/>
  <c r="C210"/>
  <c r="G210"/>
  <c r="A211"/>
  <c r="C211"/>
  <c r="G211"/>
  <c r="A212"/>
  <c r="C212"/>
  <c r="G212"/>
  <c r="A213"/>
  <c r="C213"/>
  <c r="G213"/>
  <c r="A214"/>
  <c r="C214"/>
  <c r="G214"/>
  <c r="A215"/>
  <c r="C215"/>
  <c r="G215"/>
  <c r="A216"/>
  <c r="C216"/>
  <c r="G216"/>
  <c r="A217"/>
  <c r="C217"/>
  <c r="G217"/>
  <c r="A218"/>
  <c r="G218"/>
  <c r="A219"/>
  <c r="C219"/>
  <c r="G219"/>
  <c r="A220"/>
  <c r="C220"/>
  <c r="G220"/>
  <c r="A221"/>
  <c r="C221"/>
  <c r="G221"/>
  <c r="A222"/>
  <c r="C222"/>
  <c r="G222"/>
  <c r="A223"/>
  <c r="C223"/>
  <c r="G223"/>
  <c r="A224"/>
  <c r="C224"/>
  <c r="G224"/>
  <c r="A225"/>
  <c r="C225"/>
  <c r="G225"/>
  <c r="A226"/>
  <c r="C226"/>
  <c r="G226"/>
  <c r="A227"/>
  <c r="C227"/>
  <c r="G227"/>
  <c r="A228"/>
  <c r="C228"/>
  <c r="G228"/>
  <c r="A229"/>
  <c r="C229"/>
  <c r="G229"/>
  <c r="A230"/>
  <c r="G230"/>
  <c r="A231"/>
  <c r="C231"/>
  <c r="G231"/>
  <c r="A232"/>
  <c r="C232"/>
  <c r="G232"/>
  <c r="A233"/>
  <c r="C233"/>
  <c r="G233"/>
  <c r="A234"/>
  <c r="G234"/>
  <c r="A235"/>
  <c r="C235"/>
  <c r="G235"/>
  <c r="A236"/>
  <c r="C236"/>
  <c r="G236"/>
  <c r="A237"/>
  <c r="C237"/>
  <c r="G237"/>
  <c r="A238"/>
  <c r="C238"/>
  <c r="G238"/>
  <c r="A239"/>
  <c r="C239"/>
  <c r="G239"/>
  <c r="A240"/>
  <c r="C240"/>
  <c r="G240"/>
  <c r="A241"/>
  <c r="C241"/>
  <c r="G241"/>
  <c r="A242"/>
  <c r="C242"/>
  <c r="G242"/>
  <c r="A243"/>
  <c r="C243"/>
  <c r="G243"/>
  <c r="A244"/>
  <c r="C244"/>
  <c r="G244"/>
  <c r="A245"/>
  <c r="C245"/>
  <c r="G245"/>
  <c r="A246"/>
  <c r="C246"/>
  <c r="G246"/>
  <c r="A247"/>
  <c r="C247"/>
  <c r="G247"/>
  <c r="A248"/>
  <c r="C248"/>
  <c r="G248"/>
  <c r="A249"/>
  <c r="C249"/>
  <c r="G249"/>
  <c r="A250"/>
  <c r="C250"/>
  <c r="G250"/>
  <c r="A251"/>
  <c r="C251"/>
  <c r="G251"/>
  <c r="A252"/>
  <c r="C252"/>
  <c r="G252"/>
  <c r="A253"/>
  <c r="C253"/>
  <c r="G253"/>
  <c r="A254"/>
  <c r="C254"/>
  <c r="G254"/>
  <c r="A255"/>
  <c r="G255"/>
  <c r="A256"/>
  <c r="C256"/>
  <c r="G256"/>
  <c r="A257"/>
  <c r="C257"/>
  <c r="G257"/>
  <c r="A258"/>
  <c r="C258"/>
  <c r="G258"/>
  <c r="A259"/>
  <c r="C259"/>
  <c r="G259"/>
  <c r="A260"/>
  <c r="G260"/>
  <c r="A261"/>
  <c r="C261"/>
  <c r="G261"/>
  <c r="A262"/>
  <c r="G262"/>
  <c r="A263"/>
  <c r="C263"/>
  <c r="G263"/>
  <c r="A264"/>
  <c r="C264"/>
  <c r="G264"/>
  <c r="A265"/>
  <c r="C265"/>
  <c r="G265"/>
  <c r="A266"/>
  <c r="C266"/>
  <c r="G266"/>
  <c r="A267"/>
  <c r="C267"/>
  <c r="G267"/>
  <c r="A268"/>
  <c r="C268"/>
  <c r="G268"/>
  <c r="A269"/>
  <c r="G269"/>
  <c r="A270"/>
  <c r="C270"/>
  <c r="G270"/>
  <c r="A271"/>
  <c r="C271"/>
  <c r="G271"/>
  <c r="A272"/>
  <c r="G272"/>
  <c r="A273"/>
  <c r="G273"/>
  <c r="A274"/>
  <c r="C274"/>
  <c r="G274"/>
  <c r="A275"/>
  <c r="C275"/>
  <c r="G275"/>
  <c r="A276"/>
  <c r="G276"/>
  <c r="A277"/>
  <c r="C277"/>
  <c r="G277"/>
  <c r="A278"/>
  <c r="C278"/>
  <c r="G278"/>
  <c r="A279"/>
  <c r="C279"/>
  <c r="G279"/>
  <c r="A280"/>
  <c r="C280"/>
  <c r="G280"/>
  <c r="A281"/>
  <c r="C281"/>
  <c r="G281"/>
  <c r="A282"/>
  <c r="C282"/>
  <c r="G282"/>
  <c r="A283"/>
  <c r="C283"/>
  <c r="G283"/>
  <c r="A284"/>
  <c r="C284"/>
  <c r="G284"/>
  <c r="A285"/>
  <c r="C285"/>
  <c r="G285"/>
  <c r="A286"/>
  <c r="C286"/>
  <c r="G286"/>
  <c r="A287"/>
  <c r="C287"/>
  <c r="G287"/>
  <c r="A288"/>
  <c r="G288"/>
  <c r="A289"/>
  <c r="C289"/>
  <c r="G289"/>
  <c r="A290"/>
  <c r="C290"/>
  <c r="G290"/>
  <c r="A291"/>
  <c r="C291"/>
  <c r="G291"/>
  <c r="A292"/>
  <c r="C292"/>
  <c r="G292"/>
  <c r="A293"/>
  <c r="C293"/>
  <c r="G293"/>
  <c r="A294"/>
  <c r="C294"/>
  <c r="G294"/>
  <c r="A295"/>
  <c r="C295"/>
  <c r="G295"/>
  <c r="A296"/>
  <c r="C296"/>
  <c r="G296"/>
  <c r="A297"/>
  <c r="C297"/>
  <c r="G297"/>
  <c r="A298"/>
  <c r="C298"/>
  <c r="G298"/>
  <c r="A299"/>
  <c r="C299"/>
  <c r="G299"/>
  <c r="A300"/>
  <c r="C300"/>
  <c r="G300"/>
  <c r="A301"/>
  <c r="G301"/>
  <c r="A302"/>
  <c r="C302"/>
  <c r="G302"/>
  <c r="A303"/>
  <c r="G303"/>
  <c r="A304"/>
  <c r="C304"/>
  <c r="G304"/>
  <c r="A305"/>
  <c r="G305"/>
  <c r="A306"/>
  <c r="C306"/>
  <c r="G306"/>
  <c r="A307"/>
  <c r="C307"/>
  <c r="G307"/>
  <c r="A308"/>
  <c r="C308"/>
  <c r="G308"/>
  <c r="A309"/>
  <c r="C309"/>
  <c r="G309"/>
  <c r="A310"/>
  <c r="C310"/>
  <c r="G310"/>
  <c r="A311"/>
  <c r="C311"/>
  <c r="G311"/>
  <c r="A312"/>
  <c r="C312"/>
  <c r="G312"/>
  <c r="A313"/>
  <c r="C313"/>
  <c r="G313"/>
  <c r="A314"/>
  <c r="C314"/>
  <c r="G314"/>
  <c r="A315"/>
  <c r="C315"/>
  <c r="G315"/>
  <c r="A316"/>
  <c r="C316"/>
  <c r="G316"/>
  <c r="A317"/>
  <c r="C317"/>
  <c r="G317"/>
  <c r="A318"/>
  <c r="C318"/>
  <c r="G318"/>
  <c r="A319"/>
  <c r="C319"/>
  <c r="G319"/>
  <c r="A320"/>
  <c r="C320"/>
  <c r="G320"/>
  <c r="A321"/>
  <c r="C321"/>
  <c r="G321"/>
  <c r="A322"/>
  <c r="C322"/>
  <c r="G322"/>
  <c r="A323"/>
  <c r="C323"/>
  <c r="G323"/>
  <c r="A324"/>
  <c r="G324"/>
  <c r="A325"/>
  <c r="C325"/>
  <c r="G325"/>
  <c r="A326"/>
  <c r="C326"/>
  <c r="G326"/>
  <c r="A327"/>
  <c r="C327"/>
  <c r="G327"/>
  <c r="A328"/>
  <c r="G328"/>
  <c r="A329"/>
  <c r="G329"/>
  <c r="A330"/>
  <c r="C330"/>
  <c r="G330"/>
  <c r="A331"/>
  <c r="C331"/>
  <c r="G331"/>
  <c r="A332"/>
  <c r="C332"/>
  <c r="G332"/>
  <c r="A333"/>
  <c r="C333"/>
  <c r="G333"/>
  <c r="A334"/>
  <c r="C334"/>
  <c r="G334"/>
  <c r="A335"/>
  <c r="G335"/>
  <c r="A336"/>
  <c r="C336"/>
  <c r="G336"/>
  <c r="A337"/>
  <c r="C337"/>
  <c r="G337"/>
  <c r="A338"/>
  <c r="C338"/>
  <c r="G338"/>
  <c r="A339"/>
  <c r="G339"/>
  <c r="A340"/>
  <c r="G340"/>
  <c r="A341"/>
  <c r="G341"/>
  <c r="A342"/>
  <c r="C342"/>
  <c r="G342"/>
  <c r="A343"/>
  <c r="C343"/>
  <c r="G343"/>
  <c r="A344"/>
  <c r="G344"/>
  <c r="A345"/>
  <c r="C345"/>
  <c r="G345"/>
  <c r="A346"/>
  <c r="C346"/>
  <c r="G346"/>
  <c r="A347"/>
  <c r="C347"/>
  <c r="G347"/>
  <c r="A348"/>
  <c r="C348"/>
  <c r="G348"/>
  <c r="A349"/>
  <c r="C349"/>
  <c r="G349"/>
  <c r="A350"/>
  <c r="G350"/>
  <c r="A351"/>
  <c r="G351"/>
  <c r="A352"/>
  <c r="C352"/>
  <c r="G352"/>
  <c r="A353"/>
  <c r="C353"/>
  <c r="G353"/>
  <c r="A354"/>
  <c r="C354"/>
  <c r="G354"/>
  <c r="A355"/>
  <c r="C355"/>
  <c r="G355"/>
  <c r="A356"/>
  <c r="C356"/>
  <c r="G356"/>
  <c r="A357"/>
  <c r="C357"/>
  <c r="G357"/>
  <c r="A358"/>
  <c r="C358"/>
  <c r="G358"/>
  <c r="A359"/>
  <c r="G359"/>
  <c r="A360"/>
  <c r="C360"/>
  <c r="G360"/>
  <c r="A361"/>
  <c r="C361"/>
  <c r="G361"/>
  <c r="A362"/>
  <c r="C362"/>
  <c r="G362"/>
  <c r="A363"/>
  <c r="G363"/>
  <c r="A364"/>
  <c r="C364"/>
  <c r="G364"/>
  <c r="A365"/>
  <c r="G365"/>
  <c r="A366"/>
  <c r="C366"/>
  <c r="G366"/>
  <c r="A367"/>
  <c r="C367"/>
  <c r="G367"/>
  <c r="A368"/>
  <c r="C368"/>
  <c r="G368"/>
  <c r="A369"/>
  <c r="C369"/>
  <c r="G369"/>
  <c r="A370"/>
  <c r="C370"/>
  <c r="G370"/>
  <c r="A371"/>
  <c r="C371"/>
  <c r="G371"/>
  <c r="A372"/>
  <c r="G372"/>
  <c r="A373"/>
  <c r="C373"/>
  <c r="G373"/>
  <c r="A374"/>
  <c r="C374"/>
  <c r="G374"/>
  <c r="A375"/>
  <c r="C375"/>
  <c r="G375"/>
  <c r="A376"/>
  <c r="C376"/>
  <c r="G376"/>
  <c r="A377"/>
  <c r="C377"/>
  <c r="G377"/>
  <c r="A378"/>
  <c r="C378"/>
  <c r="G378"/>
  <c r="A379"/>
  <c r="C379"/>
  <c r="G379"/>
  <c r="A380"/>
  <c r="G380"/>
  <c r="A381"/>
  <c r="C381"/>
  <c r="G381"/>
</calcChain>
</file>

<file path=xl/sharedStrings.xml><?xml version="1.0" encoding="utf-8"?>
<sst xmlns="http://schemas.openxmlformats.org/spreadsheetml/2006/main" count="17973" uniqueCount="4383">
  <si>
    <t>Contig link</t>
  </si>
  <si>
    <t>Order number</t>
  </si>
  <si>
    <t>Number of sequences and link to TSA file</t>
  </si>
  <si>
    <t>Number of sequences</t>
  </si>
  <si>
    <t>Lenght</t>
  </si>
  <si>
    <t>PolyA at</t>
  </si>
  <si>
    <t>Qual and link</t>
  </si>
  <si>
    <t>Best match to NR-LIGHT protein database</t>
  </si>
  <si>
    <t>E value</t>
  </si>
  <si>
    <t>Number of matches</t>
  </si>
  <si>
    <t>Match</t>
  </si>
  <si>
    <t>Score</t>
  </si>
  <si>
    <t>Extent of match</t>
  </si>
  <si>
    <t>Length of best match</t>
  </si>
  <si>
    <t>% identity</t>
  </si>
  <si>
    <t>% Coverage</t>
  </si>
  <si>
    <t>Mismatches</t>
  </si>
  <si>
    <t>Gaps</t>
  </si>
  <si>
    <t>First residue of match</t>
  </si>
  <si>
    <t>First residue of sequence</t>
  </si>
  <si>
    <t>Number of segments</t>
  </si>
  <si>
    <t>Frame</t>
  </si>
  <si>
    <t>Frame shift?</t>
  </si>
  <si>
    <t>Orientation</t>
  </si>
  <si>
    <t>Species of best match</t>
  </si>
  <si>
    <t>Best match to SWISSP protein database</t>
  </si>
  <si>
    <t>Satisfied 95% id on length 100</t>
  </si>
  <si>
    <t>Alphanumeric Index</t>
  </si>
  <si>
    <t>Best match to PREV-RHOD-PEP database</t>
  </si>
  <si>
    <t>Best match to PREV-RHOD-CDS database</t>
  </si>
  <si>
    <t xml:space="preserve">Orientation </t>
  </si>
  <si>
    <t>Best match to GO database</t>
  </si>
  <si>
    <t>Function descriptors</t>
  </si>
  <si>
    <t>Function parent</t>
  </si>
  <si>
    <t>Function second parent</t>
  </si>
  <si>
    <t>GO #</t>
  </si>
  <si>
    <t>E value of functional GO</t>
  </si>
  <si>
    <t>Component descriptors</t>
  </si>
  <si>
    <t>Component parent</t>
  </si>
  <si>
    <t>Component second parent</t>
  </si>
  <si>
    <t>E value of component GO</t>
  </si>
  <si>
    <t>Process descriptors</t>
  </si>
  <si>
    <t>Process parent</t>
  </si>
  <si>
    <t>Process second parent</t>
  </si>
  <si>
    <t>E value of process GO</t>
  </si>
  <si>
    <t>Best match to CDD database</t>
  </si>
  <si>
    <t xml:space="preserve">All CDD domains </t>
  </si>
  <si>
    <t>Best match to PFAM database</t>
  </si>
  <si>
    <t xml:space="preserve">E value </t>
  </si>
  <si>
    <t>Best match to PRK database</t>
  </si>
  <si>
    <t>Best match to SMART database</t>
  </si>
  <si>
    <t>Best match to RRNA database</t>
  </si>
  <si>
    <t>Best match to MIT-PLA database</t>
  </si>
  <si>
    <t>N</t>
  </si>
  <si>
    <t>FOR</t>
  </si>
  <si>
    <t xml:space="preserve"> Triatoma infestans</t>
  </si>
  <si>
    <t xml:space="preserve"> </t>
  </si>
  <si>
    <t>unknown - Dictyostelium discoideum - biological_process - molecular_function - cellular_component</t>
  </si>
  <si>
    <t>&lt;molecular_function</t>
  </si>
  <si>
    <t>GO:0003674</t>
  </si>
  <si>
    <t>&lt;cellular_component</t>
  </si>
  <si>
    <t>GO:0005575</t>
  </si>
  <si>
    <t>&lt;biological_process</t>
  </si>
  <si>
    <t>GO:0008150</t>
  </si>
  <si>
    <t>REV</t>
  </si>
  <si>
    <t>Y</t>
  </si>
  <si>
    <t xml:space="preserve"> Nasonia vitripennis</t>
  </si>
  <si>
    <t>sp|Q6QMZ4|RL6_CHILA</t>
  </si>
  <si>
    <t xml:space="preserve"> Chinchilla lanigera</t>
  </si>
  <si>
    <t>Q6QMZ4 RL6_CHILA 60S L6 RPL6 2 3 Q2YGT9 RL6_PIG Q02878 RL6_HUMAN 1 P21533 RL6_RAT 5 P47911 RL6_MOUSE Q58DQ3 RL6_BOVIN P47991 RL6_CAEEL 6 P34091 RL6_MESCR Q54D63 RL6_DICDI Q9FZ76 RL61_ARATH RPL6A</t>
  </si>
  <si>
    <t xml:space="preserve">RIBOSOMAL CHINCHILLA LANIGERA PE SUS SCROFA HOMO SAPIENS RATTUS NORVEGICUS MUS MUSCULUS BOS TAURUS CAENORHABDITIS ELEGANS RPL MESEMBRYANTHEMUM CRYSTALLINUM DICTYOSTELIUM DISCOIDEUM ARABIDOPSIS THALIANA </t>
  </si>
  <si>
    <t>Contig17971_343</t>
  </si>
  <si>
    <t xml:space="preserve"> CONTIG17971_343 GENEID_V1 3_PREDICTED_PROTEIN_343 286_AA CONTIG17534_5 3_PREDICTED_PROTEIN_5 136_AA CONTIG17607_36 3_PREDICTED_PROTEIN_36 1071_AA CONTIG16070_6 3_PREDICTED_PROTEIN_6 395_AA CONTIG16345_2 3_PREDICTED_PROTEIN_2 238_AA</t>
  </si>
  <si>
    <t>Ribosomal protein L6 - Drosophila melanogaster - cytosolic large ribosomal subunit - lipid particle - mitotic spindle elongation - mitotic spindle organization</t>
  </si>
  <si>
    <t>cytoplasm||outer membrane\-bounded periplasmic space||external encapsulating structure part||cell part</t>
  </si>
  <si>
    <t>cell part</t>
  </si>
  <si>
    <t>external encapsulating structure part</t>
  </si>
  <si>
    <t>GO:0005737</t>
  </si>
  <si>
    <t>Ribosomal_L6e 9e-038| RPL14A 2e-005| ND4 3e-004| ATP6 0.001| ND2 0.001| ND6 0.001| ND5 0.002| ND5 0.004| ND4L 0.007| ND2 0.008|</t>
  </si>
  <si>
    <t xml:space="preserve"> Tribolium castaneum</t>
  </si>
  <si>
    <t>sp|Q7PRJ0|CTLH2_ANOGA</t>
  </si>
  <si>
    <t xml:space="preserve"> Anopheles gambiae</t>
  </si>
  <si>
    <t>Q7PRJ0 CTLH2_ANOGA 2 AGAP010343 3 4 Q9VAP3 CTLH2_DROME CG11880 1 Q6GN42 CTL4_XENLA SLC44A4 A8XKF2 CTL1L_CAEBR Q6IP59 CTL2_XENLA SLC44A2 Q7T2B0 CTL4_DANRE Q810F1 CTL2_CAVPO Q20026 CTL1L_CAEEL Q5R5L9 CTL2_PONAB Q7SYC9 CTL2_DANRE</t>
  </si>
  <si>
    <t xml:space="preserve">CTL LIKE ANOPHELES GAMBIAE PE DROSOPHILA MELANOGASTER CHOLINE TRANSPORTER XENOPUS LAEVIS CAENORHABDITIS BRIGGSAE CHTL DANIO RERIO CAVIA PORCELLUS ELEGANS PONGO ABELII </t>
  </si>
  <si>
    <t>Contig17825_23</t>
  </si>
  <si>
    <t xml:space="preserve"> CONTIG17825_23 GENEID_V1 3_PREDICTED_PROTEIN_23 685_AA CONTIG17878_59 3_PREDICTED_PROTEIN_59 235_AA CONTIG11084_18 3_PREDICTED_PROTEIN_18 936_AA CONTIG17968_27 3_PREDICTED_PROTEIN_27 509_AA CONTIG18047_173 3_PREDICTED_PROTEIN_173 483_AA CONTIG17695_75 3_PREDICTED_PROTEIN_75 1002_AA CONTIG17806_52 3_PREDICTED_PROTEIN_52 614_AA CONTIG17951_64 3_PREDICTED_PROTEIN_64 471_AA</t>
  </si>
  <si>
    <t>solute carrier family 44, member 4 - Danio rerio - molecular_function - biological_process</t>
  </si>
  <si>
    <t>choline transmembrane transporter activity||amine transmembrane transporter activity||substrate\-specific transmembrane transporter activity||substrate\-specific transporter activity||transporter activity</t>
  </si>
  <si>
    <t>transporter activity</t>
  </si>
  <si>
    <t>substrate\-specific transporter activity</t>
  </si>
  <si>
    <t>GO:0015220</t>
  </si>
  <si>
    <t>integral to membrane||intrinsic to membrane||coated membrane||membrane||cell part</t>
  </si>
  <si>
    <t>membrane</t>
  </si>
  <si>
    <t>GO:0016021</t>
  </si>
  <si>
    <t>choline transport||quaternary ammonium group transport||organic cation transport||cation transport||ion transport||transport||cellular localization||localization</t>
  </si>
  <si>
    <t>GO:0015871</t>
  </si>
  <si>
    <t>DUF580 8e-026| LspA 0.006| UbiA 0.011| PAP2_containing_1_like 0.017| UbiA 0.021| TM_ABC_iron-siderophores_like 0.031| Ribonuclease_BN 0.039| Na_H_Exchanger 0.044| AgrB 0.045| MFS 0.056|</t>
  </si>
  <si>
    <t>Contig17936_54</t>
  </si>
  <si>
    <t xml:space="preserve"> CONTIG17936_54 GENEID_V1 3_PREDICTED_PROTEIN_54 107_AA</t>
  </si>
  <si>
    <t>Contig1337_1</t>
  </si>
  <si>
    <t>Ras guanine nucleotide exchange factor - Dictyostelium discoideum - intracellular - guanyl-nucleotide exchange factor activity - small GTPase mediated signal transduction</t>
  </si>
  <si>
    <t>guanyl\-nucleotide exchange factor activity||GTPase regulator activity||nucleoside\-triphosphatase regulator activity||enzyme regulator activity</t>
  </si>
  <si>
    <t>enzyme regulator activity</t>
  </si>
  <si>
    <t>nucleoside\-triphosphatase regulator activity</t>
  </si>
  <si>
    <t>GO:0005085</t>
  </si>
  <si>
    <t>intracellular||cell part</t>
  </si>
  <si>
    <t>intracellular</t>
  </si>
  <si>
    <t>GO:0005622</t>
  </si>
  <si>
    <t>small GTPase mediated signal transduction||intracellular signaling cascade||signal transduction||regulation of cellular process||regulation of biological process||biological regulation</t>
  </si>
  <si>
    <t>GO:0007264</t>
  </si>
  <si>
    <t>ND4 4e-006| ND5 3e-005| ATP6 1e-004| ND6 1e-004| ND2 2e-004| PRK08938 7e-004| ND4L 0.001| ATP8 0.002| PRK11192 0.003| PRK12651 0.004|</t>
  </si>
  <si>
    <t xml:space="preserve"> Culex quinquefasciatus</t>
  </si>
  <si>
    <t>sp|Q2KIP8|HACD2_BOVIN</t>
  </si>
  <si>
    <t xml:space="preserve"> Bos taurus</t>
  </si>
  <si>
    <t>Q2KIP8 HACD2_BOVIN 3 2 Q9D3B1 HACD2_MOUSE 1 Q5RBK3 HACD2_PONAB Q6Y1H2 HACD2_HUMAN Q9N1R5 HACD1_SHEEP B0YJ81 HACD1_HUMAN Q4W1W1 HACD1_CANFA Q9QY80 HACD1_MOUSE Q8VZB2 PAS2_ARATH PAS2 Q7XSZ4 PAS2A_ORYSJ 2A PAS2A</t>
  </si>
  <si>
    <t xml:space="preserve">HYDROXYACYL COA DEHYDRATASE BOS TAURUS PTPLB PE MUS MUSCULUS PONGO ABELII HOMO SAPIENS OVIS ARIES PTPLA CANIS FAMILIARIS PASTICCINO ARABIDOPSIS THALIANA ORYZA SATIVA SUBSP JAPONICA </t>
  </si>
  <si>
    <t>Contig17896_130</t>
  </si>
  <si>
    <t xml:space="preserve"> CONTIG17896_130 GENEID_V1 3_PREDICTED_PROTEIN_130 239_AA CONTIG17976_101 3_PREDICTED_PROTEIN_101 375_AA CONTIG17955_180 3_PREDICTED_PROTEIN_180 161_AA CONTIG17667_16 3_PREDICTED_PROTEIN_16 116_AA CONTIG17635_38 3_PREDICTED_PROTEIN_38 1007_AA CONTIG17134_27 3_PREDICTED_PROTEIN_27 378_AA CONTIG6977_2 3_PREDICTED_PROTEIN_2 679_AA CONTIG17783_4 3_PREDICTED_PROTEIN_4 1165_AA CONTIG17848_140 3_PREDICTED_PROTEIN_140 708_AA CONTIG17518_18 3_PREDICTED_PROTEIN_18 547_AA</t>
  </si>
  <si>
    <t>Caenorhabditis elegans - positive regulation of growth rate - nematode larval development - determination of adult life span - growth - locomotion</t>
  </si>
  <si>
    <t>PTPLA 1e-056| Ptpl 2e-028| ND4 0.017| PEMT 0.054|</t>
  </si>
  <si>
    <t xml:space="preserve"> Aedes aegypti</t>
  </si>
  <si>
    <t>sp|P32755|HPPD_RAT</t>
  </si>
  <si>
    <t xml:space="preserve"> Rattus norvegicus</t>
  </si>
  <si>
    <t>P32755 4 1 3 P49429 Q6TGZ5 2 Q5EA20 P32754 Q5BKL0 Q22633 Q60Y65 Q27203 Q76NV5</t>
  </si>
  <si>
    <t xml:space="preserve">HPPD_RAT HYDROXYPHENYLPYRUVATE DIOXYGENASE RATTUS NORVEGICUS HPD PE HPPD_MOUSE MUS MUSCULUS HPPD_DANRE DANIO RERIO HPPD_BOVIN BOS TAURUS HPPD_HUMAN HOMO SAPIENS HPPD_XENTR XENOPUS TROPICALIS HPPD_CAEEL CAENORHABDITIS ELEGANS HPPD_CAEBR BRIGGSAE HPPD_TETTH TETRAHYMENA THERMOPHILA TFA HPPD_DICDI DICTYOSTELIUM DISCOIDEUM </t>
  </si>
  <si>
    <t>Contig18037_18</t>
  </si>
  <si>
    <t xml:space="preserve"> CONTIG18037_18 GENEID_V1 3_PREDICTED_PROTEIN_18 441_AA CONTIG16129_8 3_PREDICTED_PROTEIN_8 318_AA CONTIG17729_12 3_PREDICTED_PROTEIN_12 1309_AA CONTIG18028_118 3_PREDICTED_PROTEIN_118 1411_AA CONTIG17540_9 3_PREDICTED_PROTEIN_9 4992_AA</t>
  </si>
  <si>
    <t>CG11796 - Drosophila melanogaster - 4-hydroxyphenylpyruvate dioxygenase activity</t>
  </si>
  <si>
    <t>4\-hydroxyphenylpyruvate dioxygenase activity||oxidoreductase activity\, acting on single donors with incorporation of molecular oxygen\, incorporation of two atoms of oxygen||oxidoreductase activity\, acting on single donors with incorporation of molecular oxygen||oxidoreductase activity||catalytic activity</t>
  </si>
  <si>
    <t>catalytic activity</t>
  </si>
  <si>
    <t>oxidoreductase activity</t>
  </si>
  <si>
    <t>GO:0003868</t>
  </si>
  <si>
    <t>Golgi membrane||type II fatty acid synthase complex||fatty acid synthase complex||nuclear cyclin\-dependent protein kinase holoenzyme complex||cyclin\-dependent protein kinase holoenzyme complex||outer membrane\-bounded periplasmic space||external encapsulating structure part||cell part</t>
  </si>
  <si>
    <t>GO:0000139</t>
  </si>
  <si>
    <t>tyrosine catabolic process||aromatic amino acid family catabolic process||aromatic amino acid family metabolic process||cellular amino acid metabolic process||cellular amine metabolic process||cellular carbohydrate metabolic process||carbohydrate metabolic process||primary metabolic process||metabolic process</t>
  </si>
  <si>
    <t>GO:0006572</t>
  </si>
  <si>
    <t>4HPPD 2e-058| COG3185 7e-015| Glyoxalase 2e-006| metmalonyl_epim 1e-004|</t>
  </si>
  <si>
    <t xml:space="preserve"> Triatoma virus</t>
  </si>
  <si>
    <t>Contig4260_3</t>
  </si>
  <si>
    <t xml:space="preserve"> CONTIG4260_3 GENEID_V1 3_PREDICTED_PROTEIN_3 277_AA</t>
  </si>
  <si>
    <t>Contig17970_291</t>
  </si>
  <si>
    <t xml:space="preserve"> Pediculus humanus corporis</t>
  </si>
  <si>
    <t>sp|P31007|DLG1_DROME</t>
  </si>
  <si>
    <t xml:space="preserve"> Drosophila melanogaster</t>
  </si>
  <si>
    <t>P31007 DLG1_DROME 1 DLG1 2 Q63622 DLG2_RAT DLG2 Q15700 DLG2_HUMAN 3 Q91XM9 DLG2_MOUSE Q811D0 DLG1_MOUSE Q12959 DLG1_HUMAN Q5PYH5 DLG1L_DANRE DLG1L Q62696 DLG1_RAT Q5PYH6 DLG1_DANRE Q5PYH7 DLG2_DANRE</t>
  </si>
  <si>
    <t xml:space="preserve">DISKS LARGE TUMOR SUPPRESSOR DROSOPHILA MELANOGASTER PE HOMOLOG RATTUS NORVEGICUS HOMO SAPIENS MUS MUSCULUS DISCS LIKE DANIO RERIO </t>
  </si>
  <si>
    <t>Contig17160_2</t>
  </si>
  <si>
    <t xml:space="preserve"> CONTIG17160_2 GENEID_V1 3_PREDICTED_PROTEIN_2 72_AA CONTIG17567_42 3_PREDICTED_PROTEIN_42 778_AA CONTIG16083_5 3_PREDICTED_PROTEIN_5 377_AA CONTIG17982_55 3_PREDICTED_PROTEIN_55 337_AA CONTIG17160_3 3_PREDICTED_PROTEIN_3 70_AA CONTIG17932_88 3_PREDICTED_PROTEIN_88 549_AA CONTIG17759_8 3_PREDICTED_PROTEIN_8 375_AA CONTIG17353_4 3_PREDICTED_PROTEIN_4 538_AA CONTIG17353_3 000000000001 1772152 CONTIG17832_69 3_PREDICTED_PROTEIN_69 559_AA</t>
  </si>
  <si>
    <t xml:space="preserve">TIGHT JUNCTION ST </t>
  </si>
  <si>
    <t>discs large 1 - Drosophila melanogaster - plasma membrane - dorsal closure - protein localization - septate junction - synaptic transmission - guanylate kinase activity - membrane - cytoskeleton - cell proliferation - establishment or maintenance of polarity of follicular epithelium - establishment or maintenance of polarity of larval imaginal disc epithelium - morphogenesis of follicular epithelium - morphogenesis of larval imaginal disc epithelium - apicolateral plasma membrane - regulation of border follicle cell delamination - asymmetric protein localization - establishment or maintenance of polarity of embryonic epithelium - nervous system development - cell cortex - basal protein localization - apical cortex - structural molecule activity - establishment or maintenance of epithelial cell apical/basal polarity - establishment or maintenance of neuroblast polarity - morphogenesis of an epithelium - protein binding - terminal button - presynaptic membrane - septate junction assembly - cytoskeleton organization - regulation of cell proliferation - central nervous system development - neuron differentiation - peripheral nervous system development - zonula adherens assembly - basolateral plasma membrane - cytoplasm - negative regulation of cell proliferation - regulation of cell cycle - epidermal growth factor receptor binding - morphogenesis of a polarized epithelium - synapse - asymmetric protein localization involved in cell fate determination - postsynaptic membrane - establishment of spindle orientation</t>
  </si>
  <si>
    <t>guanylate kinase activity||nucleotide kinase activity||nucleobase\, nucleoside\, nucleotide kinase activity||kinase activity||transferase activity\, transferring phosphorus\-containing groups||transferase activity||catalytic activity</t>
  </si>
  <si>
    <t>transferase activity</t>
  </si>
  <si>
    <t>GO:0004385</t>
  </si>
  <si>
    <t>plasma membrane||membrane||cell part</t>
  </si>
  <si>
    <t>GO:0005886</t>
  </si>
  <si>
    <t>dorsal closure||morphogenesis of embryonic epithelium||morphogenesis of an epithelium||swim bladder morphogenesis||muscle organ development||nervous system development||gametophyte development||multicellular organismal development||multicellular organismal process</t>
  </si>
  <si>
    <t>GO:0007391</t>
  </si>
  <si>
    <t>GuKc 4e-055| Guanylate_kin 7e-040| GMPK 5e-026| guanyl_kin 1e-025| gmk 6e-025| Gmk 7e-025| Gua_kin_assoc_C 2e-021|</t>
  </si>
  <si>
    <t>sp|Q05744|CATD_CHICK</t>
  </si>
  <si>
    <t xml:space="preserve"> Gallus gallus</t>
  </si>
  <si>
    <t>Q05744 1 D4DEN7 0517 PEP2 3 C5FS55 113480 O42630 2 D4B385 112371 O93428 Q9XFX4 O04057 Q03168 AAEL006169 P42210</t>
  </si>
  <si>
    <t xml:space="preserve">CATD_CHICK CATHEPSIN D GALLUS CTSD PE CARP_TRIVH PROBABLE VACUOLAR PROTEASE A TRICHOPHYTON VERRUCOSUM STRAIN HKI CARP_NANOT NANNIZZIA OTAE CBS CARP_ASPFU ASPERGILLUS FUMIGATUS CARP_ARTBC ARTHRODERMA BENHAMIAE CATD_CHIHA CHIONODRACO HAMATUS CARDB_CYNCA PROCARDOSIN B CYNARA CARDUNCULUS CARDB ASPR_CUCPE ASPARTIC PROTEINASE CUCURBITA PEPO ASPP_AEDAE LYSOSOMAL AEDES AEGYPTI ASPR_HORVU PHYTEPSIN HORDEUM VULGARE </t>
  </si>
  <si>
    <t>Contig17955_3</t>
  </si>
  <si>
    <t xml:space="preserve"> CONTIG17955_3 GENEID_V1 3_PREDICTED_PROTEIN_3 372_AA CONTIG808_2 3_PREDICTED_PROTEIN_2 629_AA CONTIG17697_6 3_PREDICTED_PROTEIN_6 399_AA CONTIG808_4 3_PREDICTED_PROTEIN_4 389_AA CONTIG808_3 384_AA CONTIG17572_34 3_PREDICTED_PROTEIN_34 514_AA CONTIG17955_2 375_AA CONTIG16285_5 3_PREDICTED_PROTEIN_5 400_AA CONTIG16543_1 3_PREDICTED_PROTEIN_1 147_AA CONTIG5279_3 152_AA</t>
  </si>
  <si>
    <t>cathepsin D - Danio rerio - response to bacterium</t>
  </si>
  <si>
    <t>peptidase activity||hydrolase activity||catalytic activity</t>
  </si>
  <si>
    <t>hydrolase activity</t>
  </si>
  <si>
    <t>GO:0008233</t>
  </si>
  <si>
    <t>fungal\-type vacuole||storage vacuole||vacuole||nuclear cyclin\-dependent protein kinase holoenzyme complex||cyclin\-dependent protein kinase holoenzyme complex||outer membrane\-bounded periplasmic space||external encapsulating structure part||cell part</t>
  </si>
  <si>
    <t>GO:0000324</t>
  </si>
  <si>
    <t>vacuolar protein catabolic process||cellular protein catabolic process||cellular biopolymer catabolic process||cellular macromolecule catabolic process||cellular macromolecule metabolic process||macromolecule metabolic process||metabolic process</t>
  </si>
  <si>
    <t>GO:0007039</t>
  </si>
  <si>
    <t>phytepsin 7e-055| Proteinase_A_fungi 2e-054| Asp 2e-051| pepsin_A 2e-050| Cathepsin_D_like 5e-049| Cathepsin_D2 2e-047| pepsin_like 1e-046| renin_like 5e-044| Cathespin_E 1e-043| gastricsin 8e-040|</t>
  </si>
  <si>
    <t>Contig17778_8</t>
  </si>
  <si>
    <t xml:space="preserve"> CONTIG17778_8 GENEID_V1 3_PREDICTED_PROTEIN_8 2839_AA</t>
  </si>
  <si>
    <t>Contig17622_11</t>
  </si>
  <si>
    <t>ND5 2e-004| ND4 0.001| 7TM_GPCR_Srsx 0.004| ND6 0.006| ND2 0.010| ND3 0.015| ATP6 0.017| MopB_Res-Cmplx1_Nad11-M 0.049| ND4 0.072|</t>
  </si>
  <si>
    <t xml:space="preserve"> Acyrthosiphon pisum</t>
  </si>
  <si>
    <t>sp|P07192|MAL3_DROME</t>
  </si>
  <si>
    <t>P07192 MAL3_DROME 2 Q17058 MAL1_APIME 1 O16098 MAL1_DROVI MAV1 3 P13080 MAL1 P07190 MAL2_DROME O16099 MAL2_DROVI MAV2 P07191 MAL1_DROME Q64319 SLC31_RAT SLC3A1 Q99040 6 Q59905</t>
  </si>
  <si>
    <t xml:space="preserve">PROBABLE MALTASE L DROSOPHILA MELANOGASTER LVPL PE ALPHA GLUCOSIDASE APIS MELLIFERA VIRILIS MALT_AEDAE AEDES AEGYPTI H LVPH D LVPD NEUTRAL BASIC AMINO ACID TRANSPORT RBAT RATTUS NORVEGICUS DEXB_STRMU GLUCAN STREPTOCOCCUS MUTANS DEXB DEXB_STREQ EQUISIMILIS </t>
  </si>
  <si>
    <t>Contig17590_30</t>
  </si>
  <si>
    <t xml:space="preserve"> CONTIG17590_30 GENEID_V1 3_PREDICTED_PROTEIN_30 614_AA CONTIG17590_29 3_PREDICTED_PROTEIN_29 567_AA CONTIG17918_10 3_PREDICTED_PROTEIN_10 727_AA CONTIG17749_60 3_PREDICTED_PROTEIN_60 365_AA CONTIG3816_1 3_PREDICTED_PROTEIN_1 880_AA CONTIG18023_12 3_PREDICTED_PROTEIN_12 779_AA CONTIG17655_14 3_PREDICTED_PROTEIN_14 332_AA CONTIG17575_27 3_PREDICTED_PROTEIN_27 319_AA CONTIG17967_68 3_PREDICTED_PROTEIN_68 285_AA CONTIG17916_93 3_PREDICTED_PROTEIN_93 1493_AA</t>
  </si>
  <si>
    <t>CG8690 - Drosophila melanogaster - alpha-glucosidase activity</t>
  </si>
  <si>
    <t>protein heterodimerization activity||protein dimerization activity||protein binding||binding</t>
  </si>
  <si>
    <t>binding</t>
  </si>
  <si>
    <t>protein binding</t>
  </si>
  <si>
    <t>GO:0046982</t>
  </si>
  <si>
    <t>mitochondrial inner membrane||integral to mitochondrial outer membrane||intrinsic to mitochondrial outer membrane||mitochondrial membrane part||mitochondrial part||nuclear cyclin\-dependent protein kinase holoenzyme complex||cyclin\-dependent protein kinase holoenzyme complex||outer membrane\-bounded periplasmic space||external encapsulating structure part||cell part</t>
  </si>
  <si>
    <t>GO:0005743</t>
  </si>
  <si>
    <t>amino acid transport||carboxylic acid transport||organic acid transport||transport||cellular localization||localization</t>
  </si>
  <si>
    <t>GO:0006865</t>
  </si>
  <si>
    <t>trehalose_treC 3e-016| treS_nterm 4e-012| AmyA 5e-011| PRK10933 5e-006| PRK05402 0.027| Alpha-amylase_C 0.064|</t>
  </si>
  <si>
    <t xml:space="preserve"> Daphnia pulex</t>
  </si>
  <si>
    <t>sp|Q5ZK95|CCD43_CHICK</t>
  </si>
  <si>
    <t>Q5ZK95 CCD43_CHICK 43 CCDC43 2 1 Q5BK07 CCD43_RAT Q96MW1 CCD43_HUMAN Q6PFL6 CCD43_DANRE Q9CR29 CCD43_MOUSE Q55GU2 CCD43_DICDI DDB_G0267510 3 Q9P6R7 VTS1_SCHPO VTS1 O95202 LETM1_HUMAN LETM1 P60922 KIN4 Q5XIN6 LETM1_RAT</t>
  </si>
  <si>
    <t xml:space="preserve">COILED COIL DOMAIN CONTAINING GALLUS PE RATTUS NORVEGICUS HOMO SAPIENS DANIO RERIO MUS MUSCULUS HOMOLOG DICTYOSTELIUM DISCOIDEUM SCHIZOSACCHAROMYCES POMBE EF HAND MITOCHONDRIAL SYH_NANEQ HISTIDYL TRNA SYNTHETASE NANOARCHAEUM EQUITANS STRAIN M HISS </t>
  </si>
  <si>
    <t>Contig15608_3</t>
  </si>
  <si>
    <t xml:space="preserve"> CONTIG15608_3 GENEID_V1 3_PREDICTED_PROTEIN_3 211_AA CONTIG17634_27 3_PREDICTED_PROTEIN_27 106_AA CONTIG17966_92 3_PREDICTED_PROTEIN_92 CONTIG17963_112 3_PREDICTED_PROTEIN_112 784_AA CONTIG17881_75 3_PREDICTED_PROTEIN_75 909_AA CONTIG17781_29 3_PREDICTED_PROTEIN_29 538_AA CONTIG17989_2 3_PREDICTED_PROTEIN_2 3244_AA CONTIG17970_435 3_PREDICTED_PROTEIN_435 1057_AA CONTIG17436_1 3_PREDICTED_PROTEIN_1 1388_AA CONTIG17729_13 3_PREDICTED_PROTEIN_13 282_AA</t>
  </si>
  <si>
    <t>coiled-coil domain containing 43 - Danio rerio - molecular_function - biological_process - cellular_component</t>
  </si>
  <si>
    <t>ND4 3e-004| ND5 3e-004| ATP6 0.003| ND4 0.004| DIE2_ALG10 0.009| ND2 0.011| eIF3_subunit 0.012| COG1293 0.019| NDH_I_N 0.021| PRK00409 0.025|</t>
  </si>
  <si>
    <t>sp|Q9YI97|OAZ2_DANRE</t>
  </si>
  <si>
    <t xml:space="preserve"> Danio rerio</t>
  </si>
  <si>
    <t>Q9YI97 OAZ2_DANRE 2 OAZ2 1 P54368 OAZ1_HUMAN OAZ1 3 Q95P51 P55814 OAZ1_XENLA O42148 OAZ1_CHICK P54370 OAZ1_RAT P54369 OAZ1_MOUSE P70112 OAZ1_MESAU Q56K12 OAZ1_BOVIN Q5R680 OAZ2_PONAB</t>
  </si>
  <si>
    <t xml:space="preserve">ORNITHINE DECARBOXYLASE ANTIZYME DANIO RERIO PE HOMO SAPIENS OAZ_AEDAE AEDES AEGYPTI ODA XENOPUS LAEVIS GALLUS OAZ RATTUS NORVEGICUS MUS MUSCULUS MESOCRICETUS AURATUS BOS TAURUS PONGO ABELII </t>
  </si>
  <si>
    <t>Contig17797_82</t>
  </si>
  <si>
    <t xml:space="preserve"> CONTIG17797_82 GENEID_V1 3_PREDICTED_PROTEIN_82 245_AA CONTIG17071_20 3_PREDICTED_PROTEIN_20 1828_AA CONTIG17971_16 3_PREDICTED_PROTEIN_16 333_AA CONTIG17911_123 3_PREDICTED_PROTEIN_123 1534_AA CONTIG17705_34 3_PREDICTED_PROTEIN_34 151_AA CONTIG16225_1 3_PREDICTED_PROTEIN_1 641_AA CONTIG10854_1 561_AA CONTIG17930_82 338_AA CONTIG18042_215 3_PREDICTED_PROTEIN_215 668_AA CONTIG17175_11 3_PREDICTED_PROTEIN_11 1658_AA</t>
  </si>
  <si>
    <t>ornithine decarboxylase antizyme 1 - Rattus norvegicus - protein binding - ornithine decarboxylase inhibitor activity</t>
  </si>
  <si>
    <t>protein binding||binding</t>
  </si>
  <si>
    <t>GO:0005515</t>
  </si>
  <si>
    <t>polyamine metabolic process||biogenic amine metabolic process||cellular amino acid derivative metabolic process||cellular amino acid and derivative metabolic process||cellular metabolic process||metabolic process</t>
  </si>
  <si>
    <t>GO:0006595</t>
  </si>
  <si>
    <t>COG5022 | ODC_AZ 2e-014|</t>
  </si>
  <si>
    <t>sp|Q80YF9|RHG33_MOUSE</t>
  </si>
  <si>
    <t xml:space="preserve"> Mus musculus</t>
  </si>
  <si>
    <t>Q80YF9 RHG33_MOUSE 33 ARHGAP33 1 Q8L4B2 NFYC9_ARATH 9 NFYC9 2 Q95ZG3 SPC97_DICDI 97 SPC97 Q9BXM0</t>
  </si>
  <si>
    <t xml:space="preserve">RHO GTPASE ACTIVATING MUS MUSCULUS PE NUCLEAR TRANSCRIPTION FACTOR Y SUBUNIT C ARABIDOPSIS THALIANA SPINDLE POLE BODY COMPONENT DICTYOSTELIUM DISCOIDEUM PRAX_HUMAN PERIAXIN HOMO SAPIENS PRX </t>
  </si>
  <si>
    <t>Contig17792_100</t>
  </si>
  <si>
    <t xml:space="preserve"> CONTIG17792_100 GENEID_V1 3_PREDICTED_PROTEIN_100 147_AA CONTIG17848_62 3_PREDICTED_PROTEIN_62 1670_AA CONTIG16370_3 3_PREDICTED_PROTEIN_3 899_AA CONTIG7761_1 3_PREDICTED_PROTEIN_1 255_AA CONTIG16310_6 3_PREDICTED_PROTEIN_6 258_AA</t>
  </si>
  <si>
    <t>Contig17931_11</t>
  </si>
  <si>
    <t>sorting nexin 26 - Mus musculus - cytoplasm - plasma membrane - Rho GTPase activator activity - Rac GTPase activator activity</t>
  </si>
  <si>
    <t>DNA binding||nucleic acid binding||binding</t>
  </si>
  <si>
    <t>nucleic acid binding</t>
  </si>
  <si>
    <t>GO:0003677</t>
  </si>
  <si>
    <t>nucleus||intracellular membrane\-bounded organelle||intracellular organelle||outer membrane\-bounded periplasmic space||external encapsulating structure part||cell part</t>
  </si>
  <si>
    <t>GO:0005634</t>
  </si>
  <si>
    <t>Wnt receptor signaling pathway||cell surface receptor linked signal transduction||signal transduction||regulation of cellular process||regulation of biological process||biological regulation</t>
  </si>
  <si>
    <t>GO:0016055</t>
  </si>
  <si>
    <t>COG5022 | MopB_Res-Cmplx1_Nad11-M 1e-004| ND5 0.003| ND3 0.006| ND4 0.030| Cytadhesin_P30 0.044| Drf_FH1 0.059| COG2604 0.083|</t>
  </si>
  <si>
    <t xml:space="preserve"> Sus scrofa</t>
  </si>
  <si>
    <t>sp|B0BBI9|SYL_CHLTB</t>
  </si>
  <si>
    <t xml:space="preserve"> Chlamydia trachomatis serovar L2b (strain UCH-1/proctitis)</t>
  </si>
  <si>
    <t>B0BBI9 L2B 1 3 B0B9V9 SYL_CHLT2 L2 434 902B B4QCR6 ARS2 B4II37 2 B3N3F7 Q8N201 INT1_HUMAN INTS1 Q9V9K7 Q22018 R53 O83469 Y456_TREPA TP_0456 4 A1U4A0 700491 11845 VT8</t>
  </si>
  <si>
    <t xml:space="preserve">SYL_CHLTB LEUCYL TRNA SYNTHETASE CHLAMYDIA TRACHOMATIS SEROVAR STRAIN UCH PROCTITIS LEUS PE BU ATCC VR SRRT_DROSI SERRATE RNA EFFECTOR MOLECULE HOMOLOG DROSOPHILA SIMULANS SRRT_DROSE SECHELLIA SRRT_DROER ERECTA INTEGRATOR COMPLEX SUBUNIT HOMO SAPIENS SRRT_DROME MELANOGASTER KTHY_CAEEL PROBABLE THYMIDYLATE KINASE CAENORHABDITIS ELEGANS UNCHARACTERIZED LIPOPROTEIN TREPONEMA PALLIDUM SYL_MARAV MARINOBACTER AQUAEOLEI DSM </t>
  </si>
  <si>
    <t>Contig17167_7</t>
  </si>
  <si>
    <t xml:space="preserve"> CONTIG17167_7 GENEID_V1 3_PREDICTED_PROTEIN_7 1045_AA CONTIG17910_135 3_PREDICTED_PROTEIN_135 1005_AA CONTIG17879_32 3_PREDICTED_PROTEIN_32 1789_AA CONTIG16507_1 3_PREDICTED_PROTEIN_1 742_AA CONTIG17098_1 682_AA CONTIG12451_1 1462_AA CONTIG17474_6 3_PREDICTED_PROTEIN_6 809_AA CONTIG16155_1 382_AA CONTIG18047_18 3_PREDICTED_PROTEIN_18 1225_AA CONTIG17967_227 3_PREDICTED_PROTEIN_227 1388_AA</t>
  </si>
  <si>
    <t>Contig8951_5</t>
  </si>
  <si>
    <t>Caenorhabditis elegans - embryonic development ending in birth or egg hatching - growth - nematode larval development</t>
  </si>
  <si>
    <t>leucine\-tRNA ligase activity||aminoacyl\-tRNA ligase activity||ligase activity\, forming aminoacyl\-tRNA and related compounds||ligase activity\, forming carbon\-oxygen bonds||ligase activity||catalytic activity</t>
  </si>
  <si>
    <t>ligase activity</t>
  </si>
  <si>
    <t>GO:0004823</t>
  </si>
  <si>
    <t>mitochondrion||nuclear cyclin\-dependent protein kinase holoenzyme complex||cyclin\-dependent protein kinase holoenzyme complex||outer membrane\-bounded periplasmic space||external encapsulating structure part||cell part</t>
  </si>
  <si>
    <t>GO:0005739</t>
  </si>
  <si>
    <t>leucyl\-tRNA aminoacylation||tRNA aminoacylation for protein translation||tRNA aminoacylation||amino acid activation||cellular amino acid metabolic process||cellular amine metabolic process||cellular carbohydrate metabolic process||carbohydrate metabolic process||primary metabolic process||metabolic process</t>
  </si>
  <si>
    <t>GO:0006429</t>
  </si>
  <si>
    <t xml:space="preserve"> Pongo abelii</t>
  </si>
  <si>
    <t>&lt;nucleolus||Swr1 complex||gamma DNA polymerase complex||mitochondrial membrane part||intrinsic to Golgi membrane||recycling endosome membrane||tertiary granule membrane||chromaffin granule lumen||peribacteroid membrane||clathrin vesicle coat||acidocalcisome membrane||peribacteroid fluid||COPII vesicle coat||melanosome membrane||chitosome membrane||plastid chromosome||proplastid stroma||etioplast stroma||cyanelle stroma||Toc complex||microbody part||yolk granule||pectic matrix||Golgi membrane||axoneme part||cilium part||polarisome||aster||aster||conoid||conoid</t>
  </si>
  <si>
    <t>conoid</t>
  </si>
  <si>
    <t>GO:0005730</t>
  </si>
  <si>
    <t>&lt;rRNA processing||regulation of eIF2 alpha phosphorylation by amino acid starvation||negative regulation of induction of conjugation with cellular fusion||spermatid nucleus elongation||regulation of attachment of spindle microtubules to kinetochore||regulation of maintenance of mitotic sister chromatid cohesion||regulation of maintenance of mitotic sister chromatid cohesion||membrane reorganization involved in phagocytosis\, engulfment||regulation of synaptic vesicle fusion to presynaptic membrane||signal transduction during conjugation without cellular fusion||agglutination involved in conjugation without cellular fusion||pre\-microRNA processing||tRNA\-type intron splice site recognition and cleavage||recruitment of helicase\-primase complex to DNA lesions||plasma membrane electron transport\, NADH to quinone||plasma membrane electron transport\, NADH to quinone||regulation of cellular carbohydrate catabolic process||regulation of N\-terminal protein palmitoylation||regulation of N\-terminal protein palmitoylation||regulation of chromatin silencing by small RNA||DNA replication\, Okazaki fragment processing||regulation of reciprocal meiotic recombination||positive regulation of protein desumoylation||regulation of histone H3\-K9 methylation||RNA elongation from mitochondrial promoter||regulation of antisense RNA transcription||regulation of glucan biosynthetic process||regulation of cholesterol esterification||regulation of fatty acid beta\-oxidation||regulation of ketone biosynthetic process||heme oxidation||regulation of synaptic vesicle priming||establishment of organelle localization||regulation of ecdysteroid secretion||N\-glycan processing to lysosome||free ubiquitin chain polymerization||regulation of ubiquitin homeostasis||axon choice point recognition||regulation of axon extension||regulation of neuron maturation||neuroblast fate specification||glial cell fate specification||Sertoli cell fate commitment||notochord cell vacuolation||notochord cell development||dendrite morphogenesis||root hair initiation||guard cell development||stem cell maintenance||neuron maturation||myoblast maturation||pole cell formation||glial cell growth||myoblast fusion||cell wall assembly||male meiosis I||pollen adhesion||oocyte growth</t>
  </si>
  <si>
    <t>GO:0006364</t>
  </si>
  <si>
    <t>sp|Q64232|TECR_RAT</t>
  </si>
  <si>
    <t>Q64232 2 3 1 Q9CY27 Q3ZCD7 Q9NZ01 Q5HYJ1 Q3SZ89 Q8BFZ1 Q55C17 GPSN2 O94511 YN67_SCHPO C646 07C SPBC646 Q99190 TSC13_YEAST TSC13</t>
  </si>
  <si>
    <t xml:space="preserve">TECR_RAT TRANS ENOYL COA REDUCTASE RATTUS NORVEGICUS TECR PE TECR_MOUSE MUS MUSCULUS TECR_BOVIN BOS TAURUS TECR_HUMAN HOMO SAPIENS TECRL_HUMAN LIKE TECRL TECRL_BOVIN TECRL_MOUSE TECR_DICDI DICTYOSTELIUM DISCOIDEUM SCHIZOSACCHAROMYCES POMBE SACCHAROMYCES CEREVISIAE </t>
  </si>
  <si>
    <t>Contig18032_78</t>
  </si>
  <si>
    <t xml:space="preserve"> CONTIG18032_78 GENEID_V1 3_PREDICTED_PROTEIN_78 302_AA CONTIG17963_123 3_PREDICTED_PROTEIN_123 79_AA CONTIG17970_429 3_PREDICTED_PROTEIN_429 334_AA CONTIG17979_4 3_PREDICTED_PROTEIN_4 475_AA CONTIG16362_7 3_PREDICTED_PROTEIN_7 755_AA CONTIG17907_61 3_PREDICTED_PROTEIN_61 1225_AA CONTIG17362_7 574_AA CONTIG18042_41 3_PREDICTED_PROTEIN_41 151_AA CONTIG17581_26 3_PREDICTED_PROTEIN_26 95_AA CONTIG7214_1 3_PREDICTED_PROTEIN_1 78_AA</t>
  </si>
  <si>
    <t>synaptic glycoprotein SC2-like protein - Dictyostelium discoideum - biological_process - molecular_function - integral to membrane</t>
  </si>
  <si>
    <t>Tsc13_N 3e-012| UBL 3e-006| UBQ 3e-005| ubiquitin 1e-004| BAG1_N 2e-004| RAD23_N 6e-004| Ubiquitin 0.001| Scythe_N 0.032| parkin_N 0.046| Nedd8 0.060|</t>
  </si>
  <si>
    <t xml:space="preserve"> Triatoma matogrossensis</t>
  </si>
  <si>
    <t>sp|Q6ZQ03|FNBP4_MOUSE</t>
  </si>
  <si>
    <t>Q6ZQ03 FNBP4_MOUSE 4 FNBP4 1 2 Q8N3X1 FNBP4_HUMAN 3 P13692 P54_ENTFC P54 Q685J3 MUC17_HUMAN 17 MUC17 Q54T01 Y2105_DICDI DDB_G0282105 Q4A0V8 UAFA_STAS1 15305 20229 B3EQF7 BS1 Q6AXU3 I20L2_RAT 20 ISG20L2 Q1EAR5 CHI2_COCIM CTS2 Q8VQ99</t>
  </si>
  <si>
    <t xml:space="preserve">FORMIN BINDING MUS MUSCULUS PE HOMO SAPIENS ENTEROCOCCUS FAECIUM MUCIN PROBABLE PHOSPHATASE DICTYOSTELIUM DISCOIDEUM URO ADHERENCE FACTOR A STAPHYLOCOCCUS SAPROPHYTICUS SUBSP STRAIN ATCC DSM UAFA OXAA_CHLPB INNER MEMBRANE OXAA CHLOROBIUM PHAEOBACTEROIDES INTERFERON STIMULATED KDA EXONUCLEASE LIKE RATTUS NORVEGICUS ENDOCHITINASE COCCIDIOIDES IMMITIS SRAP_STAAU SERINE RICH ADHESIN FOR PLATELETS AUREUS SRAP </t>
  </si>
  <si>
    <t>Contig17850_27</t>
  </si>
  <si>
    <t xml:space="preserve"> CONTIG17850_27 GENEID_V1 3_PREDICTED_PROTEIN_27 261_AA CONTIG17851_35 3_PREDICTED_PROTEIN_35 1519_AA CONTIG17641_31 3_PREDICTED_PROTEIN_31 887_AA CONTIG17817_36 3_PREDICTED_PROTEIN_36 2429_AA CONTIG17761_6 3_PREDICTED_PROTEIN_6 427_AA CONTIG18059_55 3_PREDICTED_PROTEIN_55 1003_AA CONTIG17797_63 3_PREDICTED_PROTEIN_63 2050_AA CONTIG17970_425 3_PREDICTED_PROTEIN_425 2038_AA CONTIG17946_71 3_PREDICTED_PROTEIN_71 2549_AA CONTIG17955_243 3_PREDICTED_PROTEIN_243 7630_AA</t>
  </si>
  <si>
    <t>formin binding protein 4 - Mus musculus - protein binding</t>
  </si>
  <si>
    <t>protein serine/threonine phosphatase activity||phosphoprotein phosphatase activity||phosphatase activity||phosphoric ester hydrolase activity||hydrolase activity\, acting on ester bonds||hydrolase activity||catalytic activity</t>
  </si>
  <si>
    <t>GO:0004722</t>
  </si>
  <si>
    <t>protein serine/threonine phosphatase complex||protein complex||macromolecular complex</t>
  </si>
  <si>
    <t>macromolecular complex</t>
  </si>
  <si>
    <t>protein complex</t>
  </si>
  <si>
    <t>GO:0008287</t>
  </si>
  <si>
    <t>protein amino acid dephosphorylation||post\-translational protein modification||protein modification process||cellular protein metabolic process||cellular biopolymer metabolic process||cellular macromolecule metabolic process||macromolecule metabolic process||metabolic process</t>
  </si>
  <si>
    <t>GO:0006470</t>
  </si>
  <si>
    <t>COG5022 | ATP6 1e-005| ND5 2e-004| ND4 3e-004| ND2 0.003| ND6 0.003| DUF947 0.010| PRK11192 0.011| PRK13414 0.019| ND4 0.020|</t>
  </si>
  <si>
    <t xml:space="preserve"> Arabidopsis thaliana</t>
  </si>
  <si>
    <t xml:space="preserve"> Saccharomyces cerevisiae</t>
  </si>
  <si>
    <t>transmembrane transporter activity</t>
  </si>
  <si>
    <t>integral to plasma membrane||intrinsic to plasma membrane||thylakoid membrane||photosynthetic membrane||membrane||cell part</t>
  </si>
  <si>
    <t>GO:0005887</t>
  </si>
  <si>
    <t xml:space="preserve"> Bombyx mori</t>
  </si>
  <si>
    <t>Contig17940_72</t>
  </si>
  <si>
    <t>sp|Q8I7P9|POL5_DROME</t>
  </si>
  <si>
    <t>Q8I7P9 POL5_DROME 4 1 Q9UR07 RTF23_SCHPO TF2 155 3 11 Q9C0R2 RTF22_SCHPO 2 7 Q05654 RTF21_SCHPO Q09575 YRD6_CAEEL K02A2 6 P10401 Q87040 P10394 POL4_DROME 412 P27401 POL_SFV3L LK3 P23074 POL_SFV1</t>
  </si>
  <si>
    <t xml:space="preserve">RETROVIRUS RELATED POL POLYPROTEIN FROM TRANSPOSON OPUS DROSOPHILA MELANOGASTER PE RETROTRANSPOSABLE ELEMENT KDA TYPE SCHIZOSACCHAROMYCES POMBE UNCHARACTERIZED CAENORHABDITIS ELEGANS POLY_DROME GYPSY POL_SFVCP PRO SIMIAN FOAMY VIRUS ISOLATE CHIMPANZEE STRAIN </t>
  </si>
  <si>
    <t>Contig18061_163</t>
  </si>
  <si>
    <t xml:space="preserve"> CONTIG18061_163 GENEID_V1 3_PREDICTED_PROTEIN_163 456_AA CONTIG8468_2 3_PREDICTED_PROTEIN_2 339_AA CONTIG18061_147 3_PREDICTED_PROTEIN_147 739_AA CONTIG17968_8 3_PREDICTED_PROTEIN_8 334_AA CONTIG3772_1 3_PREDICTED_PROTEIN_1 539_AA CONTIG17836_62 3_PREDICTED_PROTEIN_62 386_AA CONTIG16185_8 486_AA CONTIG17942_128 3_PREDICTED_PROTEIN_128 212_AA CONTIG17953_160 3_PREDICTED_PROTEIN_160 1518_AA CONTIG17948_33 3_PREDICTED_PROTEIN_33 690_AA</t>
  </si>
  <si>
    <t>Contig8468_2</t>
  </si>
  <si>
    <t>retrotransposable element - Schizosaccharomyces pombe - nucleus</t>
  </si>
  <si>
    <t>rve 1e-014| ND2 0.005| ND4 0.010| ND2 0.013| ND5 0.020| ND5 0.035| Beta4Glucosyltransferase 0.039| Borrelia_orfA 0.062| ND4 0.077| COG3356 0.092|</t>
  </si>
  <si>
    <t xml:space="preserve"> Schistosoma japonicum</t>
  </si>
  <si>
    <t>Contig18070_21</t>
  </si>
  <si>
    <t>Contig17851_114</t>
  </si>
  <si>
    <t xml:space="preserve">KDA IN NOF FB TRANSPOSABLE ELEMENT TE NR LIGHT </t>
  </si>
  <si>
    <t>CG13377 - Drosophila melanogaster - 3-hydroxybutyrate dehydrogenase activity</t>
  </si>
  <si>
    <t xml:space="preserve"> Plasmodium falciparum 3D7</t>
  </si>
  <si>
    <t>Contig18070_345</t>
  </si>
  <si>
    <t xml:space="preserve"> CONTIG18070_345 GENEID_V1 3_PREDICTED_PROTEIN_345 130_AA CONTIG17747_50 3_PREDICTED_PROTEIN_50 116_AA CONTIG18033_175 3_PREDICTED_PROTEIN_175 962_AA CONTIG17948_155 3_PREDICTED_PROTEIN_155 2037_AA CONTIG17940_2 3_PREDICTED_PROTEIN_2 344_AA</t>
  </si>
  <si>
    <t>Contig17926_219</t>
  </si>
  <si>
    <t>odorant binding protein I f - Rattus norvegicus - odorant binding</t>
  </si>
  <si>
    <t>metalloendopeptidase activity||metallopeptidase activity||peptidase activity\, acting on L\-amino acid peptides||peptidase activity||hydrolase activity||catalytic activity</t>
  </si>
  <si>
    <t>GO:0004222</t>
  </si>
  <si>
    <t>proteolysis||protein catabolic process||biopolymer catabolic process||macromolecule catabolic process||macromolecule metabolic process||metabolic process</t>
  </si>
  <si>
    <t>GO:0006508</t>
  </si>
  <si>
    <t>A_deaminase 0.085|</t>
  </si>
  <si>
    <t xml:space="preserve"> Brugia malayi</t>
  </si>
  <si>
    <t>sp|Q8TGM6|TAR1_YEAST</t>
  </si>
  <si>
    <t>Q8TGM6 TAR1_YEAST TAR1 2 1 Q6CQE5 TAR1_KLULA 4 Q5HY64 FA47C_HUMAN FAM47C</t>
  </si>
  <si>
    <t xml:space="preserve">SACCHAROMYCES CEREVISIAE PE KLUYVEROMYCES LACTIS A HOMO SAPIENS </t>
  </si>
  <si>
    <t>Contig17403_15</t>
  </si>
  <si>
    <t xml:space="preserve"> CONTIG17403_15 GENEID_V1 3_PREDICTED_PROTEIN_15 102_AA CONTIG16135_3 3_PREDICTED_PROTEIN_3 401_AA</t>
  </si>
  <si>
    <t>Contig20789_1</t>
  </si>
  <si>
    <t>Mitochondrial protein potentially involved in regulation of respiratory metabolism - Saccharomyces cerevisiae - molecular_function - mitochondrion - regulation of cellular respiration</t>
  </si>
  <si>
    <t>&amp;regulation of cellular respiration||telomeric 3' overhang formation||regulation of DNA recombination||meiotic heteroduplex formation||regulation of DNA replication||DNA replication termination||cyclooxygenase pathway||cyclooxygenase pathway||autophagic vacuole docking||synaptic vesicle priming||synaptic vesicle budding||regulation of excretion||basophil degranulation||regulation of secretion||regulation of transport||spore wall biogenesis||female pigmentation||seed morphogenesis||head segmentation||lung development||eclosion rhythm||eclosion rhythm||enucleation||tube fusion||seed growth||innervation</t>
  </si>
  <si>
    <t>GO:0043457</t>
  </si>
  <si>
    <t>PRP8 0.003| WT1 0.065| Extensin_2 0.070| Cytochrom_B558a 0.078|</t>
  </si>
  <si>
    <t>sp|Q8KA15|PRIA_BUCAP</t>
  </si>
  <si>
    <t xml:space="preserve"> Buchnera aphidicola subsp. Schizaphis graminum</t>
  </si>
  <si>
    <t>Q8KA15 3 1</t>
  </si>
  <si>
    <t xml:space="preserve">PRIA_BUCAP PRIMOSOMAL N BUCHNERA APHIDICOLA SUBSP SCHIZAPHIS GRAMINUM PRIA PE </t>
  </si>
  <si>
    <t>Contig16171_3</t>
  </si>
  <si>
    <t xml:space="preserve"> CONTIG16171_3 GENEID_V1 3_PREDICTED_PROTEIN_3 439_AA CONTIG17985_1 3_PREDICTED_PROTEIN_1 15_AA CONTIG17896_129 3_PREDICTED_PROTEIN_129 2166_AA CONTIG18061_116 3_PREDICTED_PROTEIN_116 2720_AA</t>
  </si>
  <si>
    <t>Contig17985_1</t>
  </si>
  <si>
    <t>olfactory receptor 1165 - Rattus norvegicus - olfactory receptor activity - G-protein coupled receptor protein signaling pathway - integral to membrane - detection of chemical stimulus involved in sensory perception of smell</t>
  </si>
  <si>
    <t>olfactory receptor activity||G\-protein coupled receptor activity||transmembrane receptor activity||receptor activity||signal transducer activity||molecular transducer activity</t>
  </si>
  <si>
    <t>molecular transducer activity</t>
  </si>
  <si>
    <t>signal transducer activity</t>
  </si>
  <si>
    <t>GO:0004984</t>
  </si>
  <si>
    <t>G\-protein coupled receptor protein signaling pathway||cell surface receptor linked signal transduction||signal transduction||regulation of cellular process||regulation of biological process||biological regulation</t>
  </si>
  <si>
    <t>GO:0007186</t>
  </si>
  <si>
    <t>sp|Q8WUN3|ZN252_HUMAN</t>
  </si>
  <si>
    <t xml:space="preserve"> Homo sapiens</t>
  </si>
  <si>
    <t>Q8WUN3 ZN252_HUMAN 252 ZNF252 5 2 Q04547 GI_CHV9D 9 3 1</t>
  </si>
  <si>
    <t xml:space="preserve">ZINC FINGER HOMO SAPIENS PE ENVELOPE GLYCOPROTEIN I CERCOPITHECINE HERPESVIRUS STRAIN DHV </t>
  </si>
  <si>
    <t>Contig17960_69</t>
  </si>
  <si>
    <t xml:space="preserve"> CONTIG17960_69 GENEID_V1 3_PREDICTED_PROTEIN_69 137_AA CONTIG17964_123 3_PREDICTED_PROTEIN_123 442_AA</t>
  </si>
  <si>
    <t>Contig20655_1</t>
  </si>
  <si>
    <t>DNA repair protein Rad50 - Schizosaccharomyces pombe - Mre11 complex - reciprocal meiotic recombination - DNA damage checkpoint - ATP binding - double-strand break repair - gene conversion at mating-type locus, DNA repair synthesis - intra-S DNA damage checkpoint - nuclear chromatin - double-strand break repair via homologous recombination - double-strand break repair via nonhomologous end joining - telomere maintenance - ATP-dependent DNA helicase activity - DNA binding - meiotic DNA double-strand break formation</t>
  </si>
  <si>
    <t>ATP binding||adenyl ribonucleotide binding||purine ribonucleotide binding||purine nucleotide binding||nucleotide binding||binding</t>
  </si>
  <si>
    <t>nucleotide binding</t>
  </si>
  <si>
    <t>GO:0005524</t>
  </si>
  <si>
    <t>Mre11 complex||microsporocyte nucleus||nucleus||intracellular membrane\-bounded organelle||intracellular organelle||outer membrane\-bounded periplasmic space||external encapsulating structure part||cell part</t>
  </si>
  <si>
    <t>GO:0030870</t>
  </si>
  <si>
    <t>&lt;reciprocal meiotic recombination||homologous chromosome movement towards spindle pole during meiosis I||homologous chromosome movement towards spindle pole during meiosis I||homologous chromosome movement towards spindle pole during meiosis I||regulation of Fc receptor mediated stimulatory signaling pathway||recognition of pollen||progressive alteration of chromatin during replicative cell aging||spore membrane bending pathway||inhibition of phospholipase C activity involved in G\-protein coupled receptor signaling pathway||activation of JNKKK activity||inhibition of phospholipase C activity involved in G\-protein coupled receptor signaling pathway||inhibition of phospholipase C activity involved in G\-protein coupled receptor signaling pathway||positive regulation of chemokine\-mediated signaling pathway</t>
  </si>
  <si>
    <t>GO:0007131</t>
  </si>
  <si>
    <t xml:space="preserve"> Apis mellifera</t>
  </si>
  <si>
    <t>Contig17073_25</t>
  </si>
  <si>
    <t xml:space="preserve"> CONTIG17073_25 GENEID_V1 3_PREDICTED_PROTEIN_25 104_AA CONTIG17306_7 3_PREDICTED_PROTEIN_7 354_AA CONTIG17970_579 3_PREDICTED_PROTEIN_579 118_AA CONTIG17853_66 3_PREDICTED_PROTEIN_66 299_AA CONTIG17572_7 279_AA CONTIG17967_179 3_PREDICTED_PROTEIN_179 160_AA CONTIG17855_100 3_PREDICTED_PROTEIN_100 892_AA CONTIG17622_22 3_PREDICTED_PROTEIN_22 755_AA</t>
  </si>
  <si>
    <t>CG9894 - Drosophila melanogaster - nucleus</t>
  </si>
  <si>
    <t>Merozoite_SPAM 0.001| Rtt106 0.001| 7TMR-DISM_7TM 0.007| rRNA_processing 0.009| Paf1 0.009| TFIIF_alpha 0.010| ROM1 0.011| COG3336 0.014| Caldesmon 0.016| Daxx 0.018|</t>
  </si>
  <si>
    <t xml:space="preserve"> synthetic construct</t>
  </si>
  <si>
    <t>sp|Q9V9Z9|EBP2_DROME</t>
  </si>
  <si>
    <t>Q9V9Z9 EBP2_DROME EBP2 CG1542 2 1 Q9D903 EBP2_MOUSE EBNA1BP2 Q9I8J6 EBP2_XENLA Q99848 EBP2_HUMAN Q09958 EBP2_CAEEL C18A3 3 P36049 EBP2_YEAST O13802 EBP2_SCHPO Q9LUJ5 EBP2_ARATH AT3G22660 Q15075 EEA1_HUMAN EEA1 Q58654 Y1257_METJA MJ1257 4</t>
  </si>
  <si>
    <t xml:space="preserve">PROBABLE RRNA PROCESSING HOMOLOG DROSOPHILA MELANOGASTER PE MUS MUSCULUS XENOPUS LAEVIS HOMO SAPIENS CAENORHABDITIS ELEGANS SACCHAROMYCES CEREVISIAE SCHIZOSACCHAROMYCES POMBE ARABIDOPSIS THALIANA EARLY ENDOSOME ANTIGEN UNCHARACTERIZED METHANOCALDOCOCCUS JANNASCHII </t>
  </si>
  <si>
    <t>Contig17709_31</t>
  </si>
  <si>
    <t xml:space="preserve"> CONTIG17709_31 GENEID_V1 3_PREDICTED_PROTEIN_31 295_AA CONTIG17609_6 5B 0000002 4210526 CONTIG17812_50 3_PREDICTED_PROTEIN_50 3188_AA CONTIG11633_9 3_PREDICTED_PROTEIN_9 516_AA CONTIG17978_23 3_PREDICTED_PROTEIN_23 123_AA CONTIG17893_66 3_PREDICTED_PROTEIN_66 721_AA CONTIG17856_14 3_PREDICTED_PROTEIN_14 381_AA CONTIG17971_343 3_PREDICTED_PROTEIN_343 286_AA CONTIG17955_245 3_PREDICTED_PROTEIN_245 2132_AA CONTIG17821_74 3_PREDICTED_PROTEIN_74 1334_AA</t>
  </si>
  <si>
    <t xml:space="preserve">TRANSLATION INITIATION FACTOR EIF PS </t>
  </si>
  <si>
    <t>CG1542 - Drosophila melanogaster - rRNA processing - nucleolus - molecular_function</t>
  </si>
  <si>
    <t>Ebp2 1e-046| TatC 5e-004| Tig 0.006| VanZ 0.019| YfhO 0.037| 7tm_7 0.038| SURF6 0.061| QcrB 0.070| Caa3_CtaG 0.077| MreD 0.086|</t>
  </si>
  <si>
    <t>sp|Q9NU22|MDN1_HUMAN</t>
  </si>
  <si>
    <t>Q9NU22 MDN1_HUMAN MDN1 1 2 Q12019 MDN1_YEAST Q869L3 MDN1_DICDI 3 O94248 MDN1_SCHPO Q8T5T1 MDN1_GIAIN Q8IUG5 MY18B_HUMAN MYO18B Q6H6C3 AGO17_ORYSJ 17 AGO17 Q6R653 UN5CL_MOUSE UNC5C UNC5CL Q8IV45 UN5CL_HUMAN Q9HMR7 DP2S_HALSA</t>
  </si>
  <si>
    <t xml:space="preserve">MIDASIN HOMO SAPIENS PE SACCHAROMYCES CEREVISIAE DICTYOSTELIUM DISCOIDEUM SCHIZOSACCHAROMYCES POMBE GIARDIA INTESTINALIS MYOSIN XVIIIB ARGONAUTE ORYZA SATIVA SUBSP JAPONICA LIKE MUS MUSCULUS DNA POLYMERASE II SMALL SUBUNIT HALOBACTERIUM SALINARIUM POLB </t>
  </si>
  <si>
    <t>Contig17834_1</t>
  </si>
  <si>
    <t xml:space="preserve"> CONTIG17834_1 GENEID_V1 3_PREDICTED_PROTEIN_1 1363_AA CONTIG17656_43 3_PREDICTED_PROTEIN_43 1128_AA CONTIG17955_244 3_PREDICTED_PROTEIN_244 4085_AA CONTIG17641_24 3_PREDICTED_PROTEIN_24 973_AA CONTIG17871_27 3_PREDICTED_PROTEIN_27 1178_AA CONTIG17553_1 549_AA CONTIG17727_11 3_PREDICTED_PROTEIN_11 1583_AA CONTIG17970_304 3_PREDICTED_PROTEIN_304 1922_AA CONTIG17920_32 3_PREDICTED_PROTEIN_32 706_AA CONTIG17868_17 3_PREDICTED_PROTEIN_17 1081_AA</t>
  </si>
  <si>
    <t>Huge dynein-related AAA-type ATPase (midasin), forms extended pre-60S particle with the Rix1 complex (Rix1p-Ipi1p-Ipi3p), may mediate ATP-dependent remodeling of 60S subunits and subsequent export from nucleoplasm to cytoplasm - Saccharomyces cerevisiae - ribosomal large subunit assembly - nucleus - nucleoplasm - mitochondrion - rRNA processing - ATPase activity - ribosome assembly - ribosomal large subunit biogenesis</t>
  </si>
  <si>
    <t>ATPase activity||nucleoside\-triphosphatase activity||pyrophosphatase activity||hydrolase activity\, acting on acid anhydrides\, in phosphorus\-containing anhydrides||hydrolase activity\, acting on acid anhydrides||hydrolase activity||catalytic activity</t>
  </si>
  <si>
    <t>GO:0016887</t>
  </si>
  <si>
    <t>&lt;ribosomal large subunit assembly||ribosomal small subunit assembly||removal of nonhomologous ends||metarhodopsin inactivation||regulation of vesicle fusion||regulation of phagocytosis||synaptic vesicle targeting||R3/R4 cell fate commitment||lipoxygenase pathway||spliceosome assembly||tRNA exon ligation||photosystem II repair||receptor clustering||sperm capacitation||oocyte development||beta selection||oocyte growth||oocyte growth||rDNA separation||oocyte growth</t>
  </si>
  <si>
    <t>GO:0000027</t>
  </si>
  <si>
    <t>vWA_midasin 6e-057| MDN1 5e-052| vWFA 0.015| VWA_CoxE 0.024| COG1721 0.061|</t>
  </si>
  <si>
    <t>sp|Q5RFH0|ATP5L_PONAB</t>
  </si>
  <si>
    <t>Q5RFH0 ATP5L_PONAB ATP5L 3 1 Q28852 ATP5L_BOVIN Q9CPQ8 ATP5L_MOUSE O75964 ATP5L_HUMAN Q7Z4Y8 AT5L2_HUMAN 2 ATP5L2 5 Q18803 ATPL2_CAEEL P90921 ATPL1_CAEEL B1M0N0 27329 1819 2831 Q5WLN5 K16 P18858 DNLI1_HUMAN LIG1</t>
  </si>
  <si>
    <t xml:space="preserve">ATP SYNTHASE SUBUNIT G MITOCHONDRIAL PONGO ABELII PE BOS TAURUS MUS MUSCULUS HOMO SAPIENS PROBABLE CAENORHABDITIS ELEGANS ASG SYA_METRJ ALANYL TRNA SYNTHETASE METHYLOBACTERIUM RADIOTOLERANS STRAIN ATCC DSM JCM ALAS RPOA_BACSK DNA DIRECTED RNA POLYMERASE ALPHA BACILLUS CLAUSII KSM RPOA LIGASE </t>
  </si>
  <si>
    <t>Contig17955_250</t>
  </si>
  <si>
    <t xml:space="preserve"> CONTIG17955_250 GENEID_V1 3_PREDICTED_PROTEIN_250 95_AA CONTIG17946_68 3_PREDICTED_PROTEIN_68 1463_AA CONTIG17708_46 3_PREDICTED_PROTEIN_46 1127_AA CONTIG17943_15 3_PREDICTED_PROTEIN_15 841_AA</t>
  </si>
  <si>
    <t>lethal (2) 06225 - Drosophila melanogaster - hydrogen-exporting ATPase activity, phosphorylative mechanism - proton transport - mitochondrial proton-transporting ATP synthase complex, coupling factor F(o) - lipid particle</t>
  </si>
  <si>
    <t>hydrogen\-exporting ATPase activity\, phosphorylative mechanism||ATPase activity\, coupled to transmembrane movement of ions\, phosphorylative mechanism||ATPase activity\, coupled to transmembrane movement of ions||ATPase activity\, coupled to transmembrane movement of substances||ATPase activity\, coupled to movement of substances||ATPase activity\, coupled||ATPase activity||nucleoside\-triphosphatase activity||pyrophosphatase activity||hydrolase activity\, acting on acid anhydrides\, in phosphorus\-containing anhydrides||hydrolase activity\, acting on acid anhydrides||hydrolase activity||catalytic activity</t>
  </si>
  <si>
    <t>GO:0008553</t>
  </si>
  <si>
    <t>&lt;mitochondrial proton\-transporting ATP synthase complex\, coupling factor F(o)||mitochondrial inner membrane protein insertion complex||extrinsic to endoplasmic reticulum membrane||mitochondrial proton\-transporting ATP synthase complex\, coupling factor F(o)||mitochondrial inner membrane protein insertion complex||parasitophorous vacuolar membrane network||chloroplast photosystem II||chloroplast photosystem II||chloroplast photosystem I||plastid acetyl\-CoA carboxylase complex||Tic complex||Tic complex||chloroplast intermembrane space||mitochondrial proton\-transporting ATP synthase\, catalytic core||mitochondrial proton\-transporting ATP synthase\, central stalk||DNA replication factor C core complex||DNA replication factor C core complex||mitochondrial proton\-transporting ATP synthase\, central stalk||mitochondrial inner membrane peptidase complex||COMA complex||COMA complex||MCM complex||SSL2\-core TFIIH complex portion of holo TFIIH complex||nuclear proteasome regulatory particle\, base subcomplex||nuclear proteasome core complex\, beta\-subunit complex||lamin filament||core TFIIH complex portion of holo TFIIH complex||rDNA protrusion||outer kinetochore of condensed nuclear chromosome||outer kinetochore of condensed nuclear chromosome||glyoxysomal membrane||glyoxysomal membrane||mitochondrial glutamate synthase complex (NADH)||mitochondrial glutamate synthase complex (NADH)||UDP\-N\-acetylglucosamine transferase complex||Sec complex\-associated translocon complex||intrinsic to endoplasmic reticulum membrane||cytoplasmic part||UDP\-N\-acetylglucosamine transferase complex||Sec complex\-associated translocon complex||intrinsic to endoplasmic reticulum membrane||nuclear lamina||glycine\-gated chloride channel complex||Cdc48p\-Npl4p\-Ufd1p AAA ATPase complex||ionotropic glutamate receptor complex||clathrin coat of synaptic vesicle||intrinsic to plastid outer membrane||integral to plastid outer membrane||intrinsic to peroxisomal membrane||plasmodesmatal plasma membrane||oncostatin\-M receptor complex||integral to thylakoid membrane||succinate dehydrogenase complex||cyanelle thylakoid membrane||mitochondrial membrane part||Mdm10/Mdm12/Mmm1 complex||flagellar pocket membrane||signal peptidase complex||spindle pole centrosome||perichromatin fibrils||proplastid nucleoid||plastid chromosome||plastid chromosome||nucleoplasm part||nuclear membrane||RITS complex||Golgi cisterna||vesicle coat||CBF3 complex||stereocilium||snRNP U6||yolk plasma||C zone||C zone||aster||aster||mononeme||cell part</t>
  </si>
  <si>
    <t>mononeme</t>
  </si>
  <si>
    <t>GO:0000276</t>
  </si>
  <si>
    <t>proton transport||monovalent inorganic cation transport||cation transport||ion transport||transport||cellular localization||localization</t>
  </si>
  <si>
    <t>GO:0015992</t>
  </si>
  <si>
    <t>ATP-synt_G 9e-018| PRK11192 7e-006| Serpentine_recp 1e-005| RNA_polI_A34 2e-005| GN3L_Grn1 3e-005| DUF1754 8e-005| BRF1 1e-004| YL1 3e-004| DUF2011 3e-004| 7tm_4 3e-004|</t>
  </si>
  <si>
    <t xml:space="preserve"> Toxoplasma gondii VEG</t>
  </si>
  <si>
    <t>Contig17963_39</t>
  </si>
  <si>
    <t xml:space="preserve"> Caenorhabditis elegans</t>
  </si>
  <si>
    <t xml:space="preserve"> Dictyostelium discoideum</t>
  </si>
  <si>
    <t>sp|P28075|PSB5_RAT</t>
  </si>
  <si>
    <t>P28075 PSB5_RAT 5 PSMB5 1 3 Q32KL2 PSB5_BOVIN P30656 PSB5_YEAST PRE2 O55234 PSB5_MOUSE Q5R8S2 PSB5_PONAB 2 P28074 PSB5_HUMAN P34065 PSB5_CHICK P28063 PSB8_MOUSE 8 PSMB8 P30655 PSB5_SCHPO PTS1 Q3T112 PSB8_BOVIN</t>
  </si>
  <si>
    <t xml:space="preserve">PROTEASOME SUBUNIT BETA TYPE RATTUS NORVEGICUS PE BOS TAURUS COMPONENT SACCHAROMYCES CEREVISIAE MUS MUSCULUS PONGO ABELII HOMO SAPIENS FRAGMENT GALLUS SCHIZOSACCHAROMYCES POMBE </t>
  </si>
  <si>
    <t>Contig17812_13</t>
  </si>
  <si>
    <t xml:space="preserve"> CONTIG17812_13 GENEID_V1 3_PREDICTED_PROTEIN_13 275_AA CONTIG18070_219 3_PREDICTED_PROTEIN_219 229_AA CONTIG18047_225 3_PREDICTED_PROTEIN_225 278_AA CONTIG16055_4 3_PREDICTED_PROTEIN_4 408_AA CONTIG16427_2 3_PREDICTED_PROTEIN_2 216_AA</t>
  </si>
  <si>
    <t>Prosbeta5 - Drosophila melanogaster - endopeptidase activity - proteasome core complex - mitotic spindle organization - mitotic spindle elongation - cell proliferation - centrosome organization</t>
  </si>
  <si>
    <t>endopeptidase activity||peptidase activity\, acting on L\-amino acid peptides||peptidase activity||hydrolase activity||catalytic activity</t>
  </si>
  <si>
    <t>GO:0004175</t>
  </si>
  <si>
    <t>&lt;proteasome core complex||DNA polymerase III\, DnaX complex\, chi/psi subcomplex||mitochondrial oxoglutarate dehydrogenase complex||mitochondrial oxoglutarate dehydrogenase complex||proton\-transporting ATP synthase\, catalytic core||proton\-transporting ATP synthase\, central stalk||DNA\-directed RNA polymerase II\, core complex||centromere\-specific nucleosome||mediator complex||centromere\-specific nucleosome||nuclear DNA replication factor C complex||nuclear DNA replication factor C complex||mitochondrial chromosome||signal recognition particle receptor complex||mitochondrial chromosome||mitochondrial chromosome||cis\-Golgi network membrane||organellar chromatophore thylakoid lumen||protein C inhibitor\-acrosin complex||thylakoid light\-harvesting complex||thylakoid light\-harvesting complex||mitochondrial intermembrane space protein transporter complex||mitochondrial intermembrane space protein transporter complex||trans\-Golgi network transport vesicle membrane||Sec62/Sec63 complex||NADPH oxidase complex||PSII associated light\-harvesting complex II\, peripheral complex\, LHCIIb subcomplex||syntrophin complex||PSII associated light\-harvesting complex II\, peripheral complex\, LHCIIb subcomplex||mitochondrial large ribosomal subunit||B800\-850 antenna complex||mitochondrial matrix||clathrin coat of endocytic vesicle||delta DNA polymerase complex||delta DNA polymerase complex||Mis6\-Sim4 complex||chromosome\, centromeric core region||fatty acid beta\-oxidation multienzyme complex||TFIIIC\-TOP1\-SUB1 complex||ESCRT II complex||ESCRT I complex||gamma\-tubulin small complex\, spindle pole body||gamma\-tubulin small complex\, spindle pole body||cytoplasmic replisome||contractile vacuole pore||PSII associated light\-harvesting complex II\, peripheral complex||PSII associated light\-harvesting complex II\, peripheral complex||DNA replication factor C core complex||DNA replication factor C core complex||mitochondrial proton\-transporting ATP synthase\, central stalk||rough endoplasmic reticulum membrane||transport vesicle membrane||mitochondrial ribosome||mitochondrial ribosome||macropinocytic cup cytoskeleton||amyloplast starch grain||mitochondrial respiratory chain complex III||mitochondrial respiratory chain complex IV||mitochondrial respiratory chain complex I||mitochondrial crista||mitochondrial respiratory chain complex I||mitochondrial crista||ER proteasome regulatory particle\, base subcomplex||ER proteasome core complex\, beta\-subunit complex||COPI vesicle coat||ER proteasome regulatory particle\, lid subcomplex||proteasome regulatory particle\, base subcomplex||proteasome regulatory particle\, base subcomplex||nucleolar part||Sec complex\-associated translocon complex||intrinsic to endoplasmic reticulum membrane||actin capping protein of dynactin complex||condensed nuclear chromosome kinetochore||intermediate layer of spindle pole body||chiasma||platelet dense tubular network membrane||intrinsic to plastid outer membrane||integral to plastid outer membrane||plastid biotin carboxylase complex||chloroplast ATP synthase complex||snRNP U2||nuclear proteasome core complex||Swr1 complex||gamma DNA polymerase complex||mitochondrial membrane part||intrinsic to Golgi membrane||recycling endosome membrane||tertiary granule membrane||chromaffin granule lumen||peribacteroid membrane||clathrin vesicle coat||acidocalcisome membrane||peribacteroid fluid||COPII vesicle coat||melanosome membrane||chitosome membrane||plastid chromosome||proplastid stroma||etioplast stroma||cyanelle stroma||Toc complex||microbody part||yolk granule||pectic matrix||Golgi membrane||axoneme part||cilium part</t>
  </si>
  <si>
    <t>cilium part</t>
  </si>
  <si>
    <t>axoneme part</t>
  </si>
  <si>
    <t>GO:0005839</t>
  </si>
  <si>
    <t>mitotic spindle organization||spindle organization||microtubule cytoskeleton organization||cytoskeleton organization||organelle organization||cellular component organization</t>
  </si>
  <si>
    <t>GO:0007052</t>
  </si>
  <si>
    <t>proteasome_beta_type_5 1e-034| proteasome_beta 2e-017| proteasome_protease_HslV 1e-011| Proteasome 1e-010| PRE1 1e-009| Ntn_hydrolase 6e-008| proteasome_beta_archeal 1e-007| DltB 2e-004| proteasome_beta_type_6 3e-004| proteasome_beta_type_7 4e-004|</t>
  </si>
  <si>
    <t>Contig17578_17</t>
  </si>
  <si>
    <t xml:space="preserve"> CONTIG17578_17 GENEID_V1 3_PREDICTED_PROTEIN_17 549_AA CONTIG17922_108 3_PREDICTED_PROTEIN_108 121_AA CONTIG17887_82 3_PREDICTED_PROTEIN_82 552_AA</t>
  </si>
  <si>
    <t>Contig3368_1</t>
  </si>
  <si>
    <t>acyltransferase family protein - Ruegeria pomeroyi DSS-3 - metabolic process - acyltransferase activity</t>
  </si>
  <si>
    <t>DNA\-directed RNA polymerase activity||RNA polymerase activity||nucleotidyltransferase activity||transferase activity\, transferring phosphorus\-containing groups||transferase activity||catalytic activity</t>
  </si>
  <si>
    <t>GO:0003899</t>
  </si>
  <si>
    <t>cytosolic DNA\-directed RNA polymerase complex||vesicle coat||cytoplasmic vesicle part||nuclear cyclin\-dependent protein kinase holoenzyme complex||cyclin\-dependent protein kinase holoenzyme complex||outer membrane\-bounded periplasmic space||external encapsulating structure part||cell part</t>
  </si>
  <si>
    <t>GO:0000345</t>
  </si>
  <si>
    <t>&lt;transcription||negative regulation of chromatin silencing at telomere||negative regulation of chromatin silencing at telomere||negative regulation of chromatin silencing at telomere||positive regulation of glucocorticoid biosynthetic process||positive regulation of peptidyl\-tyrosine phosphorylation||methionine biosynthetic process from S\-adenosylmethionine||cytotoxic T cell degranulation||ecdysone\-mediated induction of salivary gland cell autophagic cell death||ecdysone\-mediated induction of salivary gland cell autophagic cell death||ecdysone\-mediated induction of salivary gland cell autophagic cell death||positive regulation of chitin\-based cuticle tanning||dorsal/ventral axis specification\, ovarian follicular epithelium||negative regulation of paraxial mesodermal cell fate specification||negative regulation of paraxial mesodermal cell fate specification||negative regulation of paraxial mesodermal cell fate specification||negative regulation of epidermal cell differentiation||negative regulation of retinal cell programmed cell death||negative regulation of retinal cell programmed cell death||negative regulation of cumulus cell differentiation||negative regulation of salivary gland boundary specification||BMP signaling pathway involved in forebrain neuron fate commitment||BMP signaling pathway involved in forebrain neuron fate commitment||DNA fragmentation involved in apoptosis||DNA fragmentation involved in apoptosis||positive regulation of gonadotropin secretion||negative regulation of cytokine secretion during immune response||positive regulation of mechanoreceptor differentiation||positive regulation of T\-helper cell differentiation||negative regulation of axon extension involved in regeneration||negative regulation of axon extension involved in regeneration||negative regulation of axon extension involved in regeneration||negative regulation of nerve growth factor production||negative regulation of axon extension involved in regeneration||negative regulation of axon extension involved in regeneration||negative regulation of axon extension involved in regeneration||negative regulation of axon extension involved in regeneration||positive regulation of luteinizing hormone secretion||positive regulation of heart rate by epinephrine||positive regulation of heart rate by epinephrine||negative regulation of complement activation\, lectin pathway</t>
  </si>
  <si>
    <t>GO:0006350</t>
  </si>
  <si>
    <t>sp|O05813|EFPA_MYCTU</t>
  </si>
  <si>
    <t xml:space="preserve"> Mycobacterium tuberculosis</t>
  </si>
  <si>
    <t>O05813 2 1 Q9J5C4 V096_FOWPV FPV096 3 O02372 OB76A_DROME Q8SY61 OB56D_DROME 56D OBP56D Q32RL1 Q1LTN0 P47050 CUL8_YEAST TY1 101 RTT101</t>
  </si>
  <si>
    <t xml:space="preserve">EFPA_MYCTU UNCHARACTERIZED MFS TYPE TRANSPORTER EFPA MYCOBACTERIUM TUBERCULOSIS PE FOWLPOX VIRUS GENERAL ODORANT BINDING LUSH DROSOPHILA MELANOGASTER ATPA_ZYGCR ATP SYNTHASE SUBUNIT ALPHA CHLOROPLASTIC ZYGNEMA CIRCUMCARINATUM ATPA PANC_BAUCH PANTOTHENATE SYNTHETASE BAUMANNIA CICADELLINICOLA SUBSP HOMALODISCA COAGULATA PANC REGULATOR TRANSPOSITION SACCHAROMYCES CEREVISIAE </t>
  </si>
  <si>
    <t>Contig18036_44</t>
  </si>
  <si>
    <t xml:space="preserve"> CONTIG18036_44 GENEID_V1 3_PREDICTED_PROTEIN_44 129_AA CONTIG18036_42 3_PREDICTED_PROTEIN_42 144_AA CONTIG18036_43 3_PREDICTED_PROTEIN_43 260_AA CONTIG17982_71 3_PREDICTED_PROTEIN_71 403_AA CONTIG17324_5 3_PREDICTED_PROTEIN_5 630_AA CONTIG17982_68 3_PREDICTED_PROTEIN_68 373_AA CONTIG17646_9 3_PREDICTED_PROTEIN_9 258_AA CONTIG18036_37 3_PREDICTED_PROTEIN_37 100_AA CONTIG17888_7 3_PREDICTED_PROTEIN_7 2201_AA CONTIG17830_136 3_PREDICTED_PROTEIN_136 308_AA</t>
  </si>
  <si>
    <t>Contig17783_13</t>
  </si>
  <si>
    <t>Odorant-binding protein 56f - Drosophila melanogaster - odorant binding - sensory perception of chemical stimulus - cellular_component</t>
  </si>
  <si>
    <t>odorant binding||binding</t>
  </si>
  <si>
    <t>odorant binding</t>
  </si>
  <si>
    <t>GO:0005549</t>
  </si>
  <si>
    <t>sensory perception of chemical stimulus||sensory perception||cognition||neurological system process||system process||multicellular organismal process</t>
  </si>
  <si>
    <t>GO:0007606</t>
  </si>
  <si>
    <t>PBP_GOBP 5e-011| PhBP 2e-010| NolL 0.072| PI3Kc_family 0.080|</t>
  </si>
  <si>
    <t>sp|Q62730|DHB2_RAT</t>
  </si>
  <si>
    <t>Q62730 DHB2_RAT 17 2 HSD17B2 1 P69167 3 20 FABG3 P69166 P16542 DHK1_STRVN ORF5 P66782 Y1385_MYCBO MB1385 FABG2 P66781 Y1350_MYCTU RV1350 MT1393 P54554 Q2FVD5 Y2778_STAA8 SAOUHSC_02778 8325 Q6GDV6 Y2567_STAAR SAR2567 MRSA252 Q5HD73 Y2488_STAAC SACOL2488</t>
  </si>
  <si>
    <t xml:space="preserve">ESTRADIOL BETA DEHYDROGENASE RATTUS NORVEGICUS PE HSD_MYCTU ALPHA OR HYDROXYSTEROID MYCOBACTERIUM TUBERCULOSIS HSD_MYCBO BOVIS GRANATICIN POLYKETIDE SYNTHASE KETOACYL REDUCTASE STREPTOMYCES VIOLACEORUBER GRA UNCHARACTERIZED OXIDOREDUCTASE YQJQ_BACSU YQJQ BACILLUS SUBTILIS STAPHYLOCOCCUS AUREUS STRAIN NCTC COL </t>
  </si>
  <si>
    <t xml:space="preserve"> CONTIG17851_114 GENEID_V1 3_PREDICTED_PROTEIN_114 214_AA CONTIG17968_48 3_PREDICTED_PROTEIN_48 259_AA CONTIG17967_49 3_PREDICTED_PROTEIN_49 357_AA CONTIG17883_62 3_PREDICTED_PROTEIN_62 252_AA CONTIG18042_25 3_PREDICTED_PROTEIN_25 245_AA CONTIG17970_290 3_PREDICTED_PROTEIN_290 482_AA CONTIG17970_578 3_PREDICTED_PROTEIN_578 4062_AA CONTIG17851_18 3_PREDICTED_PROTEIN_18 1595_AA CONTIG17339_2 3_PREDICTED_PROTEIN_2 318_AA CONTIG17970_425 3_PREDICTED_PROTEIN_425 2038_AA</t>
  </si>
  <si>
    <t>oxidoreductase activity\, acting on CH\-OH group of donors||oxidoreductase activity||catalytic activity</t>
  </si>
  <si>
    <t>GO:0016614</t>
  </si>
  <si>
    <t>PRK12828 1e-015| fabG 5e-015| fabG 2e-013| FabG 6e-013| PRK12829 7e-012| PRK12826 9e-012| PRK12827 3e-011| PRK12939 4e-011| PRK05872 4e-011| COG4221 2e-010|</t>
  </si>
  <si>
    <t>sp|Q9U1G2|ALL7_LEPDS</t>
  </si>
  <si>
    <t xml:space="preserve"> Lepidoglyphus destructor</t>
  </si>
  <si>
    <t>Q9U1G2 ALL7_LEPDS 7 1 P49273 ALL7_DERPT DERP7 Q26456 ALL7_DERFA DERF7 P49404 RM03_CAEEL 39S L3 C26E6 6 2 3 P17927 CR1_HUMAN CR1 Q8GUQ5 BRI1_SOLLC CURL3 O13508 4 Q01582 Q9UTK5 ALM1_SCHPO ALM1 Q9GZN6 S6A16_HUMAN NTT5 SLC6A16</t>
  </si>
  <si>
    <t xml:space="preserve">MITE ALLERGEN LEP D LEPIDOGLYPHUS DESTRUCTOR PE DER P DERMATOPHAGOIDES PTERONYSSINUS F FARINAE RIBOSOMAL MITOCHONDRIAL CAENORHABDITIS ELEGANS COMPLEMENT RECEPTOR TYPE HOMO SAPIENS BRASSINOSTEROID LRR KINASE SOLANUM LYCOPERSICUM AREA_PENRO NITROGEN REGULATORY AREA PENICILLIUM ROQUEFORTI AREA_PENCH CHRYSOGENUM ABNORMAL LONG MORPHOLOGY SCHIZOSACCHAROMYCES POMBE ORPHAN SODIUM CHLORIDE DEPENDENT NEUROTRANSMITTER TRANSPORTER </t>
  </si>
  <si>
    <t>Contig17849_53</t>
  </si>
  <si>
    <t xml:space="preserve"> CONTIG17849_53 0000000000002 CONTIG17849_54 GENEID_V1 3_PREDICTED_PROTEIN_54 223_AA CONTIG17914_3 3_PREDICTED_PROTEIN_3 226_AA CONTIG17909_100 3_PREDICTED_PROTEIN_100 246_AA CONTIG17833_30 3_PREDICTED_PROTEIN_30 229_AA CONTIG17914_1 3_PREDICTED_PROTEIN_1 463_AA CONTIG17849_52 3_PREDICTED_PROTEIN_52 217_AA CONTIG17849_51 3_PREDICTED_PROTEIN_51 208_AA CONTIG17914_2 3_PREDICTED_PROTEIN_2 441_AA CONTIG16416_1 333_AA</t>
  </si>
  <si>
    <t xml:space="preserve">HYPOTHETICAL SECRETED PRECURSOR SIGNALP DETECTED S HS </t>
  </si>
  <si>
    <t>amino acid ABC transporter, ATP-binding protein - Bacillus anthracis str. Ames - ATP binding - amino acid transport - ATPase activity, coupled to transmembrane movement of substances</t>
  </si>
  <si>
    <t>cell division site||cell part</t>
  </si>
  <si>
    <t>cell division site</t>
  </si>
  <si>
    <t>GO:0032153</t>
  </si>
  <si>
    <t>cytokinesis||cell division||cellular process</t>
  </si>
  <si>
    <t>GO:0000910</t>
  </si>
  <si>
    <t>dnaA 0.082|</t>
  </si>
  <si>
    <t>sp|P04540|NU5M_TRYBB</t>
  </si>
  <si>
    <t xml:space="preserve"> Trypanosoma brucei brucei</t>
  </si>
  <si>
    <t>P04540 NU5M_TRYBB 5 ND5 3 1</t>
  </si>
  <si>
    <t xml:space="preserve">NADH UBIQUINONE OXIDOREDUCTASE CHAIN TRYPANOSOMA BRUCEI PE </t>
  </si>
  <si>
    <t>Contig17982_6</t>
  </si>
  <si>
    <t xml:space="preserve"> CONTIG17982_6 GENEID_V1 3_PREDICTED_PROTEIN_6 1170_AA CONTIG17801_21 3_PREDICTED_PROTEIN_21 1360_AA CONTIG18045_17 3_PREDICTED_PROTEIN_17 678_AA CONTIG17819_68 3_PREDICTED_PROTEIN_68 731_AA CONTIG17852_47 3_PREDICTED_PROTEIN_47 595_AA CONTIG17916_136 3_PREDICTED_PROTEIN_136 586_AA</t>
  </si>
  <si>
    <t>ND6 7e-005| ND5 2e-004| ND4 0.002| ND2 0.002| EcsB 0.009| ND5 0.020| ND2 0.022| 7TM_GPCR_Srbc 0.033| 7TM_GPCR_Srx 0.039| 7TM_GPCR_Srz 0.058|</t>
  </si>
  <si>
    <t>sp|Q6CLD6|ALG11_KLULA</t>
  </si>
  <si>
    <t xml:space="preserve"> Kluyveromyces lactis</t>
  </si>
  <si>
    <t>Q6CLD6 ALG11_KLULA 1 2 ALG11 3</t>
  </si>
  <si>
    <t xml:space="preserve">ALPHA MANNOSYLTRANSFERASE KLUYVEROMYCES LACTIS PE </t>
  </si>
  <si>
    <t>Contig17932_114</t>
  </si>
  <si>
    <t>7TM_GPCR_Srbc 0.008| ND2 0.039| Srg 0.041|</t>
  </si>
  <si>
    <t>sp|P38942|CAT2_CLOK5</t>
  </si>
  <si>
    <t xml:space="preserve"> Clostridium kluyveri (strain ATCC 8527 / DSM 555 / NCIMB 10680)</t>
  </si>
  <si>
    <t>P38942 CAT2_CLOK5 4 8527 555 10680 CAT2 3 Q91Z62 FBX32_RAT 32 FBXO32 2 1 Q9CPU7 FBX32_MOUSE Q1A730 FBX32_PIG Q969P5 FBX32_HUMAN Q2KHT6 FBX32_BOVIN</t>
  </si>
  <si>
    <t xml:space="preserve">HYDROXYBUTYRATE COENZYME A TRANSFERASE CLOSTRIDIUM KLUYVERI STRAIN ATCC DSM NCIMB PE F BOX ONLY RATTUS NORVEGICUS MUS MUSCULUS SUS SCROFA HOMO SAPIENS BOS TAURUS </t>
  </si>
  <si>
    <t>Contig17215_4</t>
  </si>
  <si>
    <t xml:space="preserve"> CONTIG17215_4 GENEID_V1 3_PREDICTED_PROTEIN_4 555_AA CONTIG17747_4 1795_AA CONTIG13159_3 3_PREDICTED_PROTEIN_3 822_AA CONTIG16832_3 260_AA CONTIG17391_1 3_PREDICTED_PROTEIN_1 283_AA CONTIG15878_6 3_PREDICTED_PROTEIN_6 276_AA CONTIG18047_7 3_PREDICTED_PROTEIN_7 719_AA CONTIG18030_7 320_AA CONTIG17972_164 3_PREDICTED_PROTEIN_164 288_AA CONTIG17352_28 3_PREDICTED_PROTEIN_28 407_AA</t>
  </si>
  <si>
    <t>CG7920 - Drosophila melanogaster - 4-hydroxybutyrate CoA-transferase activity - lipid particle</t>
  </si>
  <si>
    <t>ubiquitin\-protein ligase activity||small conjugating protein ligase activity||acid\-amino acid ligase activity||ligase activity\, forming carbon\-nitrogen bonds||ligase activity||catalytic activity</t>
  </si>
  <si>
    <t>GO:0004842</t>
  </si>
  <si>
    <t>SCF ubiquitin ligase complex||cullin\-RING ubiquitin ligase complex||ubiquitin ligase complex||outer membrane\-bounded periplasmic space||external encapsulating structure part||cell part</t>
  </si>
  <si>
    <t>GO:0019005</t>
  </si>
  <si>
    <t>ubiquitin\-dependent protein catabolic process||modification\-dependent protein catabolic process||proteolysis involved in cellular protein catabolic process||cellular protein catabolic process||cellular biopolymer catabolic process||cellular macromolecule catabolic process||cellular macromolecule metabolic process||macromolecule metabolic process||metabolic process</t>
  </si>
  <si>
    <t>GO:0006511</t>
  </si>
  <si>
    <t>ACH1 2e-010| AcetylCoA_hydro 2e-009| ND6 0.003| ND5 0.007| SMN 0.055|</t>
  </si>
  <si>
    <t>actin binding||cytoskeletal protein binding||protein binding||binding</t>
  </si>
  <si>
    <t>GO:0003779</t>
  </si>
  <si>
    <t xml:space="preserve"> Escherichia coli TA143</t>
  </si>
  <si>
    <t>sp|Q8VNN2|BGAL_ECOLX</t>
  </si>
  <si>
    <t xml:space="preserve"> Escherichia coli</t>
  </si>
  <si>
    <t>Q8VNN2 3 1 Q3Z583 SS046 Q1RFJ2 UTI89 B1LIM9 5 B7N8Q1 O17 K52 H18 UMN026 P00722 K12 2 B1J0T5 8739 1576 Q8FKG6 BGAL_ECOL6 O6 Q0TKT1 BGAL_ECOL5 K15 H31 536 A1A831 BGAL_ECOK1 O1 K1</t>
  </si>
  <si>
    <t xml:space="preserve">BGAL_ECOLX BETA GALACTOSIDASE ESCHERICHIA COLI LACZ PE BGAL_SHISS SHIGELLA SONNEI STRAIN BGAL_ECOUT UPEC BGAL_ECOSM SMS SECEC BGAL_ECOLU EXPEC BGAL_ECOLI BGAL_ECOLC ATCC DSM CROOKS APEC </t>
  </si>
  <si>
    <t>Contig17938_69</t>
  </si>
  <si>
    <t xml:space="preserve"> CONTIG17938_69 GENEID_V1 3_PREDICTED_PROTEIN_69 4082_AA CONTIG17855_120 3_PREDICTED_PROTEIN_120 154_AA</t>
  </si>
  <si>
    <t>Contig17942_195</t>
  </si>
  <si>
    <t>beta-galactosidase monomer - Escherichia coli str. K-12 substr. MG1655 - beta-galactosidase activity - protein binding - lactose catabolic process</t>
  </si>
  <si>
    <t>beta\-galactosidase activity||galactosidase activity||hydrolase activity\, hydrolyzing O\-glycosyl compounds||hydrolase activity\, acting on glycosyl bonds||hydrolase activity||catalytic activity</t>
  </si>
  <si>
    <t>GO:0004565</t>
  </si>
  <si>
    <t>lactose catabolic process||disaccharide catabolic process||cellular carbohydrate catabolic process||cellular macromolecule catabolic process||cellular macromolecule metabolic process||macromolecule metabolic process||metabolic process</t>
  </si>
  <si>
    <t>GO:0005990</t>
  </si>
  <si>
    <t>Contig22339_1</t>
  </si>
  <si>
    <t>sp|P69100|ERH_TAESO</t>
  </si>
  <si>
    <t xml:space="preserve"> Taenia solium</t>
  </si>
  <si>
    <t>P69100 3 1 P69099 Q94554 Q24337 Q93104 P84089 P84090 Q98874 2 Q3SZC0 Q22640 T21C9 4</t>
  </si>
  <si>
    <t xml:space="preserve">ERH_TAESO ENHANCER RUDIMENTARY HOMOLOG TAENIA SOLIUM ERH PE ERH_ECHMU ECHINOCOCCUS MULTILOCULARIS ER_DROVI DROSOPHILA VIRILIS E R ER_DROME MELANOGASTER ERH_AEDAE AEDES AEGYPTI ERH_MOUSE MUS MUSCULUS ERH_HUMAN HOMO SAPIENS ERH_DANRE DANIO RERIO ERH_BOVIN BOS TAURUS ERH_CAEEL CAENORHABDITIS ELEGANS </t>
  </si>
  <si>
    <t>Contig10627_1</t>
  </si>
  <si>
    <t xml:space="preserve"> CONTIG10627_1 GENEID_V1 3_PREDICTED_PROTEIN_1 359_AA CONTIG17870_45 3_PREDICTED_PROTEIN_45 254_AA CONTIG18058_47 3_PREDICTED_PROTEIN_47 438_AA CONTIG17948_32 3_PREDICTED_PROTEIN_32 154_AA</t>
  </si>
  <si>
    <t>enhancer of rudimentary - Drosophila melanogaster - regulation of transcription from RNA polymerase II promoter - transcription regulator activity</t>
  </si>
  <si>
    <t>ER 5e-016|</t>
  </si>
  <si>
    <t xml:space="preserve"> Acanthamoeba polyphaga mimivirus</t>
  </si>
  <si>
    <t>membrane||cell part</t>
  </si>
  <si>
    <t>GO:0016020</t>
  </si>
  <si>
    <t>protein amino acid N\-linked glycosylation||protein amino acid glycosylation||protein modification process||cellular protein metabolic process||cellular biopolymer metabolic process||cellular macromolecule metabolic process||macromolecule metabolic process||metabolic process</t>
  </si>
  <si>
    <t>GO:0006487</t>
  </si>
  <si>
    <t>Q05744 1 P07267 PEP4 D4DEN7 0517 PEP2 3 O96009 P24268 P07339 P10977 APR1 O42630 2 P42210 Q9MZS8</t>
  </si>
  <si>
    <t xml:space="preserve">CATD_CHICK CATHEPSIN D GALLUS CTSD PE CARP_YEAST SACCHAROPEPSIN SACCHAROMYCES CEREVISIAE CARP_TRIVH PROBABLE VACUOLAR PROTEASE A TRICHOPHYTON VERRUCOSUM STRAIN HKI NAPSA_HUMAN NAPSIN HOMO SAPIENS NAPSA CATD_RAT RATTUS NORVEGICUS CATD_HUMAN CARPV_CANAL ASPARTIC CANDIDA ALBICANS CARP_ASPFU ASPERGILLUS FUMIGATUS ASPR_HORVU PHYTEPSIN HORDEUM VULGARE CATD_SHEEP FRAGMENT OVIS ARIES </t>
  </si>
  <si>
    <t>Contig16285_5</t>
  </si>
  <si>
    <t xml:space="preserve"> CONTIG16285_5 GENEID_V1 3_PREDICTED_PROTEIN_5 400_AA CONTIG17697_6 3_PREDICTED_PROTEIN_6 399_AA CONTIG17572_34 3_PREDICTED_PROTEIN_34 514_AA CONTIG808_3 3_PREDICTED_PROTEIN_3 384_AA CONTIG808_4 3_PREDICTED_PROTEIN_4 389_AA CONTIG17955_3 372_AA CONTIG808_2 3_PREDICTED_PROTEIN_2 629_AA CONTIG16543_1 3_PREDICTED_PROTEIN_1 147_AA CONTIG5279_3 152_AA CONTIG17964_97 3_PREDICTED_PROTEIN_97</t>
  </si>
  <si>
    <t>Caenorhabditis elegans - cell death - induction of programmed cell death - proteolysis - lysosome</t>
  </si>
  <si>
    <t>Cathepsin_D2 3e-044| phytepsin 1e-043| Proteinase_A_fungi 1e-042| Cathepsin_D_like 1e-042| pepsin_A 6e-040| Asp 7e-040| pepsin_like 2e-037| renin_like 6e-036| Cathespin_E 3e-034| gastricsin 2e-031|</t>
  </si>
  <si>
    <t>sp|P21522|ROA1_SCHAM</t>
  </si>
  <si>
    <t xml:space="preserve"> Schistocerca americana</t>
  </si>
  <si>
    <t>P21522 ROA1_SCHAM A1 A2 B1 2 1 P07909 ROA1_DROME HRB98DE P48810 RB87F_DROME 87F HRB87F Q9TTV2 ROA2_SAGOE HNRNPA2B1 Q5RBU8 ROA2_PONAB P51990 RO22_XENLA O88569 ROA2_MOUSE P22626 ROA2_HUMAN Q2HJ60 ROA2_BOVIN P51989 RO21_XENLA</t>
  </si>
  <si>
    <t xml:space="preserve">HETEROGENEOUS NUCLEAR RIBONUCLEOPROTEIN HOMOLOG SCHISTOCERCA AMERICANA HNRNP PE DROSOPHILA MELANOGASTER RIBONUCLEOPROTEINS SAGUINUS OEDIPUS PONGO ABELII XENOPUS LAEVIS MUS MUSCULUS HOMO SAPIENS BOS TAURUS </t>
  </si>
  <si>
    <t>Contig17966_159</t>
  </si>
  <si>
    <t xml:space="preserve"> CONTIG17966_159 GENEID_V1 3_PREDICTED_PROTEIN_159 940_AA CONTIG17098_7 3_PREDICTED_PROTEIN_7 240_AA CONTIG17743_57 3_PREDICTED_PROTEIN_57 423_AA CONTIG17946_155 3_PREDICTED_PROTEIN_155 280_AA CONTIG17961_30 3_PREDICTED_PROTEIN_30 496_AA CONTIG17925_38 3_PREDICTED_PROTEIN_38 474_AA CONTIG17464_1 3_PREDICTED_PROTEIN_1 346_AA CONTIG17098_9 3_PREDICTED_PROTEIN_9 443_AA CONTIG17588_27 3_PREDICTED_PROTEIN_27 501_AA CONTIG10104_2 3_PREDICTED_PROTEIN_2 442_AA</t>
  </si>
  <si>
    <t>Heterogeneous nuclear ribonucleoprotein at 98DE - Drosophila melanogaster - ribonucleoprotein complex - heterogeneous nuclear ribonucleoprotein complex - mRNA binding</t>
  </si>
  <si>
    <t>mRNA binding||RNA binding||nucleic acid binding||binding</t>
  </si>
  <si>
    <t>GO:0003729</t>
  </si>
  <si>
    <t>&lt;nucleoplasm||nuclear telomeric heterochromatin||epsilon DNA polymerase complex||clathrin coated vesicle membrane||platelet dense granule membrane||Holliday junction helicase complex||intrinsic to vacuolar membrane||protein storage vacuole lumen||contractile vacuolar membrane||cyanelle thylakoid membrane||plastid thylakoid membrane||cyanelle thylakoid lumen||chloroplast chromosome||chloroplast chromosome||mitochondrial nucleoid||mitochondrial nucleoid||COPII vesicle coat||Vps55/Vps68 complex||Vps55/Vps68 complex||acrosomal matrix||acrosomal lumen||exomer complex||cell cortex part||HOPS complex||EGO complex||PAS complex||pectic matrix||Golgi membrane||axoneme part||cilium part||polarisome||aster||aster||conoid||conoid</t>
  </si>
  <si>
    <t>GO:0005654</t>
  </si>
  <si>
    <t>&amp;regulation of alternative nuclear mRNA splicing\, via spliceosome||regulation of pyrimidine base metabolic process||activation of tryptophan 5\-monooxygenase activity||activation of tryptophan 5\-monooxygenase activity||regulation of alpha\-glucan metabolic process||regulation of UDP\-glucose catabolic process||regulation of beta\-glucan metabolic process||regulation of isopentenyl diphosphate biosynthetic process\, mevalonate\-independent pathway||regulation of UDP\-glucose catabolic process||establishment of chromatin silencing||chromosome breakage||meiotic DNA double\-strand break processing involved in reciprocal meiotic recombination||meiotic DNA double\-strand break formation involved in reciprocal meiotic recombination||maintenance of chromatin silencing||maintenance of chromatin silencing||regulation of chromatin silencing||regulation of chromatin silencing||regulation of collagen metabolic process||ncRNA polyadenylation during polyadenylation\-dependent ncRNA catabolic process||positive regulation of specific transcription from RNA polymerase II promoter||regulation of transcription\, DNA\-dependent||positive regulation of specific transcription from RNA polymerase II promoter||regulation of transcription\, DNA\-dependent||regulation of proteasomal ubiquitin\-dependent protein catabolic process||gene conversion at mating\-type locus\, DNA double\-strand break formation||meiotic DNA repair synthesis involved in reciprocal meiotic recombination||regulation of ascospore wall 1\,3\-beta\-glucan biosynthetic process||regulation of ascospore wall 1\,3\-beta\-glucan biosynthetic process||regulation of 4\,6\-pyruvylated galactose residue biosynthetic process||regulation of ascospore wall 1\,3\-beta\-glucan biosynthetic process||regulation of eIF2 alpha phosphorylation by amino acid starvation||cyclization of asparagine\, during protein splicing||positive regulation of protein maturation by peptide bond cleavage||regulation of peptidyl\-serine phosphorylation of STAT protein||regulation of pathway\-restricted SMAD protein phosphorylation||regulation of ascospore wall beta\-glucan biosynthetic process||regulation of pathway\-restricted SMAD protein phosphorylation||maintenance of fidelity during DNA\-dependent DNA replication||gene conversion at mating\-type locus\, DNA repair synthesis||meiotic strand invasion involved in meiotic gene conversion||positive regulation of mitochondrial RNA catabolic process||tRNA aminoacylation for mitochondrial protein translation||regulation of phosphatidylinositol biosynthetic process||regulation of phosphatidylinositol biosynthetic process||regulation of antimicrobial peptide biosynthetic process||positive regulation of macromolecule biosynthetic process||positive regulation of vitamin D biosynthetic process||regulation of eIF2 alpha phosphorylation by heme||regulation of chromatin silencing by small RNA||regulation of chromatin silencing by small RNA||regulation of glucosinolate biosynthetic process||regulation of salicylic acid biosynthetic process||regulation of polysaccharide biosynthetic process||substrate\-bound cell migration\, cell extension||regulation of intracellular protein transport||regulation of intracellular protein transport||regulation of smooth muscle cell migration||outward migration of deep nuclear neurons||inward migration of deep nuclear neurons||regulation of phagocytosis\, engulfment||negative regulation of leucine import||regulation of acetylcholine secretion||regulation of catecholamine secretion||regulation of gastric acid secretion||regulation of L\-arginine import||regulation of adenosine transport||neurotransmitter secretory pathway||regulation of cortisol secretion||regulation of activin secretion||regulation of protein secretion||protein secretion by platelet||regulation of lymphocyte anergy||leukocyte tethering or rolling||myeloid cell differentiation||detection of dietary excess||diet induced thermogenesis||response to dietary excess||synaptic vesicle budding||regulation of excretion||uterine wall growth||seed coat development||style development||style development||nectary development||head segmentation||lung development||eclosion rhythm||eclosion rhythm||enucleation||tube fusion||seed growth||innervation</t>
  </si>
  <si>
    <t>GO:0000381</t>
  </si>
  <si>
    <t>PABP-1234 5e-018| RRM 3e-015| SF-CC1 4e-015| RRM 2e-014| RRM_1 6e-014| RRM_2 1e-013| COG0724 1e-011| sex-lethal 6e-011| U2AF_lg 5e-010| ELAV_HUD_SF 1e-009|</t>
  </si>
  <si>
    <t>sp|Q5RF87|SPS1_PONAB</t>
  </si>
  <si>
    <t>Q5RF87 SPS1_PONAB 1 SEPHS1 2 Q8BH69 SPS1_MOUSE P49903 SPS1_HUMAN Q0VC82 SPS1_BOVIN Q6GL12 SPS1_XENTR Q6PF47 SPS1_XENLA Q7ZW38 SPS1_DANRE P97364 SPS2_MOUSE SEPHS2 3 A1YIZ1 SPS2_PIG Q99611 SPS2_HUMAN</t>
  </si>
  <si>
    <t xml:space="preserve">SELENIDE WATER DIKINASE PONGO ABELII PE MUS MUSCULUS HOMO SAPIENS BOS TAURUS XENOPUS TROPICALIS LAEVIS DANIO RERIO SUS SCROFA </t>
  </si>
  <si>
    <t>Contig16819_4</t>
  </si>
  <si>
    <t xml:space="preserve"> CONTIG16819_4 GENEID_V1 3_PREDICTED_PROTEIN_4 204_AA CONTIG17619_57 3_PREDICTED_PROTEIN_57 414_AA CONTIG16819_3 3_PREDICTED_PROTEIN_3 147_AA CONTIG16083_8 3_PREDICTED_PROTEIN_8 1500_AA CONTIG8291_2 3_PREDICTED_PROTEIN_2 2867_AA CONTIG19798_1 3_PREDICTED_PROTEIN_1 149_AA CONTIG17936_1 852_AA CONTIG17938_93 3_PREDICTED_PROTEIN_93 552_AA CONTIG16442_1 948_AA CONTIG17952_1 439_AA</t>
  </si>
  <si>
    <t>Selenophosphate synthetase 2 - Drosophila melanogaster - selenide, water dikinase activity - selenocysteine biosynthetic process - purine nucleotide binding</t>
  </si>
  <si>
    <t>selenocysteine metabolic process||serine family amino acid metabolic process||cellular amino acid metabolic process||cellular amine metabolic process||cellular carbohydrate metabolic process||carbohydrate metabolic process||primary metabolic process||metabolic process</t>
  </si>
  <si>
    <t>GO:0016259</t>
  </si>
  <si>
    <t>COG5022 | selD 4e-031| SelD 9e-029| PRK00943 7e-017| SelD 2e-012| PurM-like2 2e-005| AIRS_C 3e-005| HypE 3e-004| HypE 4e-004| HypE 8e-004|</t>
  </si>
  <si>
    <t xml:space="preserve"> Anopheles darlingi</t>
  </si>
  <si>
    <t>sp|Q9VL63|U430_DROME</t>
  </si>
  <si>
    <t>Q9VL63 U430_DROME UPF0430 CG31712 1 3 Q9QWF0 CAF1A_MOUSE CHAF1A</t>
  </si>
  <si>
    <t xml:space="preserve">DROSOPHILA MELANOGASTER PE CHROMATIN ASSEMBLY FACTOR SUBUNIT A MUS MUSCULUS </t>
  </si>
  <si>
    <t>Contig17151_5</t>
  </si>
  <si>
    <t xml:space="preserve"> CONTIG17151_5 GENEID_V1 3_PREDICTED_PROTEIN_5 163_AA CONTIG17151_4 3_PREDICTED_PROTEIN_4 101_AA CONTIG17970_43 3_PREDICTED_PROTEIN_43 342_AA CONTIG17971_365 3_PREDICTED_PROTEIN_365 221_AA</t>
  </si>
  <si>
    <t>Contig17151_4</t>
  </si>
  <si>
    <t>chromatin assembly factor 1, subunit A (p150) - Mus musculus - protein binding</t>
  </si>
  <si>
    <t>extracellular region</t>
  </si>
  <si>
    <t>GO:0005576</t>
  </si>
  <si>
    <t xml:space="preserve"> Toxoplasma gondii GT1</t>
  </si>
  <si>
    <t>embryonic development ending in birth or egg hatching||plantlet formation on parent plant||multicellular organism reproduction||multicellular organismal process</t>
  </si>
  <si>
    <t>GO:0009792</t>
  </si>
  <si>
    <t>sp|Q04552|CP6B1_PAPPO</t>
  </si>
  <si>
    <t xml:space="preserve"> Papilio polyxenes</t>
  </si>
  <si>
    <t>Q04552 CP6B1_PAPPO P450 6B1 CYP6B1 1 Q27664 CP6B2_HELAM 6B2 CYP6B2 2 O61387 CP6B7_HELAM 6B7 CYP6B7 Q95031 CP6B6_HELAM 6B6 CYP6B6 Q964R1 CP6J1_BLAGE 6J1 CYP6J1 Q95036 CP6B5_PAPGL 6B5 CYP6B5 Q27902 CP6B4_PAPGL 6B4 CYP6B4 Q27756 CP6B3_PAPPO 6B3 CYP6B3 Q964T2 CP9E2_BLAGE 9E2 CYP9E2 Q964R0 CP6K1_BLAGE 6K1 CYP6K1</t>
  </si>
  <si>
    <t xml:space="preserve">CYTOCHROME PAPILIO POLYXENES PE HELICOVERPA ARMIGERA BLATTELLA GERMANICA FRAGMENT GLAUCUS </t>
  </si>
  <si>
    <t>Contig17683_7</t>
  </si>
  <si>
    <t xml:space="preserve"> CONTIG17683_7 GENEID_V1 3_PREDICTED_PROTEIN_7 556_AA CONTIG17683_6 3_PREDICTED_PROTEIN_6 512_AA CONTIG18042_4 3_PREDICTED_PROTEIN_4 565_AA CONTIG3778_2 3_PREDICTED_PROTEIN_2 382_AA CONTIG2332_2 491_AA CONTIG18042_215 3_PREDICTED_PROTEIN_215 668_AA CONTIG16086_3 3_PREDICTED_PROTEIN_3 300_AA CONTIG17855_43 3_PREDICTED_PROTEIN_43 489_AA CONTIG17471_8 3_PREDICTED_PROTEIN_8 2137_AA CONTIG17802_35 3_PREDICTED_PROTEIN_35 296_AA</t>
  </si>
  <si>
    <t>Cyp9f2 - Drosophila melanogaster - microsome - electron carrier activity - membrane</t>
  </si>
  <si>
    <t>electron carrier activity</t>
  </si>
  <si>
    <t>GO:0009055</t>
  </si>
  <si>
    <t>microsome||vesicular fraction||membrane fraction||insoluble fraction||cell fraction||cell part</t>
  </si>
  <si>
    <t>cell fraction</t>
  </si>
  <si>
    <t>GO:0005792</t>
  </si>
  <si>
    <t>response to insecticide||response to toxin||response to chemical stimulus||response to stimulus</t>
  </si>
  <si>
    <t>GO:0017085</t>
  </si>
  <si>
    <t>COG5022 | p450 4e-007| 7TM_GPCR_Srbc 0.034| VNFD 0.039|</t>
  </si>
  <si>
    <t>sp|Q9QYP1|LRP4_RAT</t>
  </si>
  <si>
    <t>Q9QYP1 LRP4_RAT 4 LRP4 2 Q8VI56 LRP4_MOUSE 1 3 O75096 LRP4_HUMAN O17450 PE48_CHRBE 48 P22105 Q2PC93 P10041 P26664 POLG_HCV1 1A O76217 PE1_ANOGA APER1 Q03463 POLG_HCVJ1 1B J1</t>
  </si>
  <si>
    <t xml:space="preserve">LOW DENSITY LIPOPROTEIN RECEPTOR RELATED RATTUS NORVEGICUS PE MUS MUSCULUS HOMO SAPIENS PERITROPHIN CHRYSOMYA BEZZIANA TENX_HUMAN TENASCIN X TNXB SSPO_CHICK SCO SPONDIN GALLUS SSPO DL_DROME NEUROGENIC LOCUS DELTA DROSOPHILA MELANOGASTER DL GENOME POLYPROTEIN HEPATITIS C VIRUS GENOTYPE ISOLATE ANOPHELES GAMBIAE HC </t>
  </si>
  <si>
    <t>Contig17812_36</t>
  </si>
  <si>
    <t xml:space="preserve"> CONTIG17812_36 GENEID_V1 3_PREDICTED_PROTEIN_36 388_AA CONTIG17812_34 3_PREDICTED_PROTEIN_34 322_AA CONTIG17812_37 3_PREDICTED_PROTEIN_37 304_AA CONTIG17891_56 3_PREDICTED_PROTEIN_56 350_AA CONTIG17891_50 3_PREDICTED_PROTEIN_50 240_AA CONTIG2653_3 3_PREDICTED_PROTEIN_3 73_AA CONTIG17527_36 83_AA CONTIG13159_14 3_PREDICTED_PROTEIN_14 2794_AA CONTIG17541_15 3_PREDICTED_PROTEIN_15 216_AA CONTIG16177_9 3_PREDICTED_PROTEIN_9 330_AA</t>
  </si>
  <si>
    <t>CG17824 - Drosophila melanogaster - structural constituent of peritrophic membrane</t>
  </si>
  <si>
    <t>&lt;kidney development||posterior lateral line neuromast deposition||anterior lateral line neuromast deposition||glial cell migration in a lateral line nerve||peripheral nervous system neuron development||aorta smooth muscle tissue morphogenesis||regulation of prostatic bud formation||regulation of prostatic bud formation||mammary duct terminal end bud growth||initiation of neural tube closure||neural fold elevation formation||leading edge cell fate commitment||atrichoblast fate specification||muscle thin filament assembly||myoblast cell fate commitment||paraxial mesoderm morphogenesis||neural crest cell development||neural crest cell migration||mesenchymal cell development||hair follicle morphogenesis||root hair initiation||guard cell development||vegetative meristem growth||guard cell development||R8 cell development||ommatidial rotation||inner ear development||otolith formation||root meristem growth||lung induction||trachea formation||cornification||bract formation||organ maturation||eclosion rhythm||pollen adhesion||diapedesis||seed growth||cornification||innervation</t>
  </si>
  <si>
    <t>GO:0001822</t>
  </si>
  <si>
    <t>COG5022 | CBM_14 2e-005| ChtBD2 1e-004| HCV_NS1 0.008| YfhO 0.018| 7TM_GPCR_Sra 0.018| COG4241 0.022| 7tm_7 0.047|</t>
  </si>
  <si>
    <t>ion binding</t>
  </si>
  <si>
    <t>sp|O02495|SYB1_CAEEL</t>
  </si>
  <si>
    <t>O02495 SYB1_CAEEL 1 Q60WU2 SYB1_CAEBR 3 P18489 2 P63025 VAMP3_RAT VAMP3 P63024 VAMP3_MOUSE Q4R8T0 VAMP3_MACFA Q15836 VAMP3_HUMAN Q2KJD2 VAMP3_BOVIN Q62442 VAMP1_MOUSE VAMP1 Q0V7N0 VAMP1_BOVIN</t>
  </si>
  <si>
    <t xml:space="preserve">SYNAPTOBREVIN CAENORHABDITIS ELEGANS SNB PE BRIGGSAE SYB_DROME DROSOPHILA MELANOGASTER SYB VESICLE ASSOCIATED MEMBRANE RATTUS NORVEGICUS MUS MUSCULUS MACACA FASCICULARIS HOMO SAPIENS BOS TAURUS </t>
  </si>
  <si>
    <t>Contig17909_61</t>
  </si>
  <si>
    <t xml:space="preserve"> CONTIG17909_61 GENEID_V1 3_PREDICTED_PROTEIN_61 118_AA CONTIG17909_63 3_PREDICTED_PROTEIN_63 245_AA CONTIG17954_43 3_PREDICTED_PROTEIN_43 214_AA CONTIG17545_16 3_PREDICTED_PROTEIN_16 142_AA CONTIG17607_116 3_PREDICTED_PROTEIN_116 813_AA CONTIG2091_3 3_PREDICTED_PROTEIN_3 411_AA CONTIG17971_115 3_PREDICTED_PROTEIN_115 710_AA</t>
  </si>
  <si>
    <t>vesicle-associated membrane protein 3 (cellubrevin) - Danio rerio - molecular_function</t>
  </si>
  <si>
    <t>SNAP receptor activity||protein binding||binding</t>
  </si>
  <si>
    <t>GO:0005484</t>
  </si>
  <si>
    <t>vesicle\-mediated transport||transport||cellular localization||localization</t>
  </si>
  <si>
    <t>GO:0016192</t>
  </si>
  <si>
    <t>Synaptobrevin 1e-027| SNC1 5e-009|</t>
  </si>
  <si>
    <t>sp|Q7TS72|IP3KC_MOUSE</t>
  </si>
  <si>
    <t>Q7TS72 IP3KC_MOUSE 3 2 1 Q80ZG2 IP3KC_RAT Q96DU7 IP3KC_HUMAN P23677 IP3KA_HUMAN P17105 IP3KA_RAT Q8R071 IP3KA_MOUSE P42335 IP3KB_RAT P27987 IP3KB_HUMAN 5 P07250 ARG82 Q9FLT2 IPK2B</t>
  </si>
  <si>
    <t xml:space="preserve">INOSITOL TRISPHOSPHATE KINASE C MUS MUSCULUS ITPKC PE RATTUS NORVEGICUS HOMO SAPIENS A ITPKA B ITPKB IPMK_YEAST POLYPHOSPHATE MULTIKINASE SACCHAROMYCES CEREVISIAE IPMKB_ARATH BETA ARABIDOPSIS THALIANA </t>
  </si>
  <si>
    <t>Contig15999_2</t>
  </si>
  <si>
    <t xml:space="preserve"> CONTIG15999_2 GENEID_V1 3_PREDICTED_PROTEIN_2 394_AA CONTIG17255_6 3_PREDICTED_PROTEIN_6 86_AA CONTIG11155_1 3_PREDICTED_PROTEIN_1 160_AA CONTIG17847_66 3_PREDICTED_PROTEIN_66 285_AA CONTIG17953_125 3_PREDICTED_PROTEIN_125 346_AA CONTIG17836_21 3_PREDICTED_PROTEIN_21 271_AA CONTIG17803_21 414_AA CONTIG17380_19 3_PREDICTED_PROTEIN_19 888_AA CONTIG17845_18 3_PREDICTED_PROTEIN_18 810_AA CONTIG17970_397 3_PREDICTED_PROTEIN_397 916_AA</t>
  </si>
  <si>
    <t>Inositol 1,4,5-triphosphate kinase 1 - Drosophila melanogaster - inositol trisphosphate 3-kinase activity - response to oxidative stress - calmodulin binding</t>
  </si>
  <si>
    <t>inositol or phosphatidylinositol kinase activity||kinase activity||transferase activity\, transferring phosphorus\-containing groups||transferase activity||catalytic activity</t>
  </si>
  <si>
    <t>GO:0004428</t>
  </si>
  <si>
    <t>inositol metabolic process||polyol metabolic process||alcohol metabolic process||metabolic process</t>
  </si>
  <si>
    <t>GO:0006020</t>
  </si>
  <si>
    <t>IPK 1e-031|</t>
  </si>
  <si>
    <t xml:space="preserve"> Escherichia coli MS 146-1</t>
  </si>
  <si>
    <t>sp|B6I9Q8|TREA_ECOSE</t>
  </si>
  <si>
    <t xml:space="preserve"> Escherichia coli (strain SE11)</t>
  </si>
  <si>
    <t>B6I9Q8 SE11 3 1 P13482 K12 B1IU96 8739 1576 A7ZZD1 O9 H4 B1XAN8 DH10B C4ZTN8 MC4100 BW2952 B7LXB1 TREA_ECO8A O8 IAI1 B7LGV7 TREA_ECO55 55989 A7ZKW9 TREA_ECO24 O139 H28 E24377A Q83RP6 2</t>
  </si>
  <si>
    <t xml:space="preserve">TREA_ECOSE PERIPLASMIC TREHALASE ESCHERICHIA COLI STRAIN TREA PE TREA_ECOLI TREA_ECOLC ATCC DSM CROOKS TREA_ECOHS HS TREA_ECODH TREA_ECOBW EAEC ETEC TREA_SHIFL SHIGELLA FLEXNERI </t>
  </si>
  <si>
    <t>Contig17464_16</t>
  </si>
  <si>
    <t xml:space="preserve"> CONTIG17464_16 GENEID_V1 3_PREDICTED_PROTEIN_16 631_AA CONTIG5200_6 3_PREDICTED_PROTEIN_6 518_AA CONTIG13035_3 3_PREDICTED_PROTEIN_3 247_AA CONTIG17567_11 3_PREDICTED_PROTEIN_11 359_AA CONTIG17626_4 3_PREDICTED_PROTEIN_4 1086_AA CONTIG17794_38 3_PREDICTED_PROTEIN_38 345_AA CONTIG17093_3 1370_AA CONTIG12287_1 3_PREDICTED_PROTEIN_1 700_AA CONTIG17572_21 3_PREDICTED_PROTEIN_21 1723_AA CONTIG17851_82 3_PREDICTED_PROTEIN_82 334_AA</t>
  </si>
  <si>
    <t>Contig25476_1</t>
  </si>
  <si>
    <t>trehalase - Coxiella burnetii RSA 493 - alpha,alpha-trehalase activity - trehalose metabolic process</t>
  </si>
  <si>
    <t>alpha\,alpha\-trehalase activity||trehalase activity||hydrolase activity\, hydrolyzing O\-glycosyl compounds||hydrolase activity\, acting on glycosyl bonds||hydrolase activity||catalytic activity</t>
  </si>
  <si>
    <t>GO:0004555</t>
  </si>
  <si>
    <t>anchored to plasma membrane||intrinsic to plasma membrane||thylakoid membrane||photosynthetic membrane||membrane||cell part</t>
  </si>
  <si>
    <t>GO:0046658</t>
  </si>
  <si>
    <t>trehalose metabolic process||disaccharide metabolic process||cellular carbohydrate metabolic process||carbohydrate metabolic process||primary metabolic process||metabolic process</t>
  </si>
  <si>
    <t>GO:0005991</t>
  </si>
  <si>
    <t>treA 6e-085| TreA 4e-052| Trehalase 3e-046| treA 6e-045| treF 3e-038| TIGR02269 0.049|</t>
  </si>
  <si>
    <t>sp|Q7TPJ0|SSRA_RAT</t>
  </si>
  <si>
    <t>Q7TPJ0 SSR1 2 1 Q9CY50 Q5R4X4 P43307 3 P16967 A6QLP7 P53815 P45433 Q54R45 P45434 AT2G21160</t>
  </si>
  <si>
    <t xml:space="preserve">SSRA_RAT TRANSLOCON ASSOCIATED SUBUNIT ALPHA RATTUS NORVEGICUS PE SSRA_MOUSE MUS MUSCULUS SSRA_PONAB PONGO ABELII SSRA_HUMAN HOMO SAPIENS SSRA_CANFA CANIS FAMILIARIS SSRA_BOVIN BOS TAURUS SSRA_RABIT ORYCTOLAGUS CUNICULUS SSRA_ONCMY ONCORHYNCHUS MYKISS SSRA_DICDI DICTYOSTELIUM DISCOIDEUM SSRA_ARATH ARABIDOPSIS THALIANA </t>
  </si>
  <si>
    <t>Contig17383_8</t>
  </si>
  <si>
    <t xml:space="preserve"> CONTIG17383_8 GENEID_V1 3_PREDICTED_PROTEIN_8 272_AA CONTIG17855_111 3_PREDICTED_PROTEIN_111 2357_AA CONTIG17616_49 3_PREDICTED_PROTEIN_49 668_AA CONTIG17534_2 3_PREDICTED_PROTEIN_2 255_AA CONTIG16278_5 3_PREDICTED_PROTEIN_5 163_AA</t>
  </si>
  <si>
    <t>lethal (1) G0320 - Drosophila melanogaster - signal sequence binding - signal recognition particle receptor complex - lipid particle</t>
  </si>
  <si>
    <t>ceramide cholinephosphotransferase activity||phosphotransferase activity\, for other substituted phosphate groups||transferase activity\, transferring phosphorus\-containing groups||transferase activity||catalytic activity</t>
  </si>
  <si>
    <t>GO:0047493</t>
  </si>
  <si>
    <t>sphingomyelin biosynthetic process||sphingolipid biosynthetic process||membrane lipid biosynthetic process||membrane lipid metabolic process||cellular lipid metabolic process||lipid metabolic process||primary metabolic process||metabolic process</t>
  </si>
  <si>
    <t>GO:0006686</t>
  </si>
  <si>
    <t>TRAP_alpha 4e-066| COG5291 0.011| Protamine_P1 0.014| ND2 0.021| NolL 0.024| CDC27 0.026| Herpes_gp2 0.038| ATP6 0.046| PAP1 0.077|</t>
  </si>
  <si>
    <t>sp|Q9LIC3|PP227_ARATH</t>
  </si>
  <si>
    <t>Q9LIC3 PP227_ARATH AT3G13770 H85 3 1 P02825 HSP71_DROME 70 HSP70AB P82910 HSP70_DROME HSP70AA 2 P42211</t>
  </si>
  <si>
    <t xml:space="preserve">PENTATRICOPEPTIDE REPEAT CONTAINING MITOCHONDRIAL ARABIDOPSIS THALIANA PCMP PE MAJOR HEAT SHOCK KDA AB DROSOPHILA MELANOGASTER AA ASPRX_ORYSJ ASPARTIC PROTEINASE ORYZA SATIVA SUBSP JAPONICA RAP </t>
  </si>
  <si>
    <t>Contig2811_2</t>
  </si>
  <si>
    <t xml:space="preserve"> CONTIG2811_2 GENEID_V1 3_PREDICTED_PROTEIN_2 927_AA CONTIG17794_97 3_PREDICTED_PROTEIN_97 197_AA CONTIG1689_2 1136_AA CONTIG17931_80 3_PREDICTED_PROTEIN_80 206_AA CONTIG17575_32 3_PREDICTED_PROTEIN_32 232_AA CONTIG18066_29 3_PREDICTED_PROTEIN_29 1086_AA CONTIG17849_30 3_PREDICTED_PROTEIN_30 191_AA CONTIG17907_23 3_PREDICTED_PROTEIN_23 867_AA CONTIG15554_1 3_PREDICTED_PROTEIN_1 34_AA</t>
  </si>
  <si>
    <t>Contig18066_19</t>
  </si>
  <si>
    <t>Heat-shock-protein-70Ab - Drosophila melanogaster - response to heat - heat shock-mediated polytene chromosome puffing</t>
  </si>
  <si>
    <t>unfolded protein binding||protein binding||binding</t>
  </si>
  <si>
    <t>GO:0051082</t>
  </si>
  <si>
    <t>protein folding||cellular protein metabolic process||cellular biopolymer metabolic process||cellular macromolecule metabolic process||macromolecule metabolic process||metabolic process</t>
  </si>
  <si>
    <t>GO:0006457</t>
  </si>
  <si>
    <t xml:space="preserve"> Trypanosoma cruzi</t>
  </si>
  <si>
    <t>sp|Q9AFI0|CPSE_STRA5</t>
  </si>
  <si>
    <t xml:space="preserve"> Streptococcus agalactiae serotype V</t>
  </si>
  <si>
    <t>Q9AFI0 CPSE_STRA5 3 1 Q04664 CPSE_STRA3 P58660 CAR10_MOUSE 10 CARD10 2 A8EX90 ATP6_RICCK Q9VKX7 ALG6_DROME MAN9GLCNAC2 CG5091 Q9C1C2 P24499 ATP6_TRYBB ATP6 P34855 NU5M_APILI 5 ND5</t>
  </si>
  <si>
    <t xml:space="preserve">GALACTOSYL TRANSFERASE CPSE STREPTOCOCCUS AGALACTIAE SEROTYPE V PE III CASPASE RECRUITMENT DOMAIN CONTAINING MUS MUSCULUS ATP SYNTHASE SUBUNIT A RICKETTSIA CANADENSIS STRAIN MCKIEL ATPB PROBABLE DOLICHYL PYROPHOSPHATE ALPHA GLUCOSYLTRANSFERASE DROSOPHILA MELANOGASTER KAPR_GLOLA CAMP DEPENDENT KINASE REGULATORY GLOMERELLA LAGENARIUM PKAR TRYPANOSOMA BRUCEI NADH UBIQUINONE OXIDOREDUCTASE CHAIN APIS MELLIFERA LIGUSTICA </t>
  </si>
  <si>
    <t>Contig2586_5</t>
  </si>
  <si>
    <t xml:space="preserve"> CONTIG2586_5 GENEID_V1 3_PREDICTED_PROTEIN_5 215_AA CONTIG11393_1 3_PREDICTED_PROTEIN_1 34_AA CONTIG13245_9 3_PREDICTED_PROTEIN_9 52_AA CONTIG17875_43 3_PREDICTED_PROTEIN_43 226_AA CONTIG18028_115 3_PREDICTED_PROTEIN_115 130_AA CONTIG17971_87 3_PREDICTED_PROTEIN_87 380_AA CONTIG9726_3 3_PREDICTED_PROTEIN_3 847_AA CONTIG2521_1 CONTIG17327_7 3_PREDICTED_PROTEIN_7 92_AA CONTIG13747_1</t>
  </si>
  <si>
    <t>Contig17900_146</t>
  </si>
  <si>
    <t>caspase recruitment domain family, member 10 - Rattus norvegicus - protein binding - activation of NF-kappaB-inducing kinase activity</t>
  </si>
  <si>
    <t>glucosyltransferase activity||transferase activity\, transferring hexosyl groups||transferase activity\, transferring glycosyl groups||transferase activity||catalytic activity</t>
  </si>
  <si>
    <t>GO:0046527</t>
  </si>
  <si>
    <t>endoplasmic reticulum||nuclear cyclin\-dependent protein kinase holoenzyme complex||cyclin\-dependent protein kinase holoenzyme complex||outer membrane\-bounded periplasmic space||external encapsulating structure part||cell part</t>
  </si>
  <si>
    <t>GO:0005783</t>
  </si>
  <si>
    <t>sp|Q86AC8|MYOG_DICDI</t>
  </si>
  <si>
    <t>Q86AC8 3 1 Q869W0 HBX2_DICDI 2 HBX2 Q86HW6 Y6461_DICDI DDB_G0276461 Q9QY06 MYO9B_MOUSE MYO9B Q54ZP5 WDR48_DICDI 48 DDB_G0277533 Q5UQQ0 YL452_MIMIV L452 MIMI_L452 Q54M23 Y8800_DICDI DDB_G0286333 4 Q54V71 Y6053_DICDI DDB_G0280579 Q93V43 TCP2_ARATH TCP2 Q869T7</t>
  </si>
  <si>
    <t xml:space="preserve">MYOG_DICDI MYOSIN G HEAVY CHAIN DICTYOSTELIUM DISCOIDEUM MYOG PE HOMEOBOX PROBABLE SERINE THREONINE KINASE IXB MUS MUSCULUS WD REPEAT CONTAINING HOMOLOG UNCHARACTERIZED ACANTHAMOEBA POLYPHAGA MIMIVIRUS TRANSCRIPTION FACTOR ARABIDOPSIS THALIANA PAKF_DICDI PAKF </t>
  </si>
  <si>
    <t>Contig17527_16</t>
  </si>
  <si>
    <t xml:space="preserve"> CONTIG17527_16 GENEID_V1 3_PREDICTED_PROTEIN_16 501_AA CONTIG3371_9 3_PREDICTED_PROTEIN_9 1163_AA CONTIG17954_17 3_PREDICTED_PROTEIN_17 1726_AA CONTIG17517_1 3_PREDICTED_PROTEIN_1 817_AA CONTIG1820_1 373_AA CONTIG17955_254 3_PREDICTED_PROTEIN_254 547_AA CONTIG17778_50 3_PREDICTED_PROTEIN_50 610_AA CONTIG17165_1 379_AA CONTIG17969_118 3_PREDICTED_PROTEIN_118 206_AA CONTIG17847_50 231_AA</t>
  </si>
  <si>
    <t>unconventional myosin heavy chain - Dictyostelium discoideum - actin filament-based movement - myosin complex - ATP binding - motor activity</t>
  </si>
  <si>
    <t>myosin complex||cortical cytoskeleton||cytoskeleton||intracellular non\-membrane\-bounded organelle||intracellular organelle||outer membrane\-bounded periplasmic space||external encapsulating structure part||cell part</t>
  </si>
  <si>
    <t>GO:0016459</t>
  </si>
  <si>
    <t>actin filament\-based movement||cytoskeleton\-dependent intracellular transport||intracellular transport||establishment of localization in cell||cellular localization||localization</t>
  </si>
  <si>
    <t>GO:0030048</t>
  </si>
  <si>
    <t>sp|Q3UPL0|SC31A_MOUSE</t>
  </si>
  <si>
    <t>Q3UPL0 SC31A_MOUSE SEC31A 1 2 C1CTZ9 TAIWAN19F 14 3 C1CN42 P1031 C1CH24 Q8DN55 DAPL_STRR6 255 R6 B2IN14 CGSP14 Q97NE7 B8ZPL8 700669 23F B1I9G2 HUNGARY19A 6 C1CAS3 DAPL_STRP7 70585</t>
  </si>
  <si>
    <t xml:space="preserve">TRANSPORT MUS MUSCULUS PE DAPL_STRZT N ACETYLDIAMINOPIMELATE DEACETYLASE STREPTOCOCCUS PNEUMONIAE STRAIN DAPL DAPL_STRZP DAPL_STRZJ JJA ATCC BAA DAPL_STRPS DAPL_STRPN DAPL_STRPJ SPAIN DAPL_STRPI </t>
  </si>
  <si>
    <t>Contig17909_35</t>
  </si>
  <si>
    <t xml:space="preserve"> CONTIG17909_35 GENEID_V1 3_PREDICTED_PROTEIN_35 680_AA CONTIG17834_60 3_PREDICTED_PROTEIN_60 1421_AA CONTIG17791_19 3_PREDICTED_PROTEIN_19 164_AA CONTIG15083_1 3_PREDICTED_PROTEIN_1 98_AA CONTIG13300_2 3_PREDICTED_PROTEIN_2 114_AA</t>
  </si>
  <si>
    <t>sec31 - Drosophila melanogaster - synaptic vesicle - ER to Golgi transport vesicle - Golgi stack - endoplasmic reticulum</t>
  </si>
  <si>
    <t>calcium\-dependent protein binding||protein binding||binding</t>
  </si>
  <si>
    <t>GO:0048306</t>
  </si>
  <si>
    <t>ER to Golgi vesicle\-mediated transport||Golgi vesicle transport||intracellular transport||establishment of localization in cell||cellular localization||localization</t>
  </si>
  <si>
    <t>GO:0006888</t>
  </si>
  <si>
    <t>MYSc_type_II 0.007|</t>
  </si>
  <si>
    <t>sp|Q9I7K0|JUPIT_DROME</t>
  </si>
  <si>
    <t>Q9I7K0 1 2 B4PU44 3 B4QU20 B3P4I7 B4GMI7 B4JUG8 B4HI06 B4N8G6 B3M0Y8 P97825 HN1_MOUSE HN1</t>
  </si>
  <si>
    <t xml:space="preserve">JUPIT_DROME MICROTUBULE ASSOCIATED JUPITER DROSOPHILA MELANOGASTER PE JUPIT_DROYA YAKUBA JUPIT_DROSI SIMULANS JUPIT_DROER ERECTA JUPIT_DROPE PERSIMILIS JUPIT_DROGR GRIMSHAWI JUPIT_DROSE SECHELLIA JUPIT_DROWI WILLISTONI JUPIT_DROAN ANANASSAE HEMATOLOGICAL NEUROLOGICAL EXPRESSED MUS MUSCULUS </t>
  </si>
  <si>
    <t>Contig17848_93</t>
  </si>
  <si>
    <t xml:space="preserve"> CONTIG17848_93 0 1 044335 CONTIG17364_7 GENEID_V1 3_PREDICTED_PROTEIN_7 1077_AA CONTIG17593_31 3_PREDICTED_PROTEIN_31 559_AA CONTIG17899_141 3_PREDICTED_PROTEIN_141 2517_AA CONTIG18048_19 3_PREDICTED_PROTEIN_19 234_AA CONTIG17792_45 3_PREDICTED_PROTEIN_45 2105_AA CONTIG15712_2 3_PREDICTED_PROTEIN_2 454_AA CONTIG5743_4 3_PREDICTED_PROTEIN_4 225_AA CONTIG18051_89 3_PREDICTED_PROTEIN_89 504_AA CONTIG17832_9 3_PREDICTED_PROTEIN_9 280_AA</t>
  </si>
  <si>
    <t xml:space="preserve">MICROTUBULE ASSOCIATED JUPITER CS SWISSP </t>
  </si>
  <si>
    <t>hematological and neurological expressed sequence 1 - Mus musculus - cellular_component - molecular_function - biological_process</t>
  </si>
  <si>
    <t>Contig17966_82</t>
  </si>
  <si>
    <t xml:space="preserve"> Triatoma dimidiata</t>
  </si>
  <si>
    <t>sp|P00418|COX3_DROYA</t>
  </si>
  <si>
    <t xml:space="preserve"> Drosophila yakuba</t>
  </si>
  <si>
    <t>P00418 COX3_DROYA 3 1 P00417 COX3_DROME P33508 COX3_ANOQU P34842 COX3_ANOGA B0FWD1 COX3_AEDAE P14574 COX3_LOCMI Q33824 COX3_ASTPE 2 O79407 COX3_SCYCA CO3 Q36860 COX3_SALSA P69218 COX3_ONCNE</t>
  </si>
  <si>
    <t xml:space="preserve">CYTOCHROME C OXIDASE SUBUNIT DROSOPHILA YAKUBA MT COIII PE MELANOGASTER ANOPHELES QUADRIMACULATUS GAMBIAE AEDES AEGYPTI LOCUSTA MIGRATORIA ASTERINA PECTINIFERA SCYLIORHINUS CANICULA SALMO SALAR ONCORHYNCHUS NERKA </t>
  </si>
  <si>
    <t>Contig8234_1</t>
  </si>
  <si>
    <t xml:space="preserve"> CONTIG8234_1 GENEID_V1 3_PREDICTED_PROTEIN_1 21_AA CONTIG8154_1 CONTIG8094_1 CONTIG7811_1 CONTIG7604_1 CONTIG22884_1 CONTIG22700_1 CONTIG15684_1 CONTIG8226_1 46_AA CONTIG7930_1 1 0 3 196347E 02</t>
  </si>
  <si>
    <t xml:space="preserve">ER DEGRADATION ENHANCING ALPHA MANNOSIDASE LIKE MET CARB SWISSP </t>
  </si>
  <si>
    <t>Contig8226_1</t>
  </si>
  <si>
    <t>mitochondrial Cytochrome c oxidase subunit III - Drosophila melanogaster - cytochrome-c oxidase activity - mitochondrion - mitochondrial respiratory chain complex IV</t>
  </si>
  <si>
    <t>COX3 e-109| Cyt_c_Oxidase_III e-102| Heme_Cu_Oxidase_III_like 2e-062| CyoC 4e-049| NorE_like 3e-024| Ubiquinol_oxidase_III 1e-019| Heme_Cu_Oxidase_III_2 7e-017| Heme_Cu_Oxidase_III_1 8e-017| PRK10663 2e-008| CvpA 0.048|</t>
  </si>
  <si>
    <t>sp|Q8C419|GP158_MOUSE</t>
  </si>
  <si>
    <t>Q8C419 GP158_MOUSE 158 GPR158 1 2 Q5T848 GP158_HUMAN Q6PRD1 GP179_HUMAN 179 GPR179 Q9VKA4 Y1760_DROME CG31760 B5DFC9 NID2_RAT NID2 O88322 NID2_MOUSE Q58199 Y789_METJA MJ0789 4 Q14112 NID2_HUMAN 3 Q9WVH8 FBLN5_RAT 5 FBLN5 Q5RC26 FBLN5_PONAB</t>
  </si>
  <si>
    <t xml:space="preserve">PROBABLE G COUPLED RECEPTOR MUS MUSCULUS PE HOMO SAPIENS DROSOPHILA MELANOGASTER NIDOGEN RATTUS NORVEGICUS UNCHARACTERIZED METHANOCALDOCOCCUS JANNASCHII FIBULIN PONGO ABELII </t>
  </si>
  <si>
    <t>Contig17898_11</t>
  </si>
  <si>
    <t xml:space="preserve"> CONTIG17898_11 GENEID_V1 3_PREDICTED_PROTEIN_11 813_AA CONTIG17605_31 3_PREDICTED_PROTEIN_31 965_AA CONTIG17914_52 3_PREDICTED_PROTEIN_52 516_AA CONTIG5026_1 3_PREDICTED_PROTEIN_1 313_AA CONTIG17971_221 3_PREDICTED_PROTEIN_221 164_AA CONTIG2737_1 800_AA CONTIG17836_23 3_PREDICTED_PROTEIN_23 4849_AA CONTIG13664_1 89_AA CONTIG27039_1 63_AA CONTIG14116_1 220_AA</t>
  </si>
  <si>
    <t>CG31195 - Drosophila melanogaster - biological_process - molecular_function - cellular_component</t>
  </si>
  <si>
    <t>COG3581 0.008| EGF_CA 0.022| EGF_CA 0.066|</t>
  </si>
  <si>
    <t>sp|P98092|HMCT_BOMMO</t>
  </si>
  <si>
    <t>P98092 2 1 Q9JLL0 CRIM1_MOUSE CRIM1 Q9HC84 MUC5B_HUMAN 5B MUC5B 3 Q8AWW5 CRIM1_CHICK Q7T3Q2 CRIM1_DANRE P04275 Q9NZV1 CRIM1_HUMAN Q3ZCN5 CL064_HUMAN C12ORF64 4 Q5RCW9 CL064_PONAB Q28833</t>
  </si>
  <si>
    <t xml:space="preserve">HMCT_BOMMO HEMOCYTIN BOMBYX MORI PE CYSTEINE RICH MOTOR NEURON MUS MUSCULUS MUCIN HOMO SAPIENS GALLUS DANIO RERIO VWF_HUMAN VON WILLEBRAND FACTOR VWF UNCHARACTERIZED HOMOLOG PONGO ABELII VWF_PIG FRAGMENT SUS SCROFA </t>
  </si>
  <si>
    <t>Contig17685_3</t>
  </si>
  <si>
    <t xml:space="preserve"> CONTIG17685_3 GENEID_V1 3_PREDICTED_PROTEIN_3 3237_AA CONTIG13030_2 3_PREDICTED_PROTEIN_2 795_AA CONTIG6843_1 3_PREDICTED_PROTEIN_1 1317_AA CONTIG17997_25 3_PREDICTED_PROTEIN_25 1068_AA CONTIG17971_129 3_PREDICTED_PROTEIN_129 679_AA CONTIG17881_75 3_PREDICTED_PROTEIN_75 909_AA CONTIG17685_2 686_AA CONTIG17540_10 3_PREDICTED_PROTEIN_10 2241_AA CONTIG17965_158 3_PREDICTED_PROTEIN_158 2997_AA CONTIG17540_12 3_PREDICTED_PROTEIN_12 9992_AA</t>
  </si>
  <si>
    <t>Hemolectin - Drosophila melanogaster - sugar binding - protein homodimerization activity - extracellular region - hemostasis - wound healing - melanization defense response - hemolymph coagulation</t>
  </si>
  <si>
    <t>sugar binding||carbohydrate binding||binding</t>
  </si>
  <si>
    <t>carbohydrate binding</t>
  </si>
  <si>
    <t>GO:0005529</t>
  </si>
  <si>
    <t>hemostasis||regulation of body fluid levels||regulation of biological quality||biological regulation</t>
  </si>
  <si>
    <t>GO:0007599</t>
  </si>
  <si>
    <t>VWC 7e-008| VWC 1e-007| VWC_out 0.001| TIL_assoc 0.014| PSP94 0.036|</t>
  </si>
  <si>
    <t>structural constituent of ribosome||structural molecule activity</t>
  </si>
  <si>
    <t>structural molecule activity</t>
  </si>
  <si>
    <t>structural constituent of ribosome</t>
  </si>
  <si>
    <t>GO:0003735</t>
  </si>
  <si>
    <t>cytosolic large ribosomal subunit||large ribosomal subunit||polysomal ribosome||ribosome||nuclear cyclin\-dependent protein kinase holoenzyme complex||cyclin\-dependent protein kinase holoenzyme complex||outer membrane\-bounded periplasmic space||external encapsulating structure part||cell part</t>
  </si>
  <si>
    <t>GO:0022625</t>
  </si>
  <si>
    <t>&lt;translation||negative regulation of thymidylate synthase biosynthetic process||negative regulation of antibody\-dependent cellular cytotoxicity||positive regulation of stress\-activated protein kinase signaling pathway||positive regulation of stress\-activated protein kinase signaling pathway||positive regulation of prostaglandin biosynthetic process||positive regulation of abscisic acid biosynthetic process||positive regulation of abscisic acid biosynthetic process||negative regulation of thiamin diphosphate biosynthetic process</t>
  </si>
  <si>
    <t>GO:0006412</t>
  </si>
  <si>
    <t>Contig17849_22</t>
  </si>
  <si>
    <t xml:space="preserve"> CONTIG17849_22 GENEID_V1 3_PREDICTED_PROTEIN_22 908_AA CONTIG17959_111 3_PREDICTED_PROTEIN_111 663_AA CONTIG18022_63 3_PREDICTED_PROTEIN_63 1600_AA CONTIG17882_40 3_PREDICTED_PROTEIN_40 794_AA</t>
  </si>
  <si>
    <t>Contig17971_3</t>
  </si>
  <si>
    <t>vomeronasal 1 receptor, G6 - Mus musculus - integral to plasma membrane - pheromone binding - response to pheromone - pheromone receptor activity</t>
  </si>
  <si>
    <t>pheromone binding||odorant binding||binding</t>
  </si>
  <si>
    <t>GO:0005550</t>
  </si>
  <si>
    <t>response to pheromone||response to chemical stimulus||response to stimulus</t>
  </si>
  <si>
    <t>GO:0019236</t>
  </si>
  <si>
    <t>QcrB 0.091| DUF1210 0.094|</t>
  </si>
  <si>
    <t>sp|Q5UNT4|YL670_MIMIV</t>
  </si>
  <si>
    <t>Q5UNT4 YL670_MIMIV L670 MIMI_L670 3 1 B0TI89 51547 ICE1 Q8BU27 PPM1M_MOUSE 1M PPM1M 2 Q3AFT8 2901 6008 P66884 Y2259_MYCBO SURF1 MB2259 P66883 Y2235_MYCTU RV2235 MT2294 Q96MI6 PPM1M_HUMAN Q8EM45 A1CG87 4</t>
  </si>
  <si>
    <t xml:space="preserve">SERINE THREONINE KINASE ACANTHAMOEBA POLYPHAGA MIMIVIRUS PE SYR_HELMI ARGINYL TRNA SYNTHETASE HELIOBACTERIUM MODESTICALDUM STRAIN ATCC ARGS PHOSPHATASE MUS MUSCULUS SYR_CARHZ CARBOXYDOTHERMUS HYDROGENOFORMANS Z DSM UNCHARACTERIZED LIKE MYCOBACTERIUM BOVIS TUBERCULOSIS HOMO SAPIENS SYR_OCEIH OCEANOBACILLUS IHEYENSIS CELB_ASPCL PROBABLE ENDO BETA GLUCANASE CELB ASPERGILLUS CLAVATUS </t>
  </si>
  <si>
    <t>Contig16882_2</t>
  </si>
  <si>
    <t xml:space="preserve"> CONTIG16882_2 GENEID_V1 3_PREDICTED_PROTEIN_2 168_AA CONTIG18061_144 3_PREDICTED_PROTEIN_144 129_AA CONTIG18061_145 3_PREDICTED_PROTEIN_145 CONTIG18061_143 3_PREDICTED_PROTEIN_143 138_AA CONTIG16882_1 3_PREDICTED_PROTEIN_1 150_AA CONTIG17940_72 3_PREDICTED_PROTEIN_72 127_AA CONTIG17940_69 3_PREDICTED_PROTEIN_69 128_AA CONTIG17940_70 3_PREDICTED_PROTEIN_70 CONTIG17819_86 3_PREDICTED_PROTEIN_86 CONTIG17819_89 3_PREDICTED_PROTEIN_89</t>
  </si>
  <si>
    <t>CG30413 - Drosophila melanogaster - biological_process - molecular_function - cellular_component</t>
  </si>
  <si>
    <t>COG5022 | EXS 0.034| ND4 0.075| ND6 0.082|</t>
  </si>
  <si>
    <t xml:space="preserve"> Triatoma vitticeps</t>
  </si>
  <si>
    <t>sp|P91798|KARG_SCHAM</t>
  </si>
  <si>
    <t>Contig17952_84</t>
  </si>
  <si>
    <t>Arginine kinase - Drosophila melanogaster - phosphorylation - arginine kinase activity</t>
  </si>
  <si>
    <t>sp|Q00710|STCO_EMENI</t>
  </si>
  <si>
    <t xml:space="preserve"> Emericella nidulans</t>
  </si>
  <si>
    <t>Q00710 4 1</t>
  </si>
  <si>
    <t xml:space="preserve">STCO_EMENI STERIGMATOCYSTIN BIOSYNTHESIS STCO EMERICELLA NIDULANS PE </t>
  </si>
  <si>
    <t>Contig18015_38</t>
  </si>
  <si>
    <t xml:space="preserve"> CONTIG18015_38 GENEID_V1 3_PREDICTED_PROTEIN_38 440_AA CONTIG18015_31 3_PREDICTED_PROTEIN_31 70_AA CONTIG18015_32 3_PREDICTED_PROTEIN_32 286_AA CONTIG17881_41 3_PREDICTED_PROTEIN_41 1332_AA CONTIG18509_1 3_PREDICTED_PROTEIN_1 107_AA CONTIG17453_15 3_PREDICTED_PROTEIN_15 729_AA CONTIG17955_254 3_PREDICTED_PROTEIN_254 547_AA CONTIG17839_10 3_PREDICTED_PROTEIN_10 658_AA CONTIG17337_5 3_PREDICTED_PROTEIN_5 659_AA CONTIG17946_199 3_PREDICTED_PROTEIN_199 1470_AA</t>
  </si>
  <si>
    <t>olfactory receptor 298 - Mus musculus - integral to membrane - olfactory receptor activity - G-protein coupled receptor protein signaling pathway - sensory perception of smell</t>
  </si>
  <si>
    <t>sp|Q36838|ATP8_TRIRU</t>
  </si>
  <si>
    <t xml:space="preserve"> Trichophyton rubrum</t>
  </si>
  <si>
    <t>Q36838 ATP8_TRIRU 8 ATP8 3 1</t>
  </si>
  <si>
    <t xml:space="preserve">ATP SYNTHASE TRICHOPHYTON RUBRUM PE </t>
  </si>
  <si>
    <t xml:space="preserve"> CONTIG17849_53 0000000000002 CONTIG17971_33 GENEID_V1 3_PREDICTED_PROTEIN_33 207_AA</t>
  </si>
  <si>
    <t>Contig17881_42</t>
  </si>
  <si>
    <t>NADH-ubiquinone oxidoreductase chain 5 - Caenorhabditis elegans - mitochondrial electron transport, NADH to ubiquinone - NADH dehydrogenase (ubiquinone) activity</t>
  </si>
  <si>
    <t>GO:0003824</t>
  </si>
  <si>
    <t>metabolic process</t>
  </si>
  <si>
    <t>GO:0008152</t>
  </si>
  <si>
    <t>DER1 1e-006| 7TMR-DISM_7TM 4e-006| Glyco_transf_22 3e-004| COG5409 0.001| Borrelia_orfA 0.002| QcrB 0.003| YfhO 0.006| VanZ 0.006| TatC 0.008| 7tm_4 0.009|</t>
  </si>
  <si>
    <t>sp|Q5DC69|CH10_SCHJA</t>
  </si>
  <si>
    <t>Q5DC69 CH10_SCHJA 10 SJCHGC01960 3 2 Q9W6X3 CH10_ORYLA HSPE1 1 Q64433 CH10_MOUSE P61604 CH10_HUMAN P61603 CH10_BOVIN P26772 CH10_RAT P34893 CH10_ARATH CPN10 Q96539 CH10_BRANA P38910 CH10_YEAST HSP10 A5G9I1 CH10_GEOUR RF4</t>
  </si>
  <si>
    <t xml:space="preserve">KDA HEAT SHOCK MITOCHONDRIAL SCHISTOSOMA JAPONICUM PE ORYZIAS LATIPES MUS MUSCULUS HOMO SAPIENS BOS TAURUS RATTUS NORVEGICUS CHAPERONIN ARABIDOPSIS THALIANA BRASSICA NAPUS SACCHAROMYCES CEREVISIAE GEOBACTER URANIIREDUCENS STRAIN GROS </t>
  </si>
  <si>
    <t>Contig17588_10</t>
  </si>
  <si>
    <t xml:space="preserve"> CONTIG17588_10 GENEID_V1 3_PREDICTED_PROTEIN_10 93_AA CONTIG17787_55 3_PREDICTED_PROTEIN_55 367_AA CONTIG17841_67 3_PREDICTED_PROTEIN_67 102_AA</t>
  </si>
  <si>
    <t>CG11267 - Drosophila melanogaster - unfolded protein binding - mitochondrion - 'de novo' protein folding - mitochondrial matrix - lipid particle</t>
  </si>
  <si>
    <t>'de novo' protein folding||protein folding||cellular protein metabolic process||cellular biopolymer metabolic process||cellular macromolecule metabolic process||macromolecule metabolic process||metabolic process</t>
  </si>
  <si>
    <t>GO:0006458</t>
  </si>
  <si>
    <t>cpn10 2e-025| groES 3e-021| Cpn10 8e-021| GroS 9e-021|</t>
  </si>
  <si>
    <t>Contig17651_14</t>
  </si>
  <si>
    <t>protein amino acid phosphorylation||post\-translational protein modification||protein modification process||cellular protein metabolic process||cellular biopolymer metabolic process||cellular macromolecule metabolic process||macromolecule metabolic process||metabolic process</t>
  </si>
  <si>
    <t>GO:0006468</t>
  </si>
  <si>
    <t>sp|Q05FH8|RPOB_CARRP</t>
  </si>
  <si>
    <t xml:space="preserve"> Carsonella ruddii (strain PV)</t>
  </si>
  <si>
    <t>Q05FH8 3 1</t>
  </si>
  <si>
    <t xml:space="preserve">RPOB_CARRP DNA DIRECTED RNA POLYMERASE SUBUNIT BETA CARSONELLA RUDDII STRAIN PV RPOB PE </t>
  </si>
  <si>
    <t>Contig2361_1</t>
  </si>
  <si>
    <t xml:space="preserve"> CONTIG2361_1 GENEID_V1 3_PREDICTED_PROTEIN_1 271_AA CONTIG18047_175 3_PREDICTED_PROTEIN_175 1942_AA CONTIG17651_39 3_PREDICTED_PROTEIN_39 139_AA</t>
  </si>
  <si>
    <t>Contig17825_19</t>
  </si>
  <si>
    <t>Serpentine_recp 3e-004| MdoB 4e-004| LAG1 7e-004| 7TMR-DISM_7TM 8e-004| COG2972 0.004| MopB_Res-Cmplx1_Nad11-M 0.011| ARE1 0.015| COG5542 0.015| Sre 0.017| 7tm_4 0.031|</t>
  </si>
  <si>
    <t>sp|Q96NA8|TSNA1_HUMAN</t>
  </si>
  <si>
    <t>Q96NA8 TSNA1_HUMAN 1 TSNARE1 2 Q9ER00 STX12_MOUSE 12 STX12 Q39233 SYP21_ARATH 21 SYP21 Q5RBW6 STX12_PONAB Q86Y82 STX12_HUMAN Q3ZBT5 STX7_BOVIN 7 STX7 Q5R602 STX7_PONAB 3 O15400 STX7_HUMAN 4 O70257 STX7_RAT Q54JY7 STX7A_DICDI 7A SYN7A</t>
  </si>
  <si>
    <t xml:space="preserve">T SNARE DOMAIN CONTAINING HOMO SAPIENS PE SYNTAXIN MUS MUSCULUS ARABIDOPSIS THALIANA PONGO ABELII BOS TAURUS RATTUS NORVEGICUS DICTYOSTELIUM DISCOIDEUM </t>
  </si>
  <si>
    <t>Contig17857_58</t>
  </si>
  <si>
    <t xml:space="preserve"> CONTIG17857_58 GENEID_V1 3_PREDICTED_PROTEIN_58 260_AA CONTIG13737_2 3_PREDICTED_PROTEIN_2 270_AA CONTIG5530_6 3_PREDICTED_PROTEIN_6 341_AA CONTIG17780_13 3_PREDICTED_PROTEIN_13 1599_AA CONTIG17848_55 3_PREDICTED_PROTEIN_55 1110_AA CONTIG17447_21 3_PREDICTED_PROTEIN_21 457_AA CONTIG18047_245 3_PREDICTED_PROTEIN_245 740_AA CONTIG17953_160 3_PREDICTED_PROTEIN_160 1518_AA CONTIG17560_1 3_PREDICTED_PROTEIN_1 637_AA CONTIG17492_13 314_AA</t>
  </si>
  <si>
    <t>Syntaxin 13 - Drosophila melanogaster - synaptic vesicle docking during exocytosis - SNAP receptor activity - plasma membrane - neurotransmitter secretion - vesicle-mediated transport - female meiosis - male meiosis - mitosis - cytokinesis after meiosis I - cytokinesis after mitosis</t>
  </si>
  <si>
    <t>&lt;synaptic vesicle docking during exocytosis||cytoplasmic transport\, nurse cell to oocyte||regulation of purine nucleoside transport||regulation of mRNA export from nucleus||regulation of synaptic vesicle priming||regulation of catecholamine secretion||regulation of L\-glutamate transport||regulation of catecholamine secretion||regulation of intracellular transport||N\-glycan processing to lysosome||serotonin secretion by mast cell||serotonin secretion by basophil||regulation of inhibin secretion||regulation of immune system process||regulation of hypersensitivity||antifungal peptide secretion||antifungal peptide secretion||regulation of vesicle fusion||synaptic vesicle targeting||synaptic vesicle coating||synaptic vesicle priming||regulation of exocytosis||regulation of excretion||uterine wall growth||seed coat development||style development||style development||nectary development||head segmentation||lung development||eclosion rhythm||eclosion rhythm||enucleation||tube fusion||seed growth||innervation</t>
  </si>
  <si>
    <t>GO:0016081</t>
  </si>
  <si>
    <t>SynN 1e-008| SynN 3e-007|</t>
  </si>
  <si>
    <t>sp|Q753C1|SMP3_ASHGO</t>
  </si>
  <si>
    <t xml:space="preserve"> Ashbya gossypii</t>
  </si>
  <si>
    <t>Q753C1 SMP3_ASHGO 4 SMP3 3 2 Q54LY7 1</t>
  </si>
  <si>
    <t xml:space="preserve">GPI MANNOSYLTRANSFERASE ASHBYA GOSSYPII PE CRLE_DICDI CYCLIC AMP RECEPTOR LIKE E DICTYOSTELIUM DISCOIDEUM CRLE </t>
  </si>
  <si>
    <t>Contig17849_4</t>
  </si>
  <si>
    <t xml:space="preserve"> CONTIG17849_4 GENEID_V1 3_PREDICTED_PROTEIN_4 622_AA CONTIG17967_270 3_PREDICTED_PROTEIN_270 647_AA CONTIG17868_40 3_PREDICTED_PROTEIN_40 775_AA CONTIG17916_168 3_PREDICTED_PROTEIN_168 392_AA</t>
  </si>
  <si>
    <t>Contig7628_18</t>
  </si>
  <si>
    <t>G-protein-coupled receptor (GPCR) family protein - Dictyostelium discoideum - G-protein coupled receptor protein signaling pathway - membrane - G-protein coupled receptor activity</t>
  </si>
  <si>
    <t>G\-protein coupled receptor activity||transmembrane receptor activity||receptor activity||signal transducer activity||molecular transducer activity</t>
  </si>
  <si>
    <t>GO:0004930</t>
  </si>
  <si>
    <t>ND4 0.081|</t>
  </si>
  <si>
    <t xml:space="preserve"> Trypanosoma brucei gambiense DAL972</t>
  </si>
  <si>
    <t>sp|Q8MCR7|MATK_LATVE</t>
  </si>
  <si>
    <t xml:space="preserve"> Lathyrus vestitus</t>
  </si>
  <si>
    <t>Q8MCR7 3 1 Q9AFI0 CPSE_STRA5 Q04664 CPSE_STRA3 P24499 ATP6_TRYBB ATP6 2 O78453 Q9FLT5 AB9A_ARATH 9 ABCA9</t>
  </si>
  <si>
    <t xml:space="preserve">MATK_LATVE MATURASE K LATHYRUS VESTITUS MATK PE GALACTOSYL TRANSFERASE CPSE STREPTOCOCCUS AGALACTIAE SEROTYPE V III ATP SYNTHASE SUBUNIT A TRYPANOSOMA BRUCEI RNE_GUITH RIBONUCLEASE E HOMOLOG GUILLARDIA THETA RNE ABC TRANSPORTER FAMILY MEMBER ARABIDOPSIS THALIANA </t>
  </si>
  <si>
    <t>Contig18070_212</t>
  </si>
  <si>
    <t xml:space="preserve"> CONTIG18070_212 GENEID_V1 3_PREDICTED_PROTEIN_212 298_AA CONTIG17813_22 3_PREDICTED_PROTEIN_22 596_AA CONTIG17960_143 3_PREDICTED_PROTEIN_143 478_AA</t>
  </si>
  <si>
    <t>Contig17976_54</t>
  </si>
  <si>
    <t>ELOVL family member 7, elongation of long chain fatty acids (yeast) b - Danio rerio - molecular_function - biological_process</t>
  </si>
  <si>
    <t>7TMR-DISM_7TM 0.014| Sre 0.067|</t>
  </si>
  <si>
    <t>sp|P58501|GCFC1_MOUSE</t>
  </si>
  <si>
    <t>P58501 GCFC1_MOUSE 1 GCFC1 2 Q9Y5B6 GCFC1_HUMAN Q54BM7 Q7SA35 ALG10_NEUCR 10 3</t>
  </si>
  <si>
    <t xml:space="preserve">GC RICH SEQUENCE DNA BINDING FACTOR MUS MUSCULUS PE HOMO SAPIENS PPK_DICDI POLYPHOSPHATE KINASE DICTYOSTELIUM DISCOIDEUM PPKA ALPHA GLUCOSYLTRANSFERASE ALG NEUROSPORA CRASSA </t>
  </si>
  <si>
    <t>Contig17617_25</t>
  </si>
  <si>
    <t xml:space="preserve"> CONTIG17617_25 GENEID_V1 3_PREDICTED_PROTEIN_25 448_AA CONTIG18070_76 3_PREDICTED_PROTEIN_76 445_AA</t>
  </si>
  <si>
    <t>Contig11758_5</t>
  </si>
  <si>
    <t>similar to GC-rich sequence DNA-binding factor homolog - Rattus norvegicus - cytosol</t>
  </si>
  <si>
    <t>rplP0 0.012|</t>
  </si>
  <si>
    <t>sp|Q54GS1|CL16A_DICDI</t>
  </si>
  <si>
    <t>Q54GS1 CL16A_DICDI CLEC16A DDB_G0289943 3 1</t>
  </si>
  <si>
    <t xml:space="preserve">HOMOLOG DICTYOSTELIUM DISCOIDEUM PE </t>
  </si>
  <si>
    <t>Contig17944_78</t>
  </si>
  <si>
    <t xml:space="preserve"> CONTIG17944_78 GENEID_V1 3_PREDICTED_PROTEIN_78 358_AA CONTIG17743_53 3_PREDICTED_PROTEIN_53 814_AA CONTIG11008_2 3_PREDICTED_PROTEIN_2 67_AA CONTIG17773_29 3_PREDICTED_PROTEIN_29 1250_AA</t>
  </si>
  <si>
    <t>Contig17306_6</t>
  </si>
  <si>
    <t>topoisomerase (DNA) II beta - Danio rerio - DNA-dependent ATPase activity - chromosome segregation - DNA topological change - positive regulation of transcription from RNA polymerase II promoter - DNA topoisomerase (ATP-hydrolyzing) activity - DNA topoisomerase complex (ATP-hydrolyzing) - chromosome condensation - nucleus</t>
  </si>
  <si>
    <t>DNA\-dependent ATPase activity||ATPase activity\, coupled||ATPase activity||nucleoside\-triphosphatase activity||pyrophosphatase activity||hydrolase activity\, acting on acid anhydrides\, in phosphorus\-containing anhydrides||hydrolase activity\, acting on acid anhydrides||hydrolase activity||catalytic activity</t>
  </si>
  <si>
    <t>GO:0008094</t>
  </si>
  <si>
    <t>DNA topoisomerase complex (ATP\-hydrolyzing)||outer membrane\-bounded periplasmic space||external encapsulating structure part||cell part</t>
  </si>
  <si>
    <t>GO:0009330</t>
  </si>
  <si>
    <t>chromosome segregation||cellular process</t>
  </si>
  <si>
    <t>GO:0007059</t>
  </si>
  <si>
    <t>ND5 0.043| ND6 0.071| ND2 0.099|</t>
  </si>
  <si>
    <t>sp|P07706|NU5M_DROYA</t>
  </si>
  <si>
    <t>P07706 NU5M_DROYA 5 ND5 3 1 P18932 NU5M_DROME 2 4 B0FWD3 NU5M_AEDAE P33510 NU5M_ANOQU Q36428 NU5M_LOCMI P34854 NU5M_ANOGA Q34947 NU5M_LUMTE P03921 NU5M_MOUSE MTND5 Q8W9M6 NU5M_DUGDU P11661 NU5M_RAT</t>
  </si>
  <si>
    <t xml:space="preserve">NADH UBIQUINONE OXIDOREDUCTASE CHAIN DROSOPHILA YAKUBA MT PE MELANOGASTER AEDES AEGYPTI ANOPHELES QUADRIMACULATUS LOCUSTA MIGRATORIA GAMBIAE LUMBRICUS TERRESTRIS MUS MUSCULUS DUGONG DUGON RATTUS NORVEGICUS </t>
  </si>
  <si>
    <t>Contig8174_1</t>
  </si>
  <si>
    <t xml:space="preserve"> CONTIG8174_1 GENEID_V1 3_PREDICTED_PROTEIN_1 160_AA CONTIG8165_1 147_AA CONTIG8026_1 CONTIG7823_1 CONTIG7406_1 CONTIG7193_1 52_AA CONTIG28056_1 CONTIG22851_1 120_AA CONTIG22765_1 CONTIG22477_1</t>
  </si>
  <si>
    <t>mitochondrial NADH-ubiquinone oxidoreductase chain 5 - Drosophila melanogaster - NADH dehydrogenase (ubiquinone) activity - mitochondrion - mitochondrial respiratory chain complex I</t>
  </si>
  <si>
    <t>synaptosome||membrane fraction||insoluble fraction||cell fraction||cell part</t>
  </si>
  <si>
    <t>GO:0019717</t>
  </si>
  <si>
    <t>response to hypoxia||response to oxygen levels||response to chemical stimulus||response to stimulus</t>
  </si>
  <si>
    <t>GO:0001666</t>
  </si>
  <si>
    <t>COG5022 | ND5 8e-070| ND5 3e-038| ND5 2e-037| ND5 1e-035| ND5 4e-034| NADH5_C 2e-033| ND5 9e-026| NDH_I_L 6e-022| PRK06590 2e-020|</t>
  </si>
  <si>
    <t>sp|P47812|MK14_XENLA</t>
  </si>
  <si>
    <t xml:space="preserve"> Xenopus laevis</t>
  </si>
  <si>
    <t>P47812 MK14_XENLA 14 MAPK14 2 1 O62618 MK14A_DROME 14A MPK2 P70618 MK14_RAT 3 Q95NE7 MK14_PANTR P47811 MK14_MOUSE Q16539 MK14_HUMAN O02812 MK14_CANFA O61443 MK14B_DROME 14B P38B Q90336 MK14A_CYPCA MAPK14A Q15759 MK11_HUMAN 11 MAPK11</t>
  </si>
  <si>
    <t xml:space="preserve">MITOGEN ACTIVATED KINASE XENOPUS LAEVIS PE DROSOPHILA MELANOGASTER RATTUS NORVEGICUS PAN TROGLODYTES MUS MUSCULUS HOMO SAPIENS CANIS FAMILIARIS CYPRINUS CARPIO </t>
  </si>
  <si>
    <t>Contig17970_150</t>
  </si>
  <si>
    <t>1CONTIG17970_150 GENEID_V1 3_PREDICTED_PROTEIN_150 359_AA CONTIG17792_118 3_PREDICTED_PROTEIN_118 363_AA CONTIG17911_109 3_PREDICTED_PROTEIN_109 390_AA CONTIG17838_98 3_PREDICTED_PROTEIN_98 444_AA CONTIG17593_40 3_PREDICTED_PROTEIN_40 463_AA CONTIG17908_99 3_PREDICTED_PROTEIN_99 301_AA CONTIG17926_55 3_PREDICTED_PROTEIN_55 346_AA CONTIG18014_1 3_PREDICTED_PROTEIN_1 398_AA CONTIG17930_117 3_PREDICTED_PROTEIN_117 273_AA CONTIG17609_20 3_PREDICTED_PROTEIN_20 313_AA</t>
  </si>
  <si>
    <t>Mpk2 - Drosophila melanogaster - MAPKKK cascade - response to osmotic stress - MAP kinase activity - negative regulation of antimicrobial humoral response - immune response - response to stress - protein serine/threonine kinase activity - SAP kinase activity - protein amino acid phosphorylation - defense response - signal transduction - nucleus</t>
  </si>
  <si>
    <t>MAP kinase activity||receptor signaling protein serine/threonine kinase activity||protein serine/threonine kinase activity||protein kinase activity||phosphotransferase activity\, alcohol group as acceptor||transferase activity\, transferring phosphorus\-containing groups||transferase activity||catalytic activity</t>
  </si>
  <si>
    <t>GO:0004707</t>
  </si>
  <si>
    <t>MAPKKK cascade||protein kinase cascade||intracellular signaling cascade||signal transduction||regulation of cellular process||regulation of biological process||biological regulation</t>
  </si>
  <si>
    <t>GO:0000165</t>
  </si>
  <si>
    <t>STKc_p38 6e-082| STKc_p38alpha_MAPK14 6e-067| STKc_p38beta_MAPK11 7e-067| STKc_MAPK 1e-062| STKc_p38gamma_MAPK12 2e-056| STKc_p38delta_MAPK13 2e-054| STKc_ERK1_2_like 4e-051| STKc_ERK5 9e-050| STKc_Sty1_Hog1 2e-048| STKc_TEY_MAPK_plant 3e-047|</t>
  </si>
  <si>
    <t>Contig17896_35</t>
  </si>
  <si>
    <t xml:space="preserve"> Toxoplasma gondii ME49</t>
  </si>
  <si>
    <t>sp|Q01454|CTF4_YEAST</t>
  </si>
  <si>
    <t>Q01454 CTF4_YEAST CTF4 1 2 Q8IIG1 YK213_PLAF7 PF11_0213 3D7 P34739 TTF2_DROME</t>
  </si>
  <si>
    <t xml:space="preserve">DNA POLYMERASE ALPHA BINDING SACCHAROMYCES CEREVISIAE PE UNCHARACTERIZED PLASMODIUM FALCIPARUM ISOLATE TRANSCRIPTION TERMINATION FACTOR DROSOPHILA MELANOGASTER LDS </t>
  </si>
  <si>
    <t>Contig23494_1</t>
  </si>
  <si>
    <t xml:space="preserve"> CONTIG23494_1 GENEID_V1 3_PREDICTED_PROTEIN_1 59_AA CONTIG18056_41 3_PREDICTED_PROTEIN_41 253_AA CONTIG18012_94 3_PREDICTED_PROTEIN_94 311_AA CONTIG17982_69 3_PREDICTED_PROTEIN_69 305_AA CONTIG17965_16 3_PREDICTED_PROTEIN_16 593_AA CONTIG17837_13 3_PREDICTED_PROTEIN_13 571_AA CONTIG17787_3 3_PREDICTED_PROTEIN_3 1250_AA CONTIG17344_8 3_PREDICTED_PROTEIN_8 504_AA CONTIG15922_2 3_PREDICTED_PROTEIN_2 294_AA CONTIG17930_19 3_PREDICTED_PROTEIN_19 188_AA</t>
  </si>
  <si>
    <t>Contig17967_99</t>
  </si>
  <si>
    <t>Chromatin-associated protein, required for sister chromatid cohesion - Saccharomyces cerevisiae - nuclear chromosome - M phase - replicative cell aging - DNA binding - nucleus - DNA replication - DNA-dependent DNA replication - DNA repair - response to DNA damage stimulus - mitotic sister chromatid cohesion - nuclear replication fork - regulation of cell cycle</t>
  </si>
  <si>
    <t>nuclear chromosome||microsporocyte nucleus||nucleus||intracellular membrane\-bounded organelle||intracellular organelle||outer membrane\-bounded periplasmic space||external encapsulating structure part||cell part</t>
  </si>
  <si>
    <t>GO:0000228</t>
  </si>
  <si>
    <t>M phase||cell cycle phase||abortive mitotic cell cycle||cell cycle||cellular process</t>
  </si>
  <si>
    <t>GO:0000279</t>
  </si>
  <si>
    <t>LEF-4 0.034| 7TM_GPCR_Srz 0.067|</t>
  </si>
  <si>
    <t xml:space="preserve"> CONTIG2586_5 GENEID_V1 3_PREDICTED_PROTEIN_5 215_AA CONTIG17822_17 3_PREDICTED_PROTEIN_17 331_AA</t>
  </si>
  <si>
    <t>Contig17971_180</t>
  </si>
  <si>
    <t>unknown - Dictyostelium discoideum - molecular_function - cellular_component - biological_process</t>
  </si>
  <si>
    <t>Contig17979_4</t>
  </si>
  <si>
    <t>sp|Q9N0J9|CD81_SAGOE</t>
  </si>
  <si>
    <t xml:space="preserve"> Saguinus oedipus</t>
  </si>
  <si>
    <t>Q9N0J9 CD81_SAGOE CD81 2 1 P60034 CD81_PANTR P60033 CD81_HUMAN O97703 CD81_CERAE Q62745 CD81_RAT P35762 CD81_MOUSE Q3ZCD0 CD81_BOVIN P21926 CD9_HUMAN CD9 4 P30409 CD9_CERAE P40239 CD9_FELCA</t>
  </si>
  <si>
    <t xml:space="preserve">SAGUINUS OEDIPUS PE ANTIGEN PAN TROGLODYTES HOMO SAPIENS CERCOPITHECUS AETHIOPS RATTUS NORVEGICUS MUS MUSCULUS BOS TAURUS FELIS CATUS </t>
  </si>
  <si>
    <t>Contig17265_15</t>
  </si>
  <si>
    <t xml:space="preserve"> CONTIG17265_15 GENEID_V1 3_PREDICTED_PROTEIN_15 234_AA CONTIG17834_70 3_PREDICTED_PROTEIN_70 501_AA CONTIG9356_4 3_PREDICTED_PROTEIN_4 274_AA CONTIG17398_11 3_PREDICTED_PROTEIN_11 213_AA CONTIG17792_54 3_PREDICTED_PROTEIN_54 259_AA CONTIG8517_1 3_PREDICTED_PROTEIN_1 689_AA CONTIG18031_46 3_PREDICTED_PROTEIN_46 1861_AA</t>
  </si>
  <si>
    <t>Tetraspanin 2A - Drosophila melanogaster - integral to membrane</t>
  </si>
  <si>
    <t>&lt;activation of MAPK activity||negative regulation of homocysteine metabolic process||negative regulation of homocysteine metabolic process||gene silencing by miRNA\, production of miRNAs||gene silencing by miRNA\, production of miRNAs||regulation of insulin secretion||negative regulation of T cell mediated immunity||positive regulation of sevenless signaling pathway||negative regulation of embryo sac central cell differentiation||positive regulation of intermediate mesodermal cell fate specification||positive regulation of adult salivary gland boundary specification||positive regulation of adult salivary gland boundary specification||positive regulation of synaptic vesicle fusion to presynaptic membrane||positive regulation of sevenless signaling pathway||positive regulation of pole plasm oskar mRNA localization||regulation of fractalkine biosynthetic process||DNA recombinase assembly||positive regulation of collateral sprouting in the absence of injury||positive regulation of microtubule polymerization or depolymerization||gene silencing by miRNA\, negative regulation of translation</t>
  </si>
  <si>
    <t>GO:0000187</t>
  </si>
  <si>
    <t>Tetraspannin 3e-021| tetraspanin_LEL 2e-007| ND5 2e-007| DUF2154 4e-005| COX3 7e-005| ND6 1e-004| ND2 2e-004| ND2 2e-004| VKG_Carbox 3e-004| 7TMR-DISM_7TM 7e-004|</t>
  </si>
  <si>
    <t xml:space="preserve"> Ornithodoros coriaceus</t>
  </si>
  <si>
    <t>sp|Q54WU0|BZPC_DICDI</t>
  </si>
  <si>
    <t>Q54WU0 3 1 O14879 IFIT3_HUMAN IFIT3</t>
  </si>
  <si>
    <t xml:space="preserve">BZPC_DICDI PROBABLE BASIC LEUCINE ZIPPER TRANSCRIPTION FACTOR C DICTYOSTELIUM DISCOIDEUM BZPC PE INTERFERON INDUCED WITH TETRATRICOPEPTIDE REPEATS HOMO SAPIENS </t>
  </si>
  <si>
    <t>Contig17566_21</t>
  </si>
  <si>
    <t xml:space="preserve"> CONTIG17566_21 GENEID_V1 3_PREDICTED_PROTEIN_21 275_AA CONTIG17926_84 3_PREDICTED_PROTEIN_84 1663_AA CONTIG17837_23 3_PREDICTED_PROTEIN_23 132_AA CONTIG11084_13 3_PREDICTED_PROTEIN_13 296_AA CONTIG1080_1 3_PREDICTED_PROTEIN_1 84_AA CONTIG17296_1 207_AA CONTIG8946_2 3_PREDICTED_PROTEIN_2 976_AA</t>
  </si>
  <si>
    <t>Contig2852_1</t>
  </si>
  <si>
    <t>putative basic-leucine zipper (bZIP) transcription factor - Dictyostelium discoideum - protein dimerization activity - sequence-specific DNA binding - transcription factor activity - nucleus - regulation of transcription, DNA-dependent</t>
  </si>
  <si>
    <t>protein dimerization activity||protein binding||binding</t>
  </si>
  <si>
    <t>GO:0046983</t>
  </si>
  <si>
    <t>&amp;regulation of transcription\, DNA\-dependent||positive regulation of specific transcription from RNA polymerase II promoter||regulation of transcription\, DNA\-dependent||regulation of proteasomal ubiquitin\-dependent protein catabolic process||gene conversion at mating\-type locus\, DNA double\-strand break formation||meiotic DNA repair synthesis involved in reciprocal meiotic recombination||regulation of ascospore wall 1\,3\-beta\-glucan biosynthetic process||regulation of ascospore wall 1\,3\-beta\-glucan biosynthetic process||regulation of 4\,6\-pyruvylated galactose residue biosynthetic process||regulation of ascospore wall 1\,3\-beta\-glucan biosynthetic process||regulation of eIF2 alpha phosphorylation by amino acid starvation||cyclization of asparagine\, during protein splicing||positive regulation of protein maturation by peptide bond cleavage||regulation of peptidyl\-serine phosphorylation of STAT protein||regulation of pathway\-restricted SMAD protein phosphorylation||regulation of ascospore wall beta\-glucan biosynthetic process||regulation of pathway\-restricted SMAD protein phosphorylation||maintenance of fidelity during DNA\-dependent DNA replication||gene conversion at mating\-type locus\, DNA repair synthesis||meiotic strand invasion involved in meiotic gene conversion||positive regulation of mitochondrial RNA catabolic process||tRNA aminoacylation for mitochondrial protein translation||regulation of phosphatidylinositol biosynthetic process||regulation of phosphatidylinositol biosynthetic process||regulation of antimicrobial peptide biosynthetic process||positive regulation of macromolecule biosynthetic process||positive regulation of vitamin D biosynthetic process||regulation of eIF2 alpha phosphorylation by heme||regulation of chromatin silencing by small RNA||regulation of chromatin silencing by small RNA||regulation of glucosinolate biosynthetic process||regulation of salicylic acid biosynthetic process||regulation of polysaccharide biosynthetic process||substrate\-bound cell migration\, cell extension||regulation of intracellular protein transport||regulation of intracellular protein transport||regulation of smooth muscle cell migration||outward migration of deep nuclear neurons||inward migration of deep nuclear neurons||regulation of phagocytosis\, engulfment||negative regulation of leucine import||regulation of acetylcholine secretion||regulation of catecholamine secretion||regulation of gastric acid secretion||regulation of L\-arginine import||regulation of adenosine transport||neurotransmitter secretory pathway||regulation of cortisol secretion||regulation of activin secretion||regulation of protein secretion||protein secretion by platelet||regulation of lymphocyte anergy||leukocyte tethering or rolling||myeloid cell differentiation||detection of dietary excess||diet induced thermogenesis||response to dietary excess||synaptic vesicle budding||regulation of excretion||uterine wall growth||seed coat development||style development||style development||nectary development||head segmentation||lung development||eclosion rhythm||eclosion rhythm||enucleation||tube fusion||seed growth||innervation</t>
  </si>
  <si>
    <t>GO:0006355</t>
  </si>
  <si>
    <t>Contig17666_92</t>
  </si>
  <si>
    <t>putative stage II sporulation protein D - Carboxydothermus hydrogenoformans Z-2901 - biological_process - asexual sporulation</t>
  </si>
  <si>
    <t>COG5578 0.026| Serpentine_recp 0.029| DER1 0.051| 7TMR-DISM_7TM 0.070| CCC1_like 0.099|</t>
  </si>
  <si>
    <t>sp|O16099|MAL2_DROVI</t>
  </si>
  <si>
    <t xml:space="preserve"> Drosophila virilis</t>
  </si>
  <si>
    <t>O16099 MAL2_DROVI 2 MAV2 3 1 P21332 O16G_BACCE 6 P07192 MAL3_DROME P13080 MAL1 P07191 MAL1_DROME O16098 MAL1_DROVI MAV1 Q17058 MAL1_APIME P29094 O16G_BACTR Q45101 O16G_BACCO O05242 O16G3_BACSU</t>
  </si>
  <si>
    <t xml:space="preserve">MALTASE DROSOPHILA VIRILIS PE OLIGO GLUCOSIDASE BACILLUS CEREUS MALL PROBABLE L MELANOGASTER LVPL MALT_AEDAE AEDES AEGYPTI D LVPD ALPHA APIS MELLIFERA THERMOGLUCOSIDASIUS COAGULANS SUBTILIS YUGT </t>
  </si>
  <si>
    <t xml:space="preserve"> CONTIG17590_30 GENEID_V1 3_PREDICTED_PROTEIN_30 614_AA CONTIG17590_29 3_PREDICTED_PROTEIN_29 567_AA CONTIG17899_124 3_PREDICTED_PROTEIN_124 956_AA CONTIG17918_10 3_PREDICTED_PROTEIN_10 727_AA CONTIG18055_261 3_PREDICTED_PROTEIN_261 857_AA CONTIG17964_118 3_PREDICTED_PROTEIN_118 691_AA CONTIG17964_105 3_PREDICTED_PROTEIN_105 58_AA CONTIG17898_89 3_PREDICTED_PROTEIN_89 432_AA CONTIG17909_43 3_PREDICTED_PROTEIN_43 525_AA CONTIG17943_160 3_PREDICTED_PROTEIN_160 176_AA</t>
  </si>
  <si>
    <t>PRK10933 4e-048| AmyA 2e-040| Alpha-amylase 5e-037| Aamy 7e-034| PRK10785 1e-014| TreY 6e-008| GlgB 9e-008| malS 5e-007| PulA 1e-006| PRK09441 2e-006|</t>
  </si>
  <si>
    <t>sp|Q5NVM7|S61A2_PONAB</t>
  </si>
  <si>
    <t>Q5NVM7 S61A2_PONAB SEC61 2 SEC61A2 1 P61621 S61A1_RAT SEC61A1 Q5R5L5 S61A1_PONAB 3 P61620 S61A1_MOUSE P61619 S61A1_HUMAN Q5EA68 S61A1_BOVIN Q9JLR1 S61A2_MOUSE Q9H9S3 S61A2_HUMAN Q2KHX4 S61A2_BOVIN P38377 S61A1_CANFA</t>
  </si>
  <si>
    <t xml:space="preserve">TRANSPORT SUBUNIT ALPHA ISOFORM PONGO ABELII PE RATTUS NORVEGICUS MUS MUSCULUS HOMO SAPIENS BOS TAURUS CANIS FAMILIARIS </t>
  </si>
  <si>
    <t>Contig17893_55</t>
  </si>
  <si>
    <t>1CONTIG17893_55 GENEID_V1 3_PREDICTED_PROTEIN_55 477_AA CONTIG17438_17 3_PREDICTED_PROTEIN_17 146_AA CONTIG17689_57 3_PREDICTED_PROTEIN_57 1105_AA CONTIG17948_195 3_PREDICTED_PROTEIN_195 283_AA CONTIG17916_188 3_PREDICTED_PROTEIN_188 193_AA CONTIG17134_10 3_PREDICTED_PROTEIN_10 551_AA CONTIG17889_34 3_PREDICTED_PROTEIN_34 327_AA</t>
  </si>
  <si>
    <t>Sec61alpha - Drosophila melanogaster - SRP-dependent cotranslational protein targeting to membrane, translocation - protein transporter activity - translocon complex - cell death - cuticle development - dorsal closure - head involution</t>
  </si>
  <si>
    <t>protein transporter activity||substrate\-specific transporter activity||transporter activity</t>
  </si>
  <si>
    <t>GO:0008565</t>
  </si>
  <si>
    <t>&lt;translocon complex||intrinsic to contractile vacuolar membrane||intrinsic to contractile vacuolar membrane||intrinsic to chloroplast outer membrane||integral to chloroplast outer membrane||chloroplast outer membrane translocon||chloroplast outer membrane translocon||intrinsic to plastid outer membrane||integral to plastid outer membrane||clathrin coat of synaptic vesicle||longitudinal sarcoplasmic reticulum||chloroplast ATP synthase complex||plastid small ribosomal subunit||plastid small ribosomal subunit||intrinsic to plastid membrane||integral to plastid membrane||cyanelle thylakoid membrane||Mdm10/Mdm12/Mmm1 complex||Mdm10/Mdm12/Mmm1 complex||signal peptidase complex||clathrin vesicle coat||cytoplasmic vesicle part||peribacteroid fluid||COPII vesicle coat||melanosome membrane||chitosome membrane||troponin complex||troponin complex||cuticular plate||cell cortex part||radial spokehead||intracellular part||suberin network||lignin network||pectic matrix||Golgi membrane||axoneme part||cilium part||polarisome||aster||aster||conoid||conoid</t>
  </si>
  <si>
    <t>GO:0005784</t>
  </si>
  <si>
    <t>&lt;SRP\-dependent cotranslational protein targeting to membrane\, translocation||SRP\-dependent cotranslational protein targeting to membrane\, translocation||SRP\-dependent cotranslational protein targeting to membrane\, translocation||positive regulation of calcium ion\-dependent exocytosis||positive regulation of calcium ion\-dependent exocytosis||regulation of T cell mediated immune response to tumor cell||regulation of T cell mediated immune response to tumor cell||positive regulation of immunoglobulin secretion||negative regulation of retinal cell programmed cell death||negative regulation of cumulus cell differentiation||negative regulation of salivary gland boundary specification||BMP signaling pathway involved in forebrain neuron fate commitment||positive regulation of endothelial cell differentiation||negative regulation of synaptic growth at neuromuscular junction||negative regulation of synaptic growth at neuromuscular junction||positive regulation of T\-helper cell differentiation||positive regulation of oligodendrocyte differentiation||positive regulation of oligodendrocyte differentiation||negative regulation of cardiac muscle growth||negative regulation of sorocarp stalk cell differentiation||negative regulation of cardiac muscle growth||negative regulation of axon extension involved in regeneration||negative regulation of axon extension involved in regeneration||activation of signaling protein activity involved in unfolded protein response||nucleotide\-excision repair\, DNA damage removal||positive regulation of chromatin silencing||positive regulation of chromatin silencing||positive regulation of chromatin silencing||positive regulation of chromatin silencing||positive regulation of intracellular lipid transport||negative regulation of microglia differentiation||negative regulation of microglia differentiation||NK T cell lineage commitment</t>
  </si>
  <si>
    <t>GO:0006616</t>
  </si>
  <si>
    <t>PRK08568 1e-033| SecY 1e-021| SecY 5e-008| COG1031 0.073|</t>
  </si>
  <si>
    <t>sp|Q8VCC1|PGDH_MOUSE</t>
  </si>
  <si>
    <t>Q8VCC1 15 2 1 Q8MJY8 O08699 P15428 Q3T0C2 P70684 P48814 ADH1_CERCA ADH1 3 Q50L96 P48815 ADH2_CERCA ADH2 Q05114</t>
  </si>
  <si>
    <t xml:space="preserve">PGDH_MOUSE HYDROXYPROSTAGLANDIN DEHYDROGENASE MUS MUSCULUS HPGD PE PGDH_MACFA MACACA FASCICULARIS PGDH_RAT RATTUS NORVEGICUS PGDH_HUMAN HOMO SAPIENS PGDH_BOVIN BOS TAURUS PGDH_CAVPO CAVIA PORCELLUS ALCOHOL CERATITIS CAPITATA ADH_DROAN DROSOPHILA ANANASSAE ADH ADH_DROWI WILLISTONI </t>
  </si>
  <si>
    <t>Contig17866_7</t>
  </si>
  <si>
    <t xml:space="preserve"> CONTIG17866_7 GENEID_V1 3_PREDICTED_PROTEIN_7 260_AA CONTIG17883_62 3_PREDICTED_PROTEIN_62 252_AA CONTIG17883_63 3_PREDICTED_PROTEIN_63 265_AA CONTIG17883_64 3_PREDICTED_PROTEIN_64 304_AA CONTIG17883_65 3_PREDICTED_PROTEIN_65 296_AA CONTIG17406_5 3_PREDICTED_PROTEIN_5 264_AA CONTIG17406_6 3_PREDICTED_PROTEIN_6 376_AA CONTIG17968_48 3_PREDICTED_PROTEIN_48 259_AA CONTIG18042_86 3_PREDICTED_PROTEIN_86 379_AA CONTIG17940_84 3_PREDICTED_PROTEIN_84 251_AA</t>
  </si>
  <si>
    <t>zgc:56585 - Danio rerio - cellular_component</t>
  </si>
  <si>
    <t>prostaglandin E receptor activity||prostaglandin receptor activity||prostanoid receptor activity||icosanoid receptor activity||G\-protein coupled receptor activity||transmembrane receptor activity||receptor activity||signal transducer activity||molecular transducer activity</t>
  </si>
  <si>
    <t>GO:0004957</t>
  </si>
  <si>
    <t>transforming growth factor beta receptor signaling pathway||transmembrane receptor protein serine/threonine kinase signaling pathway||enzyme linked receptor protein signaling pathway||cell surface receptor linked signal transduction||signal transduction||regulation of cellular process||regulation of biological process||biological regulation</t>
  </si>
  <si>
    <t>GO:0007179</t>
  </si>
  <si>
    <t>fabG 4e-023| FabG 2e-022| COG4221 2e-020| DltE 2e-020| PRK08277 6e-019| fabG 2e-018| fabG 6e-018| PRK12939 1e-017| PRK06172 3e-017| fabG 4e-017|</t>
  </si>
  <si>
    <t xml:space="preserve"> Triatoma rubrovaria</t>
  </si>
  <si>
    <t>sp|P33502|NU1M_ANOQU</t>
  </si>
  <si>
    <t xml:space="preserve"> Anopheles quadrimaculatus</t>
  </si>
  <si>
    <t>P33502 NU1M_ANOQU 1 ND1 3 P34846 NU1M_ANOGA B0FWD8 NU1M_AEDAE P51937 NU1M_DROSU P07710 NU1M_DROYA P18929 NU1M_DROME 2 P09045 NU1M_LOCMI O63623 NU1M_DALCH O21077 NU1M_MYXGL Q37546 NU1M_LUMTE</t>
  </si>
  <si>
    <t xml:space="preserve">NADH UBIQUINONE OXIDOREDUCTASE CHAIN ANOPHELES QUADRIMACULATUS PE GAMBIAE MT AEDES AEGYPTI DROSOPHILA SUBOBSCURA YAKUBA MELANOGASTER LOCUSTA MIGRATORIA DALBULUS CHARLESI MYXINE GLUTINOSA LUMBRICUS TERRESTRIS </t>
  </si>
  <si>
    <t>Contig22712_1</t>
  </si>
  <si>
    <t xml:space="preserve"> CONTIG22712_1 GENEID_V1 3_PREDICTED_PROTEIN_1 33_AA CONTIG18055_236 3_PREDICTED_PROTEIN_236 514_AA CONTIG8176_1 37_AA CONTIG17902_61 3_PREDICTED_PROTEIN_61 637_AA CONTIG17970_292 3_PREDICTED_PROTEIN_292 136_AA CONTIG17714_5 3_PREDICTED_PROTEIN_5 459_AA CONTIG17335_26 3_PREDICTED_PROTEIN_26 424_AA CONTIG27361_1 196_AA CONTIG17453_14 3_PREDICTED_PROTEIN_14 996_AA CONTIG13663_1 873_AA</t>
  </si>
  <si>
    <t>mitochondrial NADH-ubiquinone oxidoreductase chain 1 - Drosophila melanogaster - NADH dehydrogenase (ubiquinone) activity - mitochondrion - mitochondrial respiratory chain complex I</t>
  </si>
  <si>
    <t>response to stress||response to stimulus</t>
  </si>
  <si>
    <t>GO:0006950</t>
  </si>
  <si>
    <t>ND1 e-148| ND1 e-115| NADHdh e-114| ND1 e-106| ND1 e-103| ND1 1e-089| ND1 5e-088| ND1 1e-087| ND1 8e-087| ND1 1e-086|</t>
  </si>
  <si>
    <t xml:space="preserve"> Streptomyces viridochromogenes DSM 40736</t>
  </si>
  <si>
    <t>sp|P33420|NIP80_YEAST</t>
  </si>
  <si>
    <t>P33420 NIP80_YEAST NIP100 1 2 Q09300 CL141_CAEEL 141 Q15MV7 RNPH_PSEA6 T6C 1087 3 B4F0D8 5 HI4320 P58944 Q5UQ24 YL205_MIMIV L205 MIMI_L205 Q92H62 ARP2 Q14957 NMDE3_HUMAN GRIN2C Q8TNY4</t>
  </si>
  <si>
    <t xml:space="preserve">SACCHAROMYCES CEREVISIAE PE C TYPE LECTIN DOMAIN CONTAINING CAENORHABDITIS ELEGANS CLEC RIBONUCLEASE PH PSEUDOALTEROMONAS ATLANTICA STRAIN BAA RPH MNMG_PROMH TRNA URIDINE CARBOXYMETHYLAMINOMETHYL MODIFICATION ENZYME MNMG PROTEUS MIRABILIS CARB_METMA CARBAMOYL PHOSPHATE SYNTHASE LARGE CHAIN METHANOSARCINA MAZEI CARB SERINE THREONINE KINASE ACANTHAMOEBA POLYPHAGA MIMIVIRUS RICKA_RICCN COMPLEX ACTIVATING RICKA RICKETTSIA CONORII GLUTAMATE RECEPTOR SUBUNIT EPSILON HOMO SAPIENS CARB_METAC ACETIVORANS </t>
  </si>
  <si>
    <t>Contig16870_4</t>
  </si>
  <si>
    <t xml:space="preserve"> CONTIG16870_4 GENEID_V1 3_PREDICTED_PROTEIN_4 151_AA CONTIG17920_31 3_PREDICTED_PROTEIN_31 623_AA CONTIG17817_36 3_PREDICTED_PROTEIN_36 2429_AA CONTIG17967_24 3_PREDICTED_PROTEIN_24 302_AA CONTIG17329_24 1715_AA CONTIG18051_124 3_PREDICTED_PROTEIN_124 521_AA CONTIG17937_23 3_PREDICTED_PROTEIN_23 406_AA CONTIG17870_25 3_PREDICTED_PROTEIN_25 191_AA CONTIG1187_1 3_PREDICTED_PROTEIN_1 836_AA CONTIG10091_1 1642_AA</t>
  </si>
  <si>
    <t>Contig17952_39</t>
  </si>
  <si>
    <t>Large subunit of the dynactin complex, which is involved in partitioning the mitotic spindle between mother and daughter cells - Saccharomyces cerevisiae - establishment of mitotic spindle orientation - astral microtubule - protein binding - spindle pole body - dynactin complex - cell cortex - microtubule binding - negative regulation of protein metabolic process</t>
  </si>
  <si>
    <t>astral microtubule||cytoplasmic microtubule||neurofilament cytoskeleton||intermediate filament cytoskeleton||cytoskeleton||intracellular non\-membrane\-bounded organelle||intracellular organelle||outer membrane\-bounded periplasmic space||external encapsulating structure part||cell part</t>
  </si>
  <si>
    <t>GO:0000235</t>
  </si>
  <si>
    <t>establishment of mitotic spindle orientation||establishment of mitotic spindle localization||establishment of spindle localization||microtubule cytoskeleton organization||cytoskeleton organization||organelle organization||cellular component organization</t>
  </si>
  <si>
    <t>GO:0000132</t>
  </si>
  <si>
    <t>COG1672 5e-004| PRK04028 6e-004| PRK01156 0.002| YMF19 0.009| PRK01194 0.010| SbcC 0.012| EzrA 0.015| Lon 0.019| PRK04778 0.019| GidA 0.025|</t>
  </si>
  <si>
    <t>sp|Q9V4U7|C6A14_DROME</t>
  </si>
  <si>
    <t>Q9V4U7 C6A14_DROME P450 6A14 CYP6A14 1 2 Q9V4U9 C6A13_DROME 6A13 CYP6A13 Q27593 CP6A8_DROME 6A8 CYP6A8 Q27902 CP6B4_PAPGL 6B4 CYP6B4 P82711 C6A19_DROME 6A19 CYP6A19 Q9V770 C6A17_DROME 6A17 CYP6A17 Q9V773 C6A20_DROME 6A20 CYP6A20 Q9V771 C6A23_DROME 6A23 CYP6A23 Q95036 CP6B5_PAPGL 6B5 CYP6B5 Q9VFP1 CP6D5_DROME 6D5 CYP6D5</t>
  </si>
  <si>
    <t xml:space="preserve">PROBABLE CYTOCHROME DROSOPHILA MELANOGASTER PE PAPILIO GLAUCUS FRAGMENT </t>
  </si>
  <si>
    <t>Contig1437_2</t>
  </si>
  <si>
    <t xml:space="preserve"> CONTIG1437_2 GENEID_V1 3_PREDICTED_PROTEIN_2 827_AA CONTIG1437_1 3_PREDICTED_PROTEIN_1 440_AA CONTIG17471_10 3_PREDICTED_PROTEIN_10 1016_AA CONTIG17471_9 3_PREDICTED_PROTEIN_9 518_AA CONTIG11633_9 516_AA CONTIG17471_4 3_PREDICTED_PROTEIN_4 531_AA CONTIG17471_7 3_PREDICTED_PROTEIN_7 520_AA CONTIG17471_6 3_PREDICTED_PROTEIN_6 CONTIG17471_5 3_PREDICTED_PROTEIN_5 492_AA CONTIG17471_8 3_PREDICTED_PROTEIN_8 2137_AA</t>
  </si>
  <si>
    <t>Contig1437_1</t>
  </si>
  <si>
    <t>Cyp6a14 - Drosophila melanogaster - microsome - electron carrier activity - membrane</t>
  </si>
  <si>
    <t>&lt;insecticide metabolic process||lipoprotein mediated signaling||regulation of natural killer cell mediated immune response to tumor cell||male courtship behavior||female genitalia morphogenesis||epithelial cell proliferation involved in prostatic bud elongation||epithelial cell proliferation involved in prostate gland development||spermatid differentiation||mating projection assembly||ovarian follicle cell adhesion||primary ovarian follicle growth during primary follicle stage||vitelline membrane formation in chorion\-containing eggshell||primary ovarian follicle growth during primary follicle stage||pre\-microRNA processing||positive regulation of posttranscriptional gene silencing||RNA interference\, conversion of ds siRNA to ss siRNA||regulation of complement activation\, classical pathway||inhibitory G\-protein coupled receptor phosphorylation||inhibitory G\-protein coupled receptor phosphorylation||negative regulation of SMAD protein complex assembly||regulation of activation of membrane attack complex||regulation of activation of membrane attack complex||positive regulation of synaptic vesicle priming||myelin formation in the central nervous system||regulation of vascular smooth muscle contraction||initiation of primordial ovarian follicle growth||posterior lateral line neuromast deposition||anterior lateral line neuromast deposition||glial cell migration in a lateral line nerve||peripheral nervous system neuron development||aorta smooth muscle tissue morphogenesis||regulation of prostatic bud formation||regulation of prostatic bud formation||mammary duct terminal end bud growth||initiation of neural tube closure||neural fold elevation formation||leading edge cell fate commitment||atrichoblast fate specification||muscle thin filament assembly||myoblast cell fate commitment||paraxial mesoderm morphogenesis||neural crest cell development||neural crest cell migration||mesenchymal cell development||hair follicle morphogenesis||root hair initiation||guard cell development||vegetative meristem growth||guard cell development||R8 cell development||ommatidial rotation||inner ear development||otolith formation||root meristem growth||lung induction||trachea formation||cornification||bract formation||organ maturation||eclosion rhythm||pollen adhesion||diapedesis||seed growth||cornification||innervation</t>
  </si>
  <si>
    <t>GO:0017143</t>
  </si>
  <si>
    <t>p450 2e-053| CypX 2e-031|</t>
  </si>
  <si>
    <t xml:space="preserve"> Strongylocentrotus purpuratus</t>
  </si>
  <si>
    <t>membrane fraction||insoluble fraction||cell fraction||cell part</t>
  </si>
  <si>
    <t>GO:0005624</t>
  </si>
  <si>
    <t>sp|Q5UQX4|YL884_MIMIV</t>
  </si>
  <si>
    <t>Q5UQX4 YL884_MIMIV CDC123 L884 MIMI_L884 3 1</t>
  </si>
  <si>
    <t xml:space="preserve">LIKE ACANTHAMOEBA POLYPHAGA MIMIVIRUS PE </t>
  </si>
  <si>
    <t>Contig17967_28</t>
  </si>
  <si>
    <t xml:space="preserve"> CONTIG17967_28 GENEID_V1 3_PREDICTED_PROTEIN_28 198_AA CONTIG17779_22 3_PREDICTED_PROTEIN_22 1970_AA</t>
  </si>
  <si>
    <t>putative membrane protein - Neorickettsia sennetsu str. Miyayama - molecular_function - biological_process - membrane</t>
  </si>
  <si>
    <t xml:space="preserve"> Escherichia coli (strain K12)</t>
  </si>
  <si>
    <t>conserved hypothetical protein - Vibrio cholerae O1 biovar El tor - molecular_function - cellular_component - biological_process</t>
  </si>
  <si>
    <t>sp|B4JB43|EIF3I_DROGR</t>
  </si>
  <si>
    <t xml:space="preserve"> Drosophila grimshawi</t>
  </si>
  <si>
    <t>B4JB43 EIF3I_DROGR 3 TRIP1 1 A7RM20 EIF3I_NEMVE V1G239264 B4I195 EIF3I_DROSE Q29L19 EIF3I_DROPS 2 B4GSH1 EIF3I_DROPE O02195 EIF3I_DROME B3N4C7 EIF3I_DROER B4Q354 EIF3I_DROSI B4N0L0 EIF3I_DROWI Q1HPW4 EIF3I_BOMMO</t>
  </si>
  <si>
    <t xml:space="preserve">EUKARYOTIC TRANSLATION INITIATION FACTOR SUBUNIT I DROSOPHILA GRIMSHAWI PE NEMATOSTELLA VECTENSIS SECHELLIA PSEUDOOBSCURA PERSIMILIS MELANOGASTER ERECTA SIMULANS WILLISTONI BOMBYX MORI </t>
  </si>
  <si>
    <t>Contig17970_698</t>
  </si>
  <si>
    <t>1CONTIG17970_698 GENEID_V1 3_PREDICTED_PROTEIN_698 325_AA CONTIG17728_17 3_PREDICTED_PROTEIN_17 349_AA CONTIG17967_15 3_PREDICTED_PROTEIN_15 340_AA CONTIG17898_86 3_PREDICTED_PROTEIN_86 336_AA CONTIG17897_10 3_PREDICTED_PROTEIN_10 460_AA CONTIG11084_16 3_PREDICTED_PROTEIN_16 335_AA CONTIG17619_65 3_PREDICTED_PROTEIN_65 937_AA CONTIG18037_30 3_PREDICTED_PROTEIN_30 467_AA CONTIG17965_166 3_PREDICTED_PROTEIN_166 862_AA CONTIG17558_41 3_PREDICTED_PROTEIN_41 900_AA</t>
  </si>
  <si>
    <t>Trip1 - Drosophila melanogaster - translation - translation initiation factor activity - eukaryotic translation initiation factor 3 complex - cytosol - translational initiation</t>
  </si>
  <si>
    <t>translation initiation factor activity||translation factor activity\, nucleic acid binding||translation regulator activity</t>
  </si>
  <si>
    <t>translation regulator activity</t>
  </si>
  <si>
    <t>translation factor activity\, nucleic acid binding</t>
  </si>
  <si>
    <t>GO:0003743</t>
  </si>
  <si>
    <t>eukaryotic translation initiation factor 3 complex||nuclear cyclin\-dependent protein kinase holoenzyme complex||cyclin\-dependent protein kinase holoenzyme complex||outer membrane\-bounded periplasmic space||external encapsulating structure part||cell part</t>
  </si>
  <si>
    <t>GO:0005852</t>
  </si>
  <si>
    <t>WD40 2e-026| COG2319 1e-014| WD40 2e-005| WD40 3e-005|</t>
  </si>
  <si>
    <t xml:space="preserve"> Simian immunodeficiency virus</t>
  </si>
  <si>
    <t>sp|P27977|ENV_SIVVG</t>
  </si>
  <si>
    <t xml:space="preserve"> Simian immunodeficiency virus agm.vervet (isolate AGM3)</t>
  </si>
  <si>
    <t>P27977 GP160 AGM3 3 1</t>
  </si>
  <si>
    <t xml:space="preserve">ENV_SIVVG ENVELOPE GLYCOPROTEIN SIMIAN IMMUNODEFICIENCY VIRUS AGM VERVET ISOLATE ENV PE </t>
  </si>
  <si>
    <t>Contig17866_58</t>
  </si>
  <si>
    <t xml:space="preserve"> CONTIG17866_58 GENEID_V1 3_PREDICTED_PROTEIN_58 77_AA CONTIG17778_56 3_PREDICTED_PROTEIN_56 106_AA</t>
  </si>
  <si>
    <t>Contig17935_54</t>
  </si>
  <si>
    <t>Ubiquitin-conjugating enzyme (E4), elongates polyubiquitin chains on substrate proteins - Saccharomyces cerevisiae - protein polyubiquitination - proteasome complex - nucleus - cytoplasm - ER-associated protein catabolic process - ubiquitin-ubiquitin ligase activity</t>
  </si>
  <si>
    <t>ubiquitin\-ubiquitin ligase activity||ubiquitin\-protein ligase activity||small conjugating protein ligase activity||acid\-amino acid ligase activity||ligase activity\, forming carbon\-nitrogen bonds||ligase activity||catalytic activity</t>
  </si>
  <si>
    <t>GO:0034450</t>
  </si>
  <si>
    <t>proteasome complex||outer membrane\-bounded periplasmic space||external encapsulating structure part||cell part</t>
  </si>
  <si>
    <t>GO:0000502</t>
  </si>
  <si>
    <t>protein polyubiquitination||protein ubiquitination||protein modification by small protein conjugation||protein modification by small protein conjugation or removal||protein modification process||cellular protein metabolic process||cellular biopolymer metabolic process||cellular macromolecule metabolic process||macromolecule metabolic process||metabolic process</t>
  </si>
  <si>
    <t>GO:0000209</t>
  </si>
  <si>
    <t>lacY 0.062|</t>
  </si>
  <si>
    <t>sp|Q96C86|DCPS_HUMAN</t>
  </si>
  <si>
    <t>Q96C86 1 2 Q9DAR7 Q8K4F7 Q8MIZ3 Q8MJJ7 Q9P7C9 NHM1 Q06151 DCS1 Q12123 DCS2_YEAST DCS2 3 Q9LHQ7 MCES1_ARATH N7 AT3G20650 Q80U59 K0232_MOUSE KIAA0232</t>
  </si>
  <si>
    <t xml:space="preserve">DCPS_HUMAN SCAVENGER MRNA DECAPPING ENZYME DCPS HOMO SAPIENS PE DCPS_MOUSE MUS MUSCULUS DCPS_RAT RATTUS NORVEGICUS DCPS_PIG SUS SCROFA DCPS_BOVIN BOS TAURUS DCPS_SCHPO SCHIZOSACCHAROMYCES POMBE DCPS_YEAST SACCHAROMYCES CEREVISIAE CAP GUANINE METHYLTRANSFERASE ARABIDOPSIS THALIANA UNCHARACTERIZED </t>
  </si>
  <si>
    <t>Contig17819_68</t>
  </si>
  <si>
    <t xml:space="preserve"> CONTIG17819_68 GENEID_V1 3_PREDICTED_PROTEIN_68 731_AA CONTIG17899_102 3_PREDICTED_PROTEIN_102 105_AA CONTIG17857_66 3_PREDICTED_PROTEIN_66 920_AA CONTIG17883_37 3_PREDICTED_PROTEIN_37 1412_AA CONTIG17835_2 3_PREDICTED_PROTEIN_2 454_AA CONTIG17335_25 3_PREDICTED_PROTEIN_25 127_AA CONTIG13466_2 202_AA CONTIG1916_6 3_PREDICTED_PROTEIN_6 149_AA CONTIG17952_182 3_PREDICTED_PROTEIN_182 103_AA CONTIG17938_23 3_PREDICTED_PROTEIN_23</t>
  </si>
  <si>
    <t>Caenorhabditis elegans - response to heat</t>
  </si>
  <si>
    <t>RNA binding||nucleic acid binding||binding</t>
  </si>
  <si>
    <t>GO:0003723</t>
  </si>
  <si>
    <t>&lt;deadenylation\-dependent decapping of nuclear\-transcribed mRNA||regulation of glycogen catabolic process||regulation of glycogen catabolic process||initiation of movement involved in cerebral cortex radial glia guided migration||B\-1 B cell lineage commitment||regulation of toll\-like receptor 9 signaling pathway||regulation of toll\-like receptor 9 signaling pathway||pole plasm protein localization||epithelial cell differentiation involved in mammary gland cord morphogenesis||cartilage development||follicle\-stimulating hormone signaling pathway||neurohypophysis morphogenesis||thyroid stimulating hormone secreting cell development||adenohypophysis morphogenesis||adenohypophysis morphogenesis||hemocyte migration||hemocyte migration||dichotomous subdivision of terminal units involved in ureteric bud branching||imaginal disc\-derived genitalia morphogenesis||imaginal disc\-derived genitalia morphogenesis||embryonic camera\-type eye morphogenesis||maturation of appressorium on or near host||maturation of appressorium on or near host||epidermal cell fate specification||motogenic signaling initiating cell movement in the cerebral cortex||embryonic camera\-type eye morphogenesis||post\-embryonic ectodermal gut morphogenesis||ventricular cardiac muscle cell development||smoothened signaling pathway involved in ventral spinal cord patterning||regulation of sevenless signaling pathway||regulation of compound eye retinal cell programmed cell death||sevenless signaling pathway||sevenless signaling pathway||regulation of erythrocyte differentiation||epidermal cell differentiation||negative regulation of appressorium maturation on or near host||generation of mature 5'\-end of LSU\-rRNA from tricistronic rRNA transcript (SSU\-rRNA\, 5.8S rRNA\, LSU\-rRNA)||JAK\-STAT cascade involved in growth hormone signaling pathway||fertilization\, exchange of chromosomal proteins||sister chromosome movement towards spindle pole during meiosis II||sister chromosome movement towards spindle pole during meiosis II||positive regulation of mitochondrial translational initiation||regulation of protein import into nucleus\, translocation||ascospore wall assembly||regulation of compound eye photoreceptor development||regulation of compound eye photoreceptor development||regulation of follicle cell microvillus organization||meiotic sister chromatid segregation||activation of JNKK activity||regulation of membrane potential in photoreceptor cell||synaptic vesicle fusion to presynaptic membrane||regulation of leukocyte activation||prevention of polyspermy||plastid membrane organization||spermatogenesis\, exchange of chromosomal proteins||regulation of pole plasm oskar mRNA localization||cleavage between 2S rRNA and LSU\-rRNA of tetracistronic rRNA transcript (SSU\-rRNA\, 5.8S rRNA\, 2S rRNA\, LSU\-rRNA)||cleavage between 5.8S rRNA and 2S rRNA of tetracistronic rRNA transcript (SSU\-rRNA\, 5.8S rRNA\, 2S rRNA\, LSU\-rRNA)||positive regulation of natriuresis by angiotensin||paranodal junction assembly||regulation of pole plasm oskar mRNA localization</t>
  </si>
  <si>
    <t>GO:0000290</t>
  </si>
  <si>
    <t>DcpS 9e-016| COG5075 6e-013|</t>
  </si>
  <si>
    <t>sp|P50269|ATP6_DROSI</t>
  </si>
  <si>
    <t xml:space="preserve"> Drosophila simulans</t>
  </si>
  <si>
    <t>sp|Q95SX7|RTBS_DROME</t>
  </si>
  <si>
    <t>Q95SX7 2 1 Q9NBX4 ORF2 3 P21328 P21329 Q80WC1 UBN2_MOUSE UBN2 Q6ZU65 UBN2_HUMAN Q6NGN2 IF2_CORDI A4FM34 IF2_SACEN 23338 Q15050 RRS1_HUMAN RRS1 Q9VCA8</t>
  </si>
  <si>
    <t xml:space="preserve">RTBS_DROME PROBABLE RNA DIRECTED DNA POLYMERASE FROM TRANSPOSON BS DROSOPHILA MELANOGASTER RTASE PE RTXE_DROME X ELEMENT RTJK_DROME MOBILE JOCKEY POL RTJK_DROFU FUNEBRIS UBINUCLEIN MUS MUSCULUS HOMO SAPIENS TRANSLATION INITIATION FACTOR IF CORYNEBACTERIUM DIPHTHERIAE INFB SACCHAROPOLYSPORA ERYTHRAEA STRAIN NRRL RIBOSOME BIOGENESIS REGULATORY HOMOLOG ANKHM_DROME ANKYRIN REPEAT KH DOMAIN CONTAINING MASK </t>
  </si>
  <si>
    <t>Contig17929_26</t>
  </si>
  <si>
    <t xml:space="preserve"> CONTIG17929_26 GENEID_V1 3_PREDICTED_PROTEIN_26 371_AA CONTIG1595_2 3_PREDICTED_PROTEIN_2 369_AA CONTIG8549_2 353_AA CONTIG17998_24 3_PREDICTED_PROTEIN_24 288_AA CONTIG17711_34 3_PREDICTED_PROTEIN_34 276_AA CONTIG17326_15 3_PREDICTED_PROTEIN_15 327_AA CONTIG18030_4 3_PREDICTED_PROTEIN_4 416_AA CONTIG17945_3 3_PREDICTED_PROTEIN_3 428_AA CONTIG17882_8 3_PREDICTED_PROTEIN_8 404_AA CONTIG17877_99 3_PREDICTED_PROTEIN_99 328_AA</t>
  </si>
  <si>
    <t>Contig17643_1</t>
  </si>
  <si>
    <t>AF4/FMR2 family, member 1 - Rattus norvegicus - nucleus - transcription activator activity - positive regulation of transcription, DNA-dependent</t>
  </si>
  <si>
    <t>transcription activator activity||transcription regulator activity</t>
  </si>
  <si>
    <t>transcription regulator activity</t>
  </si>
  <si>
    <t>transcription activator activity</t>
  </si>
  <si>
    <t>GO:0016563</t>
  </si>
  <si>
    <t>+positive regulation of transcription\, DNA\-dependent||nucleotide\-excision repair\, DNA duplex unwinding||negative regulation of anthocyanin metabolic process||nucleotide\-excision repair\, DNA damage removal||positive regulation of chromatin silencing|</t>
  </si>
  <si>
    <t>GO:0045893</t>
  </si>
  <si>
    <t>RT_nLTR_like 2e-007| MIP-T3 2e-004| Ebp2 6e-004| YjgP_YjgQ 0.001| ATP6 0.003| ND2 0.004| CTP_transf_1 0.004| ND5 0.021| MFS 0.021| Cytadhesin_P30 0.023|</t>
  </si>
  <si>
    <t xml:space="preserve"> Ixodes scapularis</t>
  </si>
  <si>
    <t>sp|P41996|CPG2_CAEEL</t>
  </si>
  <si>
    <t>P41996 CPG2_CAEEL 2 1 3 Q68F38 VAC14_XENLA VAC14 Q5R662 LRP12_PONAB 12 LRP12 Q8BUJ9 LRP12_MOUSE Q9BE74 LRP12_MACFA Q9Y561 LRP12_HUMAN</t>
  </si>
  <si>
    <t xml:space="preserve">CHONDROITIN PROTEOGLYCAN CAENORHABDITIS ELEGANS CPG PE HOMOLOG XENOPUS LAEVIS LOW DENSITY LIPOPROTEIN RECEPTOR RELATED PONGO ABELII MUS MUSCULUS FRAGMENT MACACA FASCICULARIS HOMO SAPIENS </t>
  </si>
  <si>
    <t>Contig2653_1</t>
  </si>
  <si>
    <t xml:space="preserve"> CONTIG2653_1 GENEID_V1 3_PREDICTED_PROTEIN_1 232_AA CONTIG17566_38 3_PREDICTED_PROTEIN_38 122_AA CONTIG2653_3 3_PREDICTED_PROTEIN_3 73_AA CONTIG17891_65 3_PREDICTED_PROTEIN_65 930_AA CONTIG17812_36 3_PREDICTED_PROTEIN_36 388_AA CONTIG17891_56 3_PREDICTED_PROTEIN_56 350_AA CONTIG16083_16 3_PREDICTED_PROTEIN_16 984_AA CONTIG13159_14 3_PREDICTED_PROTEIN_14 2794_AA CONTIG18028_55 3_PREDICTED_PROTEIN_55 556_AA CONTIG16177_6 3_PREDICTED_PROTEIN_6 376_AA</t>
  </si>
  <si>
    <t>Contig17566_38</t>
  </si>
  <si>
    <t>obstructor-B - Drosophila melanogaster - structural constituent of peritrophic membrane - chitin binding</t>
  </si>
  <si>
    <t>CBM_14 2e-010| ChtBD2 8e-010| ND5 0.011| ND4 0.021| RNA_pol_Rpb1_1 0.052| ND6 0.083|</t>
  </si>
  <si>
    <t>sp|Q7ZV82|RL27_DANRE</t>
  </si>
  <si>
    <t>Q7ZV82 RL27_DANRE 60S L27 RPL27 2 3 P61354 RL27_RAT A1XQU5 RL27_PIG 1 P61358 RL27_MOUSE Q4R8Z4 RL27_MACFA P61353 RL27_HUMAN P61355 RL27_CHICK P61357 RL27_CERNI P61356 RL27_BOVIN P61359 RL27_HIPCM</t>
  </si>
  <si>
    <t xml:space="preserve">RIBOSOMAL DANIO RERIO PE RATTUS NORVEGICUS SUS SCROFA MUS MUSCULUS MACACA FASCICULARIS HOMO SAPIENS GALLUS CERVUS NIPPON BOS TAURUS HIPPOCAMPUS COMES </t>
  </si>
  <si>
    <t>Contig17146_15</t>
  </si>
  <si>
    <t>1CONTIG17146_15 GENEID_V1 3_PREDICTED_PROTEIN_15 406_AA CONTIG17985_4 3_PREDICTED_PROTEIN_4 2271_AA CONTIG17546_5 3_PREDICTED_PROTEIN_5 268_AA CONTIG17781_20 3_PREDICTED_PROTEIN_20 912_AA CONTIG17832_21 3_PREDICTED_PROTEIN_21 836_AA CONTIG16646_1 3_PREDICTED_PROTEIN_1 541_AA CONTIG17963_66 3_PREDICTED_PROTEIN_66 294_AA CONTIG17849_36 3_PREDICTED_PROTEIN_36 115_AA CONTIG17832_74 3_PREDICTED_PROTEIN_74 1587_AA CONTIG17799_32 3_PREDICTED_PROTEIN_32 441_AA</t>
  </si>
  <si>
    <t>Ribosomal protein L27 - Drosophila melanogaster - translation - structural constituent of ribosome - cytosolic large ribosomal subunit - mitotic spindle elongation - mitotic spindle organization</t>
  </si>
  <si>
    <t>Ribosomal_L27e 4e-026| RPL14A 4e-014| 7TMR-DISM_7TM 7e-005| RNA_polI_A34 1e-004| TatC 6e-004| PRK11192 0.001| DUF1754 0.002| COG5578 0.003| COG0842 0.004| TLC 0.006|</t>
  </si>
  <si>
    <t>sp|P91745|PE48A_LUCCU</t>
  </si>
  <si>
    <t xml:space="preserve"> Lucilia cuprina</t>
  </si>
  <si>
    <t>P91745 PE48A_LUCCU 48 1 Q9W5U2 CHIT3_DROME 3 CHT3 2 A4WBF0 CVRA_ENT38 638 B7LSJ3 CVRA_ESCF3 35469 13698 0568 73 P08724 BAR1_CHIPA BR1 P53283 TPO2_YEAST TPO2 P13896 P08118 Q5WQ00 REPA1_BUCCC REPA1 P57095 AXN2_DANRE AXIN2</t>
  </si>
  <si>
    <t xml:space="preserve">PERITROPHIN LUCILIA CUPRINA PE PROBABLE CHITINASE DROSOPHILA MELANOGASTER CELL VOLUME REGULATION A ENTEROBACTER STRAIN CVRA ESCHERICHIA FERGUSONII ATCC DSM CDC BALBIANI RING FRAGMENT CHIRONOMUS PALLIDIVITTATUS POLYAMINE TRANSPORTER SACCHAROMYCES CEREVISIAE POLN_WEEV NON STRUCTURAL POLYPROTEIN WESTERN EQUINE ENCEPHALITIS VIRUS MSMB_HUMAN BETA MICROSEMINOPROTEIN HOMO SAPIENS MSMB REPLICATION ASSOCIATED BUCHNERA APHIDICOLA SUBSP CINARA CEDRI AXIN DANIO RERIO </t>
  </si>
  <si>
    <t>Contig17812_34</t>
  </si>
  <si>
    <t xml:space="preserve"> CONTIG17812_34 GENEID_V1 3_PREDICTED_PROTEIN_34 322_AA CONTIG17812_36 3_PREDICTED_PROTEIN_36 388_AA CONTIG2653_1 3_PREDICTED_PROTEIN_1 232_AA CONTIG17812_37 3_PREDICTED_PROTEIN_37 304_AA CONTIG2653_3 3_PREDICTED_PROTEIN_3 73_AA CONTIG17685_3 3237_AA CONTIG17930_12 3_PREDICTED_PROTEIN_12 686_AA CONTIG16578_1 655_AA CONTIG17954_144 3_PREDICTED_PROTEIN_144 527_AA CONTIG18021_1 489_AA</t>
  </si>
  <si>
    <t>CG6947 - Drosophila melanogaster - structural constituent of peritrophic membrane</t>
  </si>
  <si>
    <t>structural constituent of peritrophic membrane||structural molecule activity</t>
  </si>
  <si>
    <t>structural constituent of peritrophic membrane</t>
  </si>
  <si>
    <t>GO:0016490</t>
  </si>
  <si>
    <t>ChtBD2 0.001| CBM_14 0.003| 7tm_4 0.005| DltB 0.009|</t>
  </si>
  <si>
    <t>sp|A6H0N9|DNLJ_FLAPJ</t>
  </si>
  <si>
    <t xml:space="preserve"> Flavobacterium psychrophilum (strain JIP02/86 / ATCC 49511)</t>
  </si>
  <si>
    <t>A6H0N9 JIP02 86 49511 3 1</t>
  </si>
  <si>
    <t xml:space="preserve">DNLJ_FLAPJ DNA LIGASE FLAVOBACTERIUM PSYCHROPHILUM STRAIN ATCC LIGA PE </t>
  </si>
  <si>
    <t>Contig17881_78</t>
  </si>
  <si>
    <t xml:space="preserve"> CONTIG17881_78 GENEID_V1 3_PREDICTED_PROTEIN_78 1574_AA CONTIG17855_115 3_PREDICTED_PROTEIN_115 894_AA CONTIG17763_4 3_PREDICTED_PROTEIN_4 920_AA CONTIG18033_80 3_PREDICTED_PROTEIN_80 500_AA CONTIG17748_18 3_PREDICTED_PROTEIN_18 1579_AA</t>
  </si>
  <si>
    <t>Contig18051_8</t>
  </si>
  <si>
    <t>neurotrophic tyrosine kinase, receptor, type 2 - Rattus norvegicus - vasculogenesis - transmembrane receptor protein tyrosine kinase activity - neurotrophin receptor activity - protein binding - cytosol - plasma membrane - activation of adenylate cyclase activity - feeding behavior - cell surface - glutamate secretion - postsynaptic density - regulation of metabolic process - axon - dendrite - growth cone - brain-derived neurotrophic factor receptor signaling pathway - mechanoreceptor differentiation - cell soma - terminal button - dendritic spine - nerve terminal - retinal rod cell development - protein amino acid autophosphorylation - regulation of neurotransmitter secretion - brain-derived neurotrophic factor binding - presynaptic active zone - regulation of dendrite development - positive regulation of synaptic transmission, glutamatergic - excitatory synapse</t>
  </si>
  <si>
    <t>transmembrane receptor protein tyrosine kinase activity||transmembrane receptor protein kinase activity||protein kinase activity||phosphotransferase activity\, alcohol group as acceptor||transferase activity\, transferring phosphorus\-containing groups||transferase activity||catalytic activity</t>
  </si>
  <si>
    <t>GO:0004714</t>
  </si>
  <si>
    <t>cytosol||nuclear cyclin\-dependent protein kinase holoenzyme complex||cyclin\-dependent protein kinase holoenzyme complex||outer membrane\-bounded periplasmic space||external encapsulating structure part||cell part</t>
  </si>
  <si>
    <t>GO:0005829</t>
  </si>
  <si>
    <t>&lt;vasculogenesis||activation of prostate induction by androgen receptor signaling pathway||mesenchymal\-epithelial cell signaling involved in prostate induction||imaginal disc\-derived wing morphogenesis||regulation of branching involved in mammary gland duct morphogenesis||neural fold hinge point formation||corticospinal neuron axon guidance through the internal capsule||corticospinal neuron axon guidance through the basilar pons||regulation of intermediate mesodermal cell fate specification||positive regulation of establishment of turgor in appressorium||cytoskeletal rearrangement involved in phagocytosis\, engulfment||positive regulation of cytoplasmic mRNA processing body assembly||sexual spore wall assembly||substrate\-bound cell migration\, adhesion receptor recycling||plastid DNA metabolic process||negative regulation of mitotic sister chromatid segregation||negative regulation of mitotic sister chromatid segregation||regulation of tyrosine phosphorylation of STAT protein||regulation of antimicrobial peptide biosynthetic process||alignment of 3' and 5' splice sites of nuclear mRNA||regulation of telomere maintenance via recombination||positive regulation of acetylcholine metabolic process||negative regulation of lipoprotein lipid oxidation||regulation of N\-terminal protein palmitoylation||regulation of chromatin silencing by small RNA||DNA replication\, Okazaki fragment processing||regulation of reciprocal meiotic recombination||positive regulation of protein desumoylation||regulation of histone H3\-K9 methylation||RNA elongation from mitochondrial promoter||regulation of antisense RNA transcription||regulation of glucan biosynthetic process||regulation of cholesterol esterification||regulation of fatty acid beta\-oxidation||regulation of ketone biosynthetic process||heme oxidation||regulation of synaptic vesicle priming||establishment of organelle localization||regulation of ecdysteroid secretion||N\-glycan processing to lysosome||free ubiquitin chain polymerization||regulation of ubiquitin homeostasis||axon choice point recognition||regulation of axon extension||regulation of neuron maturation||neuroblast fate specification||glial cell fate specification||Sertoli cell fate commitment||notochord cell vacuolation||notochord cell development||dendrite morphogenesis||root hair initiation||guard cell development||stem cell maintenance||neuron maturation||myoblast maturation||pole cell formation||glial cell growth||myoblast fusion||cell wall assembly||male meiosis I||pollen adhesion||oocyte growth</t>
  </si>
  <si>
    <t>GO:0001570</t>
  </si>
  <si>
    <t>GTP binding||guanyl ribonucleotide binding||purine ribonucleotide binding||purine nucleotide binding||nucleotide binding||binding</t>
  </si>
  <si>
    <t>GO:0005525</t>
  </si>
  <si>
    <t>soluble fraction||cell fraction||cell part</t>
  </si>
  <si>
    <t>GO:0005625</t>
  </si>
  <si>
    <t>sp|O42997|YBC7_SCHPO</t>
  </si>
  <si>
    <t xml:space="preserve"> Schizosaccharomyces pombe</t>
  </si>
  <si>
    <t>O42997 YBC7_SCHPO C27B12 07 SPBC27B12 2 1 B3N4F1 EIF3H_DROER 3 3P40</t>
  </si>
  <si>
    <t xml:space="preserve">UNCHARACTERIZED SCHIZOSACCHAROMYCES POMBE PE EUKARYOTIC TRANSLATION INITIATION FACTOR SUBUNIT H DROSOPHILA ERECTA EIF </t>
  </si>
  <si>
    <t>Contig17819_86</t>
  </si>
  <si>
    <t xml:space="preserve"> CONTIG17819_86 GENEID_V1 3_PREDICTED_PROTEIN_86 127_AA CONTIG17819_89 3_PREDICTED_PROTEIN_89 128_AA CONTIG18061_145 3_PREDICTED_PROTEIN_145 129_AA CONTIG18061_144 3_PREDICTED_PROTEIN_144 CONTIG16882_2 3_PREDICTED_PROTEIN_2 168_AA CONTIG16882_1 3_PREDICTED_PROTEIN_1 150_AA CONTIG17940_69 3_PREDICTED_PROTEIN_69 CONTIG17834_16 3_PREDICTED_PROTEIN_16 636_AA CONTIG17940_72 3_PREDICTED_PROTEIN_72 CONTIG17940_70 3_PREDICTED_PROTEIN_70</t>
  </si>
  <si>
    <t>Contig17819_89</t>
  </si>
  <si>
    <t>conserved fungal protein - Schizosaccharomyces pombe - biological_process - molecular_function - mitochondrion</t>
  </si>
  <si>
    <t>ND5 6e-009| ND4 2e-008| PRK11192 6e-008| ND6 1e-007| ND2 1e-007| 7TM_GPCR_Srz 5e-007| RNA_polI_A34 6e-007| DUF1754 6e-007| ND5 2e-006| PTZ00074 7e-006|</t>
  </si>
  <si>
    <t>sp|Q659A1|NARG2_HUMAN</t>
  </si>
  <si>
    <t>Q659A1 NARG2_HUMAN 2 NARG2 1 Q0VCQ7 NARG2_BOVIN Q3UZ18 NARG2_MOUSE C1CQZ3 TAIWAN19F 14 3 C1CL71 P1031 C1CEV1 Q8DPE0 MECA_STRR6 255 R6 B1ICG3 HUNGARY19A 6 Q04JY5 MECA_STRP2 D39 7466 Q97Q68</t>
  </si>
  <si>
    <t xml:space="preserve">NMDA RECEPTOR REGULATED HOMO SAPIENS PE BOS TAURUS MUS MUSCULUS MECA_STRZT ADAPTER MECA STREPTOCOCCUS PNEUMONIAE STRAIN MECA_STRZP MECA_STRZJ JJA ATCC BAA MECA_STRPI SEROTYPE NCTC MECA_STRPN </t>
  </si>
  <si>
    <t>Contig17567_10</t>
  </si>
  <si>
    <t xml:space="preserve"> CONTIG17567_10 GENEID_V1 3_PREDICTED_PROTEIN_10 754_AA CONTIG8920_3 3_PREDICTED_PROTEIN_3 353_AA CONTIG17954_155 3_PREDICTED_PROTEIN_155 838_AA CONTIG7029_3 551_AA CONTIG18070_177 3_PREDICTED_PROTEIN_177 500_AA CONTIG17996_12 3_PREDICTED_PROTEIN_12 1493_AA CONTIG16596_2 3_PREDICTED_PROTEIN_2 845_AA CONTIG16158_1 3_PREDICTED_PROTEIN_1 1552_AA CONTIG15883_1 1099_AA CONTIG10456_5 3_PREDICTED_PROTEIN_5 1298_AA</t>
  </si>
  <si>
    <t>NMDA receptor regulated 2 - Rattus norvegicus - nucleus</t>
  </si>
  <si>
    <t>NARG2_C 3e-014| PSN 0.015|</t>
  </si>
  <si>
    <t>sp|Q23808|AQP_CICVR</t>
  </si>
  <si>
    <t xml:space="preserve"> Cicadella viridis</t>
  </si>
  <si>
    <t>Q23808 1 Q9NHW7 AAEL003512 2 Q7PWV1 AGAP008842 3 4 Q25074 Q9V5Z7 P47864 AQP5_RAT 5 AQP5 Q9WTY4 AQP5_MOUSE P56402 AQP2_MOUSE AQP2 A8W649 AQP5_PIG Q866S3 AQP5_SHEEP</t>
  </si>
  <si>
    <t xml:space="preserve">AQP_CICVR AQUAPORIN AQPCIC CICADELLA VIRIDIS AQP PE AQP_AEDAE AQPAE A AEDES AEGYPTI AQP_ANOGA AQPAN G ANOPHELES GAMBIAE AQP_HAEIX HAEMATOBIA IRRITANS EXIGUA AQP_DROME DROSOPHILA MELANOGASTER DRIP RATTUS NORVEGICUS MUS MUSCULUS SUS SCROFA OVIS ARIES </t>
  </si>
  <si>
    <t>Contig16870_3</t>
  </si>
  <si>
    <t xml:space="preserve"> CONTIG16870_3 GENEID_V1 3_PREDICTED_PROTEIN_3 246_AA CONTIG4234_4 3_PREDICTED_PROTEIN_4 327_AA CONTIG18057_246 3_PREDICTED_PROTEIN_246 177_AA CONTIG18057_243 3_PREDICTED_PROTEIN_243 430_AA CONTIG6631_4 280_AA CONTIG17372_8 3_PREDICTED_PROTEIN_8 373_AA CONTIG17759_3 126_AA CONTIG18057_245 3_PREDICTED_PROTEIN_245 70_AA CONTIG17847_80 3_PREDICTED_PROTEIN_80 370_AA CONTIG17984_13 3_PREDICTED_PROTEIN_13 816_AA</t>
  </si>
  <si>
    <t>Drip - Drosophila melanogaster - water transport - water transporter activity - water homeostasis - water channel activity - integral to membrane</t>
  </si>
  <si>
    <t>water transporter activity||substrate\-specific transporter activity||transporter activity</t>
  </si>
  <si>
    <t>GO:0005372</t>
  </si>
  <si>
    <t>water transport||fluid transport||transport||cellular localization||localization</t>
  </si>
  <si>
    <t>GO:0006833</t>
  </si>
  <si>
    <t>MIP 4e-045| MIP 5e-039| MIP 3e-038| GlpF 9e-031| PRK05420 1e-025| PTZ00016 3e-011| Rieske_proteo 0.010| MoeA_like 0.014| MetK 0.079|</t>
  </si>
  <si>
    <t>Contig3414_1</t>
  </si>
  <si>
    <t>ND2 0.082|</t>
  </si>
  <si>
    <t>sp|Q02645|HTS_DROME</t>
  </si>
  <si>
    <t>Q02645 1 2 Q8NFU7 TET1_HUMAN TET1 A6LEP5 DER_PARD8 8503 20701 11152 3</t>
  </si>
  <si>
    <t xml:space="preserve">HTS_DROME HU LI TAI SHAO DROSOPHILA MELANOGASTER HTS PE METHYLCYTOSINE DIOXYGENASE HOMO SAPIENS GTPASE DER PARABACTEROIDES DISTASONIS STRAIN ATCC DSM NCTC </t>
  </si>
  <si>
    <t>Contig17403_16</t>
  </si>
  <si>
    <t xml:space="preserve"> CONTIG17403_16 GENEID_V1 3_PREDICTED_PROTEIN_16 1687_AA CONTIG17403_8 3_PREDICTED_PROTEIN_8 566_AA CONTIG17921_28 3_PREDICTED_PROTEIN_28 690_AA CONTIG17077_19 3_PREDICTED_PROTEIN_19 1249_AA CONTIG17897_45 3_PREDICTED_PROTEIN_45 370_AA</t>
  </si>
  <si>
    <t>hu li tai shao - Drosophila melanogaster - ring canal formation, actin assembly - fusome - fusome organization - spectrosome - female germ-line cyst formation - germarium-derived oocyte fate determination - germline ring canal - germline ring canal inner rim - actin binding - germ-line cyst formation - spectrosome organization - cystoblast division - ovarian fusome organization - testicular fusome organization - meiotic spindle organization - centrosome organization - plasma membrane - lipid particle</t>
  </si>
  <si>
    <t>fusome||nuclear cyclin\-dependent protein kinase holoenzyme complex||cyclin\-dependent protein kinase holoenzyme complex||outer membrane\-bounded periplasmic space||external encapsulating structure part||cell part</t>
  </si>
  <si>
    <t>GO:0045169</t>
  </si>
  <si>
    <t>&lt;ring canal formation\, actin assembly||eggshell chorion gene amplification||plasma membrane fusion during cytogamy||acquisition of desiccation tolerance||acquisition of desiccation tolerance||regulation of teliospore formation||regulation of zoospore formation||regulation of JAK\-STAT cascade||regulation of anti\-apoptosis||regulation of anti\-apoptosis||regulation of anti\-apoptosis||regulation of tissue remodeling||regulation of bone remodeling||renal sodium ion transport||regulation of system process||regulation of natriuresis||endothelin maturation||progesterone secretion||regulation of ovulation||neuropore closure||pollen tube guidance||bone morphogenesis||leaf formation||shoot development||root development||eclosion rhythm||pollen adhesion||diapedesis||seed growth||cornification||innervation</t>
  </si>
  <si>
    <t>GO:0008302</t>
  </si>
  <si>
    <t>PRK06849 0.065| WTF 0.068|</t>
  </si>
  <si>
    <t>Rho guanyl\-nucleotide exchange factor activity||Ras guanyl\-nucleotide exchange factor activity||guanyl\-nucleotide exchange factor activity||GTPase regulator activity||nucleoside\-triphosphatase regulator activity||enzyme regulator activity</t>
  </si>
  <si>
    <t>GO:0005089</t>
  </si>
  <si>
    <t>&amp;regulation of Rho protein signal transduction||regulation of Ras protein signal transduction||positive regulation of protein kinase cascade||signal transduction downstream of smoothened||positive regulation of mitochondrial fusion||regulation of mitotic spindle elongation||regulation of microtubule polymerization||regulation of heterochromatin formation||regulation of histone ubiquitination||regulation of histone deacetylation||regulation of microtubule\-based process||vesicle fusion with nuclear membrane||regulation of chromosome condensation||mitotic metaphase plate congression||regulation of chromosome segregation||regulation of T cell chemotaxis||regulation of dephosphorylation||regulation of DNA methylation||regulation of mRNA cleavage||DNA replication termination||regulation of DNA ligation||cyclooxygenase pathway||cyclooxygenase pathway||lipoxygenase pathway||lipoxygenase pathway||equator specification||cell fate specification||stem cell development||Nebenkern formation||cell fate commitment||neuron maturation||neuron maturation||cell wall assembly||male meiosis I||pollen adhesion||oocyte growth</t>
  </si>
  <si>
    <t>GO:0035023</t>
  </si>
  <si>
    <t>sp|Q9Y383|LC7L2_HUMAN</t>
  </si>
  <si>
    <t>Q9Y383 LC7L2_HUMAN LUC7 2 LUC7L2 1 Q7TNC4 LC7L2_MOUSE Q9CYI4 LUC7L_MOUSE LUC7L Q9NQ29 LUC7L_HUMAN Q9USM4 LUC7_SCHPO U1 USP106 Q09217 YP68_CAEEL B0495 8 Q5R8W6 LC7L3_PONAB 3 LUC7L3 Q5SUF2 LC7L3_MOUSE O95232 LC7L3_HUMAN Q3SX41 LC7L3_BOVIN</t>
  </si>
  <si>
    <t xml:space="preserve">RNA BINDING LIKE HOMO SAPIENS PE MUS MUSCULUS SNRNP ASSOCIATED SCHIZOSACCHAROMYCES POMBE UNCHARACTERIZED CAENORHABDITIS ELEGANS PONGO ABELII BOS TAURUS </t>
  </si>
  <si>
    <t>Contig17364_25</t>
  </si>
  <si>
    <t xml:space="preserve"> CONTIG17364_25 GENEID_V1 3_PREDICTED_PROTEIN_25 317_AA CONTIG17818_55 3_PREDICTED_PROTEIN_55 335_AA CONTIG17952_38 3_PREDICTED_PROTEIN_38 492_AA CONTIG17898_2 3_PREDICTED_PROTEIN_2 796_AA CONTIG17959_72 3_PREDICTED_PROTEIN_72 687_AA CONTIG17607_79 3_PREDICTED_PROTEIN_79 854_AA CONTIG17823_39 3_PREDICTED_PROTEIN_39 1197_AA CONTIG17856_73 3_PREDICTED_PROTEIN_73 5714_AA CONTIG17665_23 3_PREDICTED_PROTEIN_23 221_AA CONTIG17909_85 3_PREDICTED_PROTEIN_85 412_AA</t>
  </si>
  <si>
    <t>CG7564 - Drosophila melanogaster - nuclear mRNA splicing, via spliceosome - U1 snRNP</t>
  </si>
  <si>
    <t>-negative regulation of striated muscle development||positive regulation of trichoblast fate specification||negative regulation of neutrophil differentiation||negative regulation of osteoclast differentiation||negative regulation of lymphocyte differentia</t>
  </si>
  <si>
    <t>GO:0045843</t>
  </si>
  <si>
    <t>LUC7 3e-060| LUC7 5e-028| COG1340 0.021| COG1813 0.030|</t>
  </si>
  <si>
    <t xml:space="preserve"> Plasmodium berghei</t>
  </si>
  <si>
    <t>sp|Q36421|COX1_LOCMI</t>
  </si>
  <si>
    <t xml:space="preserve"> Locusta migratoria</t>
  </si>
  <si>
    <t>Q36421 COX1_LOCMI 1 3 2</t>
  </si>
  <si>
    <t xml:space="preserve">CYTOCHROME C OXIDASE SUBUNIT LOCUSTA MIGRATORIA COI PE </t>
  </si>
  <si>
    <t>Contig22896_1</t>
  </si>
  <si>
    <t xml:space="preserve"> CONTIG22896_1 GENEID_V1 3_PREDICTED_PROTEIN_1 75_AA CONTIG17970_281 3_PREDICTED_PROTEIN_281 127_AA CONTIG17687_65 3_PREDICTED_PROTEIN_65 76_AA CONTIG17939_72 3_PREDICTED_PROTEIN_72 57_AA CONTIG17656_3 3_PREDICTED_PROTEIN_3 303_AA CONTIG18047_166 3_PREDICTED_PROTEIN_166 236_AA CONTIG11376_1 491_AA CONTIG18070_100 3_PREDICTED_PROTEIN_100 80_AA CONTIG17771_36 3_PREDICTED_PROTEIN_36 1026_AA CONTIG17952_169 3_PREDICTED_PROTEIN_169 54_AA</t>
  </si>
  <si>
    <t>Contig18012_42</t>
  </si>
  <si>
    <t>amphiregulin - Mus musculus - dichotomous subdivision of terminal units involved in mammary gland duct morphogenesis - mammary gland branching involved in thelarche - epithelial cell proliferation involved in mammary gland duct elongation - response to estradiol stimulus - mammary gland alveolus development - intracellular - cytoplasm - nucleus</t>
  </si>
  <si>
    <t>MADF_DNA_bdg 0.013| MADF 0.052| AA_permease 0.063|</t>
  </si>
  <si>
    <t>sp|P46222|RL11_DROME</t>
  </si>
  <si>
    <t>Ribosomal protein L11 - Drosophila melanogaster - translation - structural constituent of ribosome - cytosolic large ribosomal subunit - ribosome - protein binding - lipid particle - mitotic spindle elongation - mitotic spindle organization</t>
  </si>
  <si>
    <t>sp|Q0C8V9|DPP5_ASPTN</t>
  </si>
  <si>
    <t xml:space="preserve"> Aspergillus terreus (strain NIH 2624 / FGSC A1156)</t>
  </si>
  <si>
    <t>Q0C8V9 DPP5_ASPTN 5 2624 A1156 DPP5 3 1 Q9NRM1 2 Q3UZZ4 OLFM4_MOUSE 4 OLFM4 P23023</t>
  </si>
  <si>
    <t xml:space="preserve">PROBABLE DIPEPTIDYL PEPTIDASE ASPERGILLUS TERREUS STRAIN NIH FGSC PE ENAM_HUMAN ENAMELIN HOMO SAPIENS ENAM OLFACTOMEDIN MUS MUSCULUS DSX_DROME DOUBLESEX DROSOPHILA MELANOGASTER DSX </t>
  </si>
  <si>
    <t>Contig8020_1</t>
  </si>
  <si>
    <t xml:space="preserve"> CONTIG8020_1 GENEID_V1 3_PREDICTED_PROTEIN_1 127_AA CONTIG8126_1 97_AA CONTIG8103_1 CONTIG8065_1 CONTIG8058_1 CONTIG8042_1 CONTIG7989_1 CONTIG7988_1 CONTIG7960_1 CONTIG7937_1</t>
  </si>
  <si>
    <t>rRNA promoter binding protein - Rattus norvegicus - double-stranded DNA binding - transcription factor activity - transcription factor binding - cell proliferation - rRNA transcription</t>
  </si>
  <si>
    <t>extracellular space||apoplast||extracellular region</t>
  </si>
  <si>
    <t>apoplast</t>
  </si>
  <si>
    <t>GO:0005615</t>
  </si>
  <si>
    <t>Filament_head 0.075|</t>
  </si>
  <si>
    <t>sp|Q9H2Y9|SO5A1_HUMAN</t>
  </si>
  <si>
    <t>Q9H2Y9 SO5A1_HUMAN 5A1 SLCO5A1 2 Q9NYB5 SO1C1_HUMAN 1C1 SLCO1C1 1 Q9EPZ7 SO1C1_RAT Q8BGD4 SO4C1_MOUSE 4C1 SLCO4C1 Q8K078 SO4A1_MOUSE 4A1 SLCO4A1 Q9GMU6 SO1C1_MACFA Q99N01 SO4A1_RAT Q9ERB5 SO1C1_MOUSE Q71MB6 SO4C1_RAT Q6ZQN7 SO4C1_HUMAN</t>
  </si>
  <si>
    <t xml:space="preserve">SOLUTE CARRIER ORGANIC ANION TRANSPORTER FAMILY MEMBER HOMO SAPIENS PE RATTUS NORVEGICUS MUS MUSCULUS MACACA FASCICULARIS </t>
  </si>
  <si>
    <t>Contig17959_89</t>
  </si>
  <si>
    <t xml:space="preserve"> CONTIG17959_89 GENEID_V1 3_PREDICTED_PROTEIN_89 225_AA CONTIG17942_187 3_PREDICTED_PROTEIN_187 638_AA CONTIG17589_33 3_PREDICTED_PROTEIN_33 764_AA CONTIG17898_77 3_PREDICTED_PROTEIN_77 680_AA CONTIG17925_31 3_PREDICTED_PROTEIN_31 639_AA CONTIG17925_6 3_PREDICTED_PROTEIN_6 189_AA CONTIG17589_35 3_PREDICTED_PROTEIN_35 155_AA CONTIG17940_153 3_PREDICTED_PROTEIN_153 1292_AA CONTIG17654_2 3_PREDICTED_PROTEIN_2 282_AA CONTIG18046_15 3_PREDICTED_PROTEIN_15 423_AA</t>
  </si>
  <si>
    <t>Organic anion transporting polypeptide 58Dc - Drosophila melanogaster - organic anion transport - sodium-independent organic anion transmembrane transporter activity - integral to membrane - organic anion transmembrane transporter activity</t>
  </si>
  <si>
    <t>sodium\-independent organic anion transmembrane transporter activity||organic anion transmembrane transporter activity||anion transmembrane transporter activity||ion transmembrane transporter activity||substrate\-specific transmembrane transporter activity||substrate\-specific transporter activity||transporter activity</t>
  </si>
  <si>
    <t>GO:0015347</t>
  </si>
  <si>
    <t>organic anion transport||anion transport||ion transport||transport||cellular localization||localization</t>
  </si>
  <si>
    <t>GO:0015711</t>
  </si>
  <si>
    <t>OATP 2e-007| oat 5e-005| ND5 5e-005| ND6 8e-004| ND4 0.001| 7TM_GPCR_Srz 0.002| ND2 0.002| ND3 0.005| ND1 0.005| DUF2154 0.007|</t>
  </si>
  <si>
    <t xml:space="preserve"> Plasmodium vivax</t>
  </si>
  <si>
    <t>Contig18058_41</t>
  </si>
  <si>
    <t>sp|Q7Z1B8|S61G1_GRYOR</t>
  </si>
  <si>
    <t xml:space="preserve"> Gryllotalpa orientalis</t>
  </si>
  <si>
    <t>Q7Z1B8 S61G1_GRYOR SEC61 SEC61G 3 1 Q66KU2 SC61G_XENLA Q7SZU9 SC61G_GADMO P60060 SC61G_MOUSE 2 P60059 SC61G_HUMAN Q8I7D9 SC61G_CIOIN P60058 SC61G_CANFA Q962X7 SC61G_BRABE Q3T104 SC61G_BOVIN Q7T207 SC61G_HARAN</t>
  </si>
  <si>
    <t xml:space="preserve">TRANSPORT SUBUNIT GAMMA GRYLLOTALPA ORIENTALIS PE XENOPUS LAEVIS GADUS MORHUA MUS MUSCULUS HOMO SAPIENS CIONA INTESTINALIS CANIS FAMILIARIS BRANCHIOSTOMA BELCHERI BOS TAURUS HARPAGIFER ANTARCTICUS </t>
  </si>
  <si>
    <t>Contig17891_121</t>
  </si>
  <si>
    <t xml:space="preserve"> CONTIG17891_121 GENEID_V1 3_PREDICTED_PROTEIN_121 66_AA CONTIG17970_540 3_PREDICTED_PROTEIN_540 1293_AA CONTIG17848_89 3_PREDICTED_PROTEIN_89 315_AA CONTIG17635_9 3_PREDICTED_PROTEIN_9 301_AA CONTIG17292_18 3_PREDICTED_PROTEIN_18 529_AA CONTIG17871_15 3_PREDICTED_PROTEIN_15 1103_AA CONTIG17968_60 3_PREDICTED_PROTEIN_60 1253_AA CONTIG17900_62 3_PREDICTED_PROTEIN_62 125_AA CONTIG17882_10 3_PREDICTED_PROTEIN_10 500_AA CONTIG18047_180 3_PREDICTED_PROTEIN_180 266_AA</t>
  </si>
  <si>
    <t>Caenorhabditis elegans - embryonic development ending in birth or egg hatching - growth - nematode larval development - reproduction - molting cycle, collagen and cuticulin-based cuticle - oocyte growth - ovulation from ovarian follicle - intracellular protein transport</t>
  </si>
  <si>
    <t>Sss1 1e-015| SecE 4e-015| secE 2e-007| RNA_polI_A34 3e-004| Peptidase_S49_N 6e-004| PRK11192 0.002| TatC 0.002| DUF1754 0.002| PRK11778 0.003| DUF1682 0.010|</t>
  </si>
  <si>
    <t xml:space="preserve"> Anopheles gambiae str. PEST</t>
  </si>
  <si>
    <t>sp|Q24439|ATPO_DROME</t>
  </si>
  <si>
    <t>Q24439 2 B2B9A1 ATP5O 3 1 Q06647 Q2EN81 Q9DB20 B3EX21 P13621 P48047 Q5RD23 B1MT69</t>
  </si>
  <si>
    <t xml:space="preserve">ATPO_DROME ATP SYNTHASE SUBUNIT O MITOCHONDRIAL DROSOPHILA MELANOGASTER OSCP PE ATPO_RHIFE RHINOLOPHUS FERRUMEQUINUM ATPO_RAT RATTUS NORVEGICUS ATPO_PIG SUS SCROFA ATPO_MOUSE MUS MUSCULUS ATPO_SORAR SOREX ARANEUS ATPO_BOVIN BOS TAURUS ATPO_HUMAN HOMO SAPIENS ATPO_PONAB PONGO ABELII ATPO_CALMO CALLICEBUS MOLOCH </t>
  </si>
  <si>
    <t>Contig17635_30</t>
  </si>
  <si>
    <t xml:space="preserve"> CONTIG17635_30 GENEID_V1 3_PREDICTED_PROTEIN_30 209_AA CONTIG17720_9 3_PREDICTED_PROTEIN_9 1276_AA CONTIG17879_62 3_PREDICTED_PROTEIN_62 1198_AA CONTIG17569_39 3_PREDICTED_PROTEIN_39 604_AA CONTIG17592_48 3_PREDICTED_PROTEIN_48 413_AA CONTIG7453_2 3_PREDICTED_PROTEIN_2 724_AA CONTIG17964_33 3_PREDICTED_PROTEIN_33 744_AA CONTIG17920_24 3_PREDICTED_PROTEIN_24 89_AA CONTIG16127_1 3_PREDICTED_PROTEIN_1 316_AA</t>
  </si>
  <si>
    <t>Oligomycin sensitivity-conferring protein - Drosophila melanogaster - hydrogen-exporting ATPase activity, phosphorylative mechanism - proton transport - mitochondrial proton-transporting ATP synthase, central stalk - lipid particle</t>
  </si>
  <si>
    <t>&lt;mitochondrial proton\-transporting ATP synthase\, central stalk||mitochondrial proton\-transporting ATP synthase\, stator stalk||DNA replication factor C core complex||mitochondrial proton\-transporting ATP synthase\, central stalk||mitochondrial inner membrane peptidase complex||COMA complex||COMA complex||MCM complex||SSL2\-core TFIIH complex portion of holo TFIIH complex||nuclear proteasome regulatory particle\, base subcomplex||nuclear proteasome core complex\, beta\-subunit complex||lamin filament||core TFIIH complex portion of holo TFIIH complex||rDNA protrusion||outer kinetochore of condensed nuclear chromosome||outer kinetochore of condensed nuclear chromosome||glyoxysomal membrane||glyoxysomal membrane||mitochondrial glutamate synthase complex (NADH)||mitochondrial glutamate synthase complex (NADH)||UDP\-N\-acetylglucosamine transferase complex||Sec complex\-associated translocon complex||intrinsic to endoplasmic reticulum membrane||cytoplasmic part||UDP\-N\-acetylglucosamine transferase complex||Sec complex\-associated translocon complex||intrinsic to endoplasmic reticulum membrane||nuclear lamina||glycine\-gated chloride channel complex||Cdc48p\-Npl4p\-Ufd1p AAA ATPase complex||ionotropic glutamate receptor complex||clathrin coat of synaptic vesicle||intrinsic to plastid outer membrane||integral to plastid outer membrane||intrinsic to peroxisomal membrane||plasmodesmatal plasma membrane||oncostatin\-M receptor complex||integral to thylakoid membrane||succinate dehydrogenase complex||cyanelle thylakoid membrane||mitochondrial membrane part||Mdm10/Mdm12/Mmm1 complex||flagellar pocket membrane||signal peptidase complex||spindle pole centrosome||perichromatin fibrils||proplastid nucleoid||plastid chromosome||plastid chromosome||nucleoplasm part||nuclear membrane||RITS complex||Golgi cisterna||vesicle coat||CBF3 complex||stereocilium||snRNP U6||yolk plasma||C zone||C zone||aster||aster||mononeme||cell part</t>
  </si>
  <si>
    <t>GO:0005756</t>
  </si>
  <si>
    <t>OSCP 3e-022| AtpH 2e-016| PRK05758 3e-014| ND5 7e-013| ATP_synt_delta 3e-012| atpD 7e-011| PRK13429 7e-011| ND2 1e-009| ND4 3e-009| 7TM_GPCR_Srz 2e-008|</t>
  </si>
  <si>
    <t>Contig17739_5</t>
  </si>
  <si>
    <t>overgrown hematopoietic organs at 23B - Drosophila melanogaster - lymph gland development - translation - structural constituent of ribosome - cytoplasm - cytosolic small ribosomal subunit - ribosome binding</t>
  </si>
  <si>
    <t>lymph gland development||masculinization of hermaphrodite soma||hermaphrodite somatic sex determination||gametophyte development||multicellular organismal development||multicellular organismal process</t>
  </si>
  <si>
    <t>GO:0048542</t>
  </si>
  <si>
    <t>sp|Q4A900|SYR_MYCH7</t>
  </si>
  <si>
    <t xml:space="preserve"> Mycoplasma hyopneumoniae (strain 7448)</t>
  </si>
  <si>
    <t>Q4A900 SYR_MYCH7 7448 3 1 Q4AAT7 25934 10110 Q602D8 SYR_MYCH2 232 O91080 POL_HV1YF YBF30</t>
  </si>
  <si>
    <t xml:space="preserve">ARGINYL TRNA SYNTHETASE MYCOPLASMA HYOPNEUMONIAE STRAIN ARGS PE SYR_MYCHJ J ATCC NCTC GAG POL POLYPROTEIN HUMAN IMMUNODEFICIENCY VIRUS TYPE GROUP N ISOLATE </t>
  </si>
  <si>
    <t>Contig17963_37</t>
  </si>
  <si>
    <t xml:space="preserve"> CONTIG17963_37 GENEID_V1 3_PREDICTED_PROTEIN_37 234_AA CONTIG17963_39 3_PREDICTED_PROTEIN_39 226_AA CONTIG17887_30 3_PREDICTED_PROTEIN_30 245_AA CONTIG17887_27 3_PREDICTED_PROTEIN_27 274_AA CONTIG17677_42 3_PREDICTED_PROTEIN_42 435_AA CONTIG17896_50 3_PREDICTED_PROTEIN_50 247_AA CONTIG17700_53 3_PREDICTED_PROTEIN_53 238_AA CONTIG17920_113 3_PREDICTED_PROTEIN_113 596_AA CONTIG17887_148 3_PREDICTED_PROTEIN_148 255_AA CONTIG17887_15 3_PREDICTED_PROTEIN_15 249_AA</t>
  </si>
  <si>
    <t>mucin 16, cell surface associated - Rattus norvegicus - protein binding - extrinsic to membrane</t>
  </si>
  <si>
    <t>JHBP 2e-010| DUF233 0.012| PRK01269 0.025| PRK13414 0.026| ND4 0.044| DUF1754 0.077|</t>
  </si>
  <si>
    <t xml:space="preserve"> Serratia odorifera 4Rx13</t>
  </si>
  <si>
    <t>sp|A9KSE6|RL25_CLOPH</t>
  </si>
  <si>
    <t xml:space="preserve"> Clostridium phytofermentans (strain ATCC 700394 / DSM 18823 / ISDg)</t>
  </si>
  <si>
    <t>A9KSE6 RL25_CLOPH 50S L25 700394 18823 3 1 Q5SYL3 K0100_MOUSE UPF0378 KIAA0100 2 Q5UPD3 YR061_MIMIV R61 MIMI_R61 Q14667 K0100_HUMAN P46939 Q9VT28 P06175 A8GTT8 B0BVC7 A8F2U6 MIAB_RICM5 MTU5</t>
  </si>
  <si>
    <t xml:space="preserve">RIBOSOMAL CLOSTRIDIUM PHYTOFERMENTANS STRAIN ATCC DSM ISDG RPLY PE MUS MUSCULUS BTB POZ DOMAIN WD REPEAT ACANTHAMOEBA POLYPHAGA MIMIVIRUS HOMO SAPIENS UTRO_HUMAN UTROPHIN UTRN FRY_DROME FURRY DROSOPHILA MELANOGASTER FRY FLIC_SALRU FLAGELLIN SALMONELLA RUBISLAW FLIC MIAB_RICRS DIMETHYLALLYL ADENOSINE TRNA METHYLTHIOTRANSFERASE MIAB RICKETTSIA RICKETTSII SHEILA SMITH MIAB_RICRO IOWA MASSILIAE </t>
  </si>
  <si>
    <t>Contig7471_2</t>
  </si>
  <si>
    <t xml:space="preserve"> CONTIG7471_2 GENEID_V1 3_PREDICTED_PROTEIN_2 411_AA CONTIG1850_2 57 CONTIG1850_5 3_PREDICTED_PROTEIN_5 285_AA CONTIG7471_3 3_PREDICTED_PROTEIN_3 195_AA CONTIG1850_4 3_PREDICTED_PROTEIN_4 198_AA CONTIG18044_9 3_PREDICTED_PROTEIN_9 189_AA CONTIG16189_3 1834_AA CONTIG3371_9 1163_AA CONTIG17820_8 3_PREDICTED_PROTEIN_8 2849_AA CONTIG17804_138 3_PREDICTED_PROTEIN_138 190_AA</t>
  </si>
  <si>
    <t>Contig17651_7</t>
  </si>
  <si>
    <t>glycosyl hydrolase, family 30 - Colwellia psychrerythraea 34H - carbohydrate metabolic process - hydrolase activity, acting on glycosyl bonds</t>
  </si>
  <si>
    <t>&lt;rhabdomere development||regulation of axon extension involved in regeneration||axonal fasciculation||regulation of collateral sprouting of injured axon||regulation of synaptic growth at neuromuscular junction||root hair cell tip growth||regulation of collateral sprouting of injured axon||regulation of collateral sprouting of injured axon||regulation of collateral sprouting of injured axon||glial cell proliferation||myelin maintenance in the central nervous system||cerebral cortex GABAergic interneuron migration||regulation of epithelial to mesenchymal transition||myelin maintenance in the central nervous system||regulation of spermatid nuclear differentiation||oocyte maturation||columnar/cuboidal epithelial cell maturation||regulation of trichoblast fate specification||maintenance of imaginal histoblast diploidy||bud elongation involved in lung branching||paraxial mesodermal cell differentiation||bud elongation involved in lung branching||imaginal disc\-derived leg morphogenesis||retinal cone cell fate specification||eye photoreceptor cell fate commitment||eye photoreceptor cell differentiation||retinal cone cell fate commitment||lens induction in camera\-type eye||Malpighian tubule morphogenesis||embryonic hindgut morphogenesis||branch elongation of an epithelium||fish trap bristle morphogenesis||Malpighian tubule morphogenesis||embryonic hindgut morphogenesis||Lugaro cell differentiation||cerebellar cortex formation||R3/R4 cell fate commitment||olfactory placode formation||neural plate thickening||floor plate formation||neural fold folding||neural fold bending||neural fold folding||neural fold bending||dorsal convergence||face morphogenesis||head morphogenesis||lung induction||lung induction||pons formation||enucleation||diapedesis</t>
  </si>
  <si>
    <t>GO:0042052</t>
  </si>
  <si>
    <t>sp|Q5SZD4|GLYL3_HUMAN</t>
  </si>
  <si>
    <t>Q5SZD4 GLYL3_HUMAN 3 GLYATL3 2 P63423 1 P63424 Q5PI26 Q57LQ8 A1JL38 Y1169_YERE8 YE1169 8 1B 8081 Q8ZCG0 Y3031_YERPE YPO3031 Y1452 YP_2654 Q668I7 Y2753_YERPS YPTB2753 Q1C5T8 Y2219_YERPA YPA_2219 A4TMK1 Y2136_YERPP YPDSF_2136</t>
  </si>
  <si>
    <t xml:space="preserve">GLYCINE N ACYLTRANSFERASE LIKE HOMO SAPIENS PE YPEA_SALTY ACETYLTRANSFERASE YPEA SALMONELLA TYPHIMURIUM YPEA_SALTI TYPHI YPEA_SALPA PARATYPHI A YPEA_SALCH CHOLERAESUIS YERSINIA ENTEROCOLITICA SEROTYPE O BIOTYPE STRAIN UNCHARACTERIZED PESTIS PSEUDOTUBERCULOSIS BV ANTIQUA PESTOIDES F </t>
  </si>
  <si>
    <t>Contig17089_5</t>
  </si>
  <si>
    <t xml:space="preserve"> CONTIG17089_5 GENEID_V1 3_PREDICTED_PROTEIN_5 867_AA CONTIG13303_8 3_PREDICTED_PROTEIN_8 290_AA CONTIG17336_4 3_PREDICTED_PROTEIN_4 302_AA CONTIG13303_11 3_PREDICTED_PROTEIN_11 671_AA CONTIG13303_9 3_PREDICTED_PROTEIN_9 286_AA CONTIG5310_1 3_PREDICTED_PROTEIN_1 142_AA CONTIG17996_50 3_PREDICTED_PROTEIN_50 174_AA CONTIG17843_75 3_PREDICTED_PROTEIN_75 183_AA CONTIG17797_59 3_PREDICTED_PROTEIN_59 279_AA CONTIG7100_8 2006_AA</t>
  </si>
  <si>
    <t>putative phosphinothricin N-acetyltransferase - Carboxydothermus hydrogenoformans Z-2901 - N-acetyltransferase activity - response to chemical stimulus</t>
  </si>
  <si>
    <t>diamine N\-acetyltransferase activity||N\-acetyltransferase activity||N\-acyltransferase activity||acyltransferase activity||transferase activity\, transferring acyl groups other than amino\-acyl groups||transferase activity\, transferring acyl groups||transferase activity||catalytic activity</t>
  </si>
  <si>
    <t>GO:0004145</t>
  </si>
  <si>
    <t>spermine metabolic process||polyamine metabolic process||biogenic amine metabolic process||cellular amino acid derivative metabolic process||cellular amino acid and derivative metabolic process||cellular metabolic process||metabolic process</t>
  </si>
  <si>
    <t>GO:0008215</t>
  </si>
  <si>
    <t>FR47 7e-020| RimI 1e-007| Acetyltransf_1 3e-007| COG3393 1e-005| PRK03624 2e-005| COG1247 6e-005| Gly_acyl_tr_C 3e-004| Eis 4e-004| rimI 0.001| RimL 0.028|</t>
  </si>
  <si>
    <t>sp|O09111|NDUBB_MOUSE</t>
  </si>
  <si>
    <t>O09111 1 11 NDUFB11 2 Q8HXG5 Q6DQX6 Q0MQJ3 Q0MQJ5 Q9NX14 Q0MQJ4 Q10046 YRT3_CAEEL T07A5 3 Q139H7 BISB5 Q2IUI7 FCTA_RHOP2 HAA2</t>
  </si>
  <si>
    <t xml:space="preserve">NDUBB_MOUSE NADH DEHYDROGENASE BETA SUBCOMPLEX SUBUNIT MITOCHONDRIAL MUS MUSCULUS PE NDUBB_BOVIN BOS TAURUS NDUBB_CRIGR CRICETULUS GRISEUS NDUBB_PONPY PONGO PYGMAEUS NDUBB_PANTR PAN TROGLODYTES NDUBB_HUMAN HOMO SAPIENS NDUBB_GORGO GORILLA POTENTIAL VESICULAR GLUTAMATE TRANSPORTER CAENORHABDITIS ELEGANS FCTA_RHOPS FORMYL COENZYME A TRANSFERASE RHODOPSEUDOMONAS PALUSTRIS STRAIN FRC </t>
  </si>
  <si>
    <t>Contig16086_9</t>
  </si>
  <si>
    <t xml:space="preserve"> CONTIG16086_9 GENEID_V1 3_PREDICTED_PROTEIN_9 150_AA CONTIG18047_240 3_PREDICTED_PROTEIN_240 173_AA CONTIG17306_28 3_PREDICTED_PROTEIN_28 338_AA CONTIG17865_2 3_PREDICTED_PROTEIN_2 2928_AA CONTIG17313_16 3_PREDICTED_PROTEIN_16 216_AA CONTIG18047_223 3_PREDICTED_PROTEIN_223 178_AA</t>
  </si>
  <si>
    <t>NP15.6 - Drosophila melanogaster - biological_process - molecular_function - cellular_component</t>
  </si>
  <si>
    <t>sp|Q9VV43|Y4893_DROME</t>
  </si>
  <si>
    <t>Q9VV43 Y4893_DROME CG4893 2 1 Q9CRB6 TPPP3_MOUSE 3 TPPP3 Q3ZCC8 TPPP3_BOVIN Q5PPN5 TPPP3_RAT Q9BW30 TPPP3_HUMAN Q3T077 TPPP2_BOVIN TPPP2 P59282 TPPP2_HUMAN Q7TQD2 Q0P5Y3 TPPP2_MOUSE A4IIY2 TPPP3_XENTR</t>
  </si>
  <si>
    <t xml:space="preserve">TPPP FAMILY DROSOPHILA MELANOGASTER PE TUBULIN POLYMERIZATION PROMOTING MEMBER MUS MUSCULUS BOS TAURUS RATTUS NORVEGICUS HOMO SAPIENS TPPP_MOUSE XENOPUS TROPICALIS </t>
  </si>
  <si>
    <t>Contig17878_69</t>
  </si>
  <si>
    <t xml:space="preserve"> CONTIG17878_69 GENEID_V1 3_PREDICTED_PROTEIN_69 316_AA CONTIG17878_71 3_PREDICTED_PROTEIN_71 281_AA CONTIG17630_18 3_PREDICTED_PROTEIN_18 1196_AA CONTIG17405_2 3_PREDICTED_PROTEIN_2 315_AA CONTIG17896_134 3_PREDICTED_PROTEIN_134 1272_AA CONTIG17901_122 3_PREDICTED_PROTEIN_122 1833_AA CONTIG17592_38 3_PREDICTED_PROTEIN_38 233_AA CONTIG17558_32 3_PREDICTED_PROTEIN_32 910_AA CONTIG17896_65 3_PREDICTED_PROTEIN_65 2628_AA CONTIG17823_38 1829_AA</t>
  </si>
  <si>
    <t>Contig17878_71</t>
  </si>
  <si>
    <t>CG4893 - Drosophila melanogaster - biological_process - molecular_function - cellular_component</t>
  </si>
  <si>
    <t>p25-alpha 1e-049|</t>
  </si>
  <si>
    <t>sp|Q03168|ASPP_AEDAE</t>
  </si>
  <si>
    <t>Q03168 AAEL006169 1 2 Q9DEX3 P07339 O09043 P18242 Q05744 Q4LAL9 P80209 P24268 P16228 3</t>
  </si>
  <si>
    <t xml:space="preserve">ASPP_AEDAE LYSOSOMAL ASPARTIC PROTEASE AEDES AEGYPTI PE CATD_CLUHA CATHEPSIN D CLUPEA HARENGUS CTSD CATD_HUMAN HOMO SAPIENS NAPSA_MOUSE NAPSIN A MUS MUSCULUS NAPSA CATD_MOUSE CATD_CHICK GALLUS CATD_CANFA CANIS FAMILIARIS CATD_BOVIN BOS TAURUS CATD_RAT RATTUS NORVEGICUS CATE_RAT E CTSE </t>
  </si>
  <si>
    <t>Contig808_3</t>
  </si>
  <si>
    <t xml:space="preserve"> CONTIG808_3 GENEID_V1 3_PREDICTED_PROTEIN_3 384_AA CONTIG808_4 3_PREDICTED_PROTEIN_4 389_AA CONTIG5279_4 205_AA CONTIG17955_3 372_AA CONTIG808_2 3_PREDICTED_PROTEIN_2 629_AA CONTIG17697_6 3_PREDICTED_PROTEIN_6 399_AA CONTIG17577_45 3_PREDICTED_PROTEIN_45 239_AA CONTIG16285_5 3_PREDICTED_PROTEIN_5 400_AA CONTIG5656_3 202_AA CONTIG4265_1 3_PREDICTED_PROTEIN_1 305_AA</t>
  </si>
  <si>
    <t>Contig808_4</t>
  </si>
  <si>
    <t>lysosome||lytic vacuole||vacuole||nuclear cyclin\-dependent protein kinase holoenzyme complex||cyclin\-dependent protein kinase holoenzyme complex||outer membrane\-bounded periplasmic space||external encapsulating structure part||cell part</t>
  </si>
  <si>
    <t>GO:0005764</t>
  </si>
  <si>
    <t>Asp 8e-020| 7TMR-DISM_7TM 0.024| COG5273 0.027| COG5409 0.054| Serpentine_recp 0.055|</t>
  </si>
  <si>
    <t>sp|Q9NX36|DJC28_HUMAN</t>
  </si>
  <si>
    <t>Q9NX36 DJC28_HUMAN 28 DNAJC28 1 2 Q8VCE1 DJC28_MOUSE Q8TA83 DNJ10_CAEEL 10 Q55505 DNAJ1_SYNY3 6803 DNAJ1 3 Q24331 Q02VR5 SK11 A2RP20 MG1363 Q93Q66 B5YAR4 DNAJ_DICT6 35947 3960 6 12 P35514</t>
  </si>
  <si>
    <t xml:space="preserve">DNAJ HOMOLOG SUBFAMILY C MEMBER HOMO SAPIENS PE MUS MUSCULUS DNJ CAENORHABDITIS ELEGANS CHAPERONE SYNECHOCYSTIS STRAIN PCC TID_DROVI TUMOROUS IMAGINAL DISCS MITOCHONDRIAL DROSOPHILA VIRILIS L TID DNAJ_LACLS LACTOCOCCUS LACTIS SUBSP CREMORIS DNAJ_LACLM DNAJ_LACLC DICTYOGLOMUS THERMOPHILUM ATCC DSM H DNAJ_LACLA </t>
  </si>
  <si>
    <t>Contig4177_3</t>
  </si>
  <si>
    <t xml:space="preserve"> CONTIG4177_3 GENEID_V1 3_PREDICTED_PROTEIN_3 286_AA CONTIG17566_12 3_PREDICTED_PROTEIN_12 772_AA CONTIG17645_22 3_PREDICTED_PROTEIN_22 349_AA CONTIG17916_97 3_PREDICTED_PROTEIN_97 597_AA CONTIG17446_37 3_PREDICTED_PROTEIN_37 490_AA CONTIG17965_86 3_PREDICTED_PROTEIN_86 218_AA CONTIG17610_11 3_PREDICTED_PROTEIN_11 282_AA CONTIG17382_28 3_PREDICTED_PROTEIN_28 389_AA CONTIG17861_53 3_PREDICTED_PROTEIN_53 705_AA CONTIG13963_2 3_PREDICTED_PROTEIN_2 360_AA</t>
  </si>
  <si>
    <t>DnaJ homolog dnj-10 - Caenorhabditis elegans - protein binding</t>
  </si>
  <si>
    <t>patched binding||receptor binding||protein binding||binding</t>
  </si>
  <si>
    <t>GO:0005113</t>
  </si>
  <si>
    <t>smoothened signaling pathway||cell surface receptor linked signal transduction||signal transduction||regulation of cellular process||regulation of biological process||biological regulation</t>
  </si>
  <si>
    <t>GO:0007224</t>
  </si>
  <si>
    <t>DnaJ 2e-010| DnaJ 3e-008| DnaJ 4e-008| PRK10767 1e-005| PRK10266 2e-005| djlA 4e-005| CbpA 8e-005| SEC63 0.003| DjlA 0.039|</t>
  </si>
  <si>
    <t>RNA_polI_A34 2e-005| infB 4e-005| U79_P34 1e-004| ND4 2e-004| ND6 4e-004| PRK05244 0.001| MIP-T3 0.002| ND1 0.002| ND5 0.003| PRK11192 0.003|</t>
  </si>
  <si>
    <t>Contig17586_36</t>
  </si>
  <si>
    <t>ND2 6e-004| ATP6 0.002| ND5 0.002| ND4 0.010| ND5 0.015| Oxidored_q3 0.028| MreD 0.045|</t>
  </si>
  <si>
    <t>sp|P40423|SQH_DROME</t>
  </si>
  <si>
    <t>P40423 1 Q9CQ19 MYL9_MOUSE 9 MYL9 3 Q5RBA4 MYL9_PONAB 2 P29269 MYL9_PIG P24844 MYL9_HUMAN 4 P02612 P24032 Q5E9E2 MYL9_BOVIN Q5RC34 ML12A_PONAB 12A MYL12A P19105 ML12A_HUMAN</t>
  </si>
  <si>
    <t xml:space="preserve">SQH_DROME MYOSIN REGULATORY LIGHT CHAIN SQH DROSOPHILA MELANOGASTER PE POLYPEPTIDE MUS MUSCULUS PONGO ABELII SUS SCROFA HOMO SAPIENS MLRM_CHICK SMOOTH MUSCLE MAJOR ISOFORM GALLUS MLRN_CHICK MINOR BOS TAURUS </t>
  </si>
  <si>
    <t>Contig17965_34</t>
  </si>
  <si>
    <t>1CONTIG17965_34 GENEID_V1 3_PREDICTED_PROTEIN_34 175_AA CONTIG17564_11 3_PREDICTED_PROTEIN_11 205_AA CONTIG17952_1 3_PREDICTED_PROTEIN_1 439_AA CONTIG7667_2 3_PREDICTED_PROTEIN_2 170_AA CONTIG17797_80 3_PREDICTED_PROTEIN_80 153_AA CONTIG17895_22 3_PREDICTED_PROTEIN_22 190_AA CONTIG17939_31 3_PREDICTED_PROTEIN_31 332_AA CONTIG17739_38 3_PREDICTED_PROTEIN_38 184_AA CONTIG3831_5 3_PREDICTED_PROTEIN_5 116_AA CONTIG17475_36 3_PREDICTED_PROTEIN_36 334_AA</t>
  </si>
  <si>
    <t>spaghetti squash - Drosophila melanogaster - unconventional myosin complex - ovarian follicle cell development - ATPase activity, coupled - ovarian nurse cell to oocyte transport - cellularization - cytokinesis - imaginal disc-derived wing hair organization - border follicle cell migration - establishment of planar polarity - calcium ion binding - nuclear axial expansion - spindle midzone - cytoplasm - midbody - cleavage furrow - myosin heavy chain binding - regulation of actin cytoskeleton organization</t>
  </si>
  <si>
    <t>ATPase activity\, coupled||ATPase activity||nucleoside\-triphosphatase activity||pyrophosphatase activity||hydrolase activity\, acting on acid anhydrides\, in phosphorus\-containing anhydrides||hydrolase activity\, acting on acid anhydrides||hydrolase activity||catalytic activity</t>
  </si>
  <si>
    <t>GO:0042623</t>
  </si>
  <si>
    <t>unconventional myosin complex||myosin complex||cortical cytoskeleton||cytoskeleton||intracellular non\-membrane\-bounded organelle||intracellular organelle||outer membrane\-bounded periplasmic space||external encapsulating structure part||cell part</t>
  </si>
  <si>
    <t>GO:0016461</t>
  </si>
  <si>
    <t>&lt;ovarian follicle cell development||follicular fluid formation in ovarian follicle antrum during scattered antral spaces stage||follicular fluid formation in ovarian follicle antrum during distinct antral spaces stage||regulation of post\-mating oviposition||preantral ovarian follicle growth||ovulation cycle process||carpel structural organization||stamen structural organization||ovarian ring canal formation||positive regulation of asexual sporulation resulting in formation of a cellular spore||chemoattraction involved in interneuron migration from the subpallium to the cortex||chemorepulsion involved in interneuron migration from the subpallium to the cortex||regulation of T cell mediated cytotoxicity directed against tumor cell target||regulation of T cell mediated cytotoxicity directed against tumor cell target||bronchus cartilage morphogenesis||facial nerve structural organization||blood vessel endothelial cell proliferation during sprouting angiogenesis||secondary neural tube rod cavitation||neural rod cavitation||mammary gland cord formation||regulation of branching involved in mammary gland duct morphogenesis||neural rod formation||myotube cell development involved in skeletal muscle regeneration||epithelial cell proliferation involved in prostatic bud elongation||neural fold hinge point formation||tertiary branching involved in mammary gland duct morphogenesis||bud dilation involved in lung branching||bud dilation involved in lung branching||epithelial cell morphogenesis involved in placental branching||epithelial cell morphogenesis involved in placental branching||mesodermal cell migration||epithelial cell proliferation involved in lung bud dilation||negative regulation of retinal cone cell fate commitment||rhabdomere development||post\-embryonic retina morphogenesis in camera\-type eye||regulation of branchiomeric skeletal muscle development||long\-term strengthening of neuromuscular junction||long\-term strengthening of neuromuscular junction||long\-term strengthening of neuromuscular junction||cell adhesion involved in prostatic bud elongation||superior olivary nucleus structural organization||superior olivary nucleus structural organization||cell movement involved in somal translocation||ventral spinal cord interneuron fate commitment||peripheral nervous system neuron axonogenesis||regulation of mechanoreceptor differentiation||spinal cord commissural neuron specification||central nervous system neuron axonogenesis||central nervous system neuron differentiation||superior reticular formation development||glioblast cell division in the pallium||glioblast cell division in the pallium||regulation of central tolerance induction||post\-embryonic hindgut morphogenesis||somatic motor neuron fate commitment||corticospinal neuron axon guidance||rhombomere structural organization||pial surface process extension||anterior commissure morphogenesis||orbitofrontal cortex development||forebrain astrocyte development||interkinetic nuclear migration||elongation of arista lateral||specification of petal number||sepal formation||wing cell fate specification||multicellular organismal aging||Sertoli cell proliferation||Sertoli cell development||ovarian follicle atresia||progesterone secretion||optic placode formation||neural fold bending||neural fold bending||dorsal convergence||gonad morphogenesis||leg segmentation||fin morphogenesis||cytokine secretion||pollen hydration||pollen adhesion||diapedesis||seed growth||cornification||innervation</t>
  </si>
  <si>
    <t>GO:0030707</t>
  </si>
  <si>
    <t>FRQ1 1e-035| PTZ00184 1e-029| PTZ00183 2e-019| EFh 6e-008| EFh 3e-006| efhand 4e-005| ND6 0.002| ND2 0.007|</t>
  </si>
  <si>
    <t>sp|O74503|UAF30_SCHPO</t>
  </si>
  <si>
    <t>O74503 UAF30_SCHPO SPP27 1 A7GYN5 RL9_CAMC5 50S L9 525 92 3 O65155 P41541 USO1_BOVIN P115 USO1 B2TPX4 17B B2UY23 E43 E3 B1KTJ5 A3</t>
  </si>
  <si>
    <t xml:space="preserve">UPSTREAM ACTIVATION FACTOR SUBUNIT SCHIZOSACCHAROMYCES POMBE PE RIBOSOMAL CAMPYLOBACTER CURVUS STRAIN RPLI KELP_ARATH RNA POLYMERASE II TRANSCRIPTIONAL COACTIVATOR KELP ARABIDOPSIS THALIANA GENERAL VESICULAR TRANSPORT BOS TAURUS PGK_CLOBB PHOSPHOGLYCERATE KINASE CLOSTRIDIUM BOTULINUM EKLUND TYPE B PGK PGK_CLOBA ALASKA PGK_CLOBM LOCH MAREE </t>
  </si>
  <si>
    <t>Contig17372_9</t>
  </si>
  <si>
    <t xml:space="preserve"> CONTIG17372_9 GENEID_V1 3_PREDICTED_PROTEIN_9 269_AA CONTIG15905_1 3_PREDICTED_PROTEIN_1 755_AA CONTIG17558_47 3_PREDICTED_PROTEIN_47 288_AA CONTIG833_1 3463_AA</t>
  </si>
  <si>
    <t>RNA polymerase I upstream activation factor complex subunit Spp27 - Schizosaccharomyces pombe - RNA polymerase I upstream activating factor complex - RNA polymerase I transcription factor activity - protein binding - transcription from RNA polymerase I promoter - nucleus - cytosol</t>
  </si>
  <si>
    <t>RNA polymerase I transcription factor activity||transcription regulator activity</t>
  </si>
  <si>
    <t>RNA polymerase I transcription factor activity</t>
  </si>
  <si>
    <t>GO:0003701</t>
  </si>
  <si>
    <t>RNA polymerase I upstream activating factor complex||RNA polymerase I transcription factor complex||transcription factor complex||terminal cisterna lumen||sarcoplasmic reticulum lumen||endoplasmic reticulum lumen||intracellular organelle lumen||intracellular non\-membrane\-bounded organelle||intracellular organelle||outer membrane\-bounded periplasmic space||external encapsulating structure part||cell part</t>
  </si>
  <si>
    <t>GO:0000500</t>
  </si>
  <si>
    <t>transcription from RNA polymerase I promoter||transcription\, DNA\-dependent||transcription||cellular biopolymer biosynthetic process||cellular macromolecule biosynthetic process||cellular macromolecule metabolic process||macromolecule metabolic process||metabolic process</t>
  </si>
  <si>
    <t>GO:0006360</t>
  </si>
  <si>
    <t>ND2 4e-012| DEK_C 9e-012| ND5 5e-011| TFIIF_alpha 1e-010| Nop25 1e-009| Merozoite_SPAM 3e-009| YL1 8e-009| ND4 1e-008| TatC 1e-008| 7TM_GPCR_Srz 2e-008|</t>
  </si>
  <si>
    <t>sp|P24703|DAPB_COXBU</t>
  </si>
  <si>
    <t xml:space="preserve"> Coxiella burnetii</t>
  </si>
  <si>
    <t>P24703 3 2 A9NA71 331 1 A9KC25 5J108 111 B6J2F3 DAPB_COXB2 CBUG_Q212 B6J4U6 DAPB_COXB1 CBUK_Q154</t>
  </si>
  <si>
    <t xml:space="preserve">DAPB_COXBU DIHYDRODIPICOLINATE REDUCTASE COXIELLA BURNETII DAPB PE DAPB_COXBR STRAIN RSA HENZERLING II DAPB_COXBN DUGWAY </t>
  </si>
  <si>
    <t>Contig16129_5</t>
  </si>
  <si>
    <t xml:space="preserve"> CONTIG16129_5 GENEID_V1 3_PREDICTED_PROTEIN_5 229_AA CONTIG17970_281 3_PREDICTED_PROTEIN_281 127_AA CONTIG17898_11 3_PREDICTED_PROTEIN_11 813_AA CONTIG17687_65 3_PREDICTED_PROTEIN_65 76_AA CONTIG17967_281 291_AA CONTIG2539_5 220_AA CONTIG2201_4 3_PREDICTED_PROTEIN_4 244_AA CONTIG17441_11 CONTIG18047_166 3_PREDICTED_PROTEIN_166 236_AA CONTIG17666_62 3_PREDICTED_PROTEIN_62 1112_AA</t>
  </si>
  <si>
    <t>Contig17726_35</t>
  </si>
  <si>
    <t>Dorsal interacting protein 3 - Drosophila melanogaster - protein binding - nucleus - positive regulation of transcription - DNA binding - transcription factor activity</t>
  </si>
  <si>
    <t>positive regulation of transcription||positive regulation of nucleobase\, nucleoside\, nucleotide and nucleic acid metabolic process||regulation of nucleobase\, nucleoside\, nucleotide and nucleic acid metabolic process||regulation of nitrogen compound metabolic process||regulation of metabolic process||regulation of biological process||biological regulation</t>
  </si>
  <si>
    <t>GO:0045941</t>
  </si>
  <si>
    <t>MADF 1e-006|</t>
  </si>
  <si>
    <t>sp|Q9K6E4|TAL_BACHD</t>
  </si>
  <si>
    <t xml:space="preserve"> Bacillus halodurans</t>
  </si>
  <si>
    <t>Q9K6E4 3 1 A2AKY4 Z804A_MOUSE 804A ZNF804A 2 B1YEL0 TAL_EXIS2 17290 13490 255 15 Q5KUG6 Q9JMS3 K12 4 A4ITL5 NG80 Q7UZL7 6 7 8 CCMP1986 MED4 P83741 WNK1_MOUSE WNK1 Q2H922 PAN1_CHAGB PAN1 P19669</t>
  </si>
  <si>
    <t xml:space="preserve">TAL_BACHD PROBABLE TRANSALDOLASE BACILLUS HALODURANS TAL PE ZINC FINGER MUS MUSCULUS EXIGUOBACTERIUM SIBIRICUM STRAIN DSM JCM TAL_GEOKA GEOBACILLUS KAUSTOPHILUS YUAQ_ECOLI UNCHARACTERIZED YUAQ ESCHERICHIA COLI TAL_GEOTN THERMODENITRIFICANS RISB_PROMP DIMETHYL RIBITYLLUMAZINE SYNTHASE PROCHLOROCOCCUS MARINUS SUBSP PASTORIS RIBH SERINE THREONINE KINASE ACTIN CYTOSKELETON REGULATORY COMPLEX CHAETOMIUM GLOBOSUM TAL_BACSU SUBTILIS </t>
  </si>
  <si>
    <t>Contig17876_8</t>
  </si>
  <si>
    <t xml:space="preserve"> CONTIG17876_8 GENEID_V1 3_PREDICTED_PROTEIN_8 191_AA CONTIG16903_2 3_PREDICTED_PROTEIN_2 448_AA CONTIG999_1 3_PREDICTED_PROTEIN_1 603_AA CONTIG17965_2 792_AA CONTIG17971_200 3_PREDICTED_PROTEIN_200 843_AA CONTIG17834_38 3_PREDICTED_PROTEIN_38 804_AA CONTIG17851_79 3_PREDICTED_PROTEIN_79 192_AA CONTIG17851_72 3_PREDICTED_PROTEIN_72 124_AA CONTIG17851_71 3_PREDICTED_PROTEIN_71 207_AA CONTIG18051_97 3_PREDICTED_PROTEIN_97 1162_AA</t>
  </si>
  <si>
    <t>Contig17787_49</t>
  </si>
  <si>
    <t>WNK lysine deficient protein kinase 1 - Mus musculus - cytoplasm - soluble fraction - protein binding - protein kinase activity - protein amino acid phosphorylation - vesicular fraction - regulation of cellular process - ion transport</t>
  </si>
  <si>
    <t>FA_desaturase 5e-006| COG1215 5e-005| UgpE 8e-005| OPT 9e-005| Acyl_transf_3 1e-004| TatC 1e-004| DltB 1e-004| COG1266 1e-004| CTP_transf_1 3e-004| SCAMP 3e-004|</t>
  </si>
  <si>
    <t>Contig17942_212</t>
  </si>
  <si>
    <t xml:space="preserve"> Pseudomonas putida BIRD-1</t>
  </si>
  <si>
    <t>sp|Q67ES0|TR140_RAT</t>
  </si>
  <si>
    <t>Q67ES0 TR140_RAT 2 140 TAS2R140 3 1</t>
  </si>
  <si>
    <t xml:space="preserve">TASTE RECEPTOR TYPE MEMBER RATTUS NORVEGICUS PE </t>
  </si>
  <si>
    <t>Contig17911_15</t>
  </si>
  <si>
    <t xml:space="preserve"> CONTIG17911_15 GENEID_V1 3_PREDICTED_PROTEIN_15 568_AA CONTIG17943_13 3_PREDICTED_PROTEIN_13 528_AA CONTIG17928_41 3_PREDICTED_PROTEIN_41 553_AA CONTIG17765_90 3_PREDICTED_PROTEIN_90 169_AA CONTIG17943_164 3_PREDICTED_PROTEIN_164 1938_AA</t>
  </si>
  <si>
    <t>Contig18070_222</t>
  </si>
  <si>
    <t>Essential integral membrane protein that is required for translocation of Man5GlcNac2-PP-Dol from the cytoplasmic side to the lumenal side of the ER membrane but is not the flippase - Saccharomyces cerevisiae - molecular_function - endoplasmic reticulum membrane - protein amino acid N-linked glycosylation - glycolipid-translocating activity - glycolipid translocation</t>
  </si>
  <si>
    <t>&lt;endoplasmic reticulum membrane||ER proteasome regulatory particle\, base subcomplex||ER proteasome core complex\, beta\-subunit complex||proteasome regulatory particle\, base subcomplex||proteasome regulatory particle\, base subcomplex||nucleolar part||Sec complex\-associated translocon complex||intrinsic to endoplasmic reticulum membrane||actin capping protein of dynactin complex||condensed nuclear chromosome kinetochore||intermediate layer of spindle pole body||chiasma||platelet dense tubular network membrane||intrinsic to plastid outer membrane||integral to plastid outer membrane||plastid biotin carboxylase complex||chloroplast ATP synthase complex||snRNP U2||nuclear proteasome core complex||Swr1 complex||gamma DNA polymerase complex||mitochondrial membrane part||intrinsic to Golgi membrane||recycling endosome membrane||tertiary granule membrane||chromaffin granule lumen||peribacteroid membrane||clathrin vesicle coat||acidocalcisome membrane||peribacteroid fluid||COPII vesicle coat||melanosome membrane||chitosome membrane||plastid chromosome||proplastid stroma||etioplast stroma||cyanelle stroma||Toc complex||microbody part||yolk granule||snRNP U12||C zone||C zone||axon part||aster||aster||conoid||conoid</t>
  </si>
  <si>
    <t>GO:0005789</t>
  </si>
  <si>
    <t>ND6 0.019| 7TM_GPCR_Srh 0.046|</t>
  </si>
  <si>
    <t>sp|Q66KC4|HSDL2_XENTR</t>
  </si>
  <si>
    <t xml:space="preserve"> Xenopus tropicalis</t>
  </si>
  <si>
    <t>Q66KC4 HSDL2_XENTR 2 HSDL2 1 Q6PAY8 HSDL2_XENLA A4FUZ6 HSDL2_BOVIN Q5RA68 HSDL2_PONAB Q6YN16 HSDL2_HUMAN Q6P5L8 HSDL2_DANRE Q4V8F9 HSDL2_RAT Q2TPA8 HSDL2_MOUSE Q9X248 3 Q48436</t>
  </si>
  <si>
    <t xml:space="preserve">HYDROXYSTEROID DEHYDROGENASE LIKE XENOPUS TROPICALIS PE LAEVIS BOS TAURUS PONGO ABELII HOMO SAPIENS DANIO RERIO RATTUS NORVEGICUS MUS MUSCULUS FABG_THEMA OXOACYL REDUCTASE THERMOTOGA MARITIMA FABG BUDC_KLEPN DIACETYL KLEBSIELLA PNEUMONIAE BUDC </t>
  </si>
  <si>
    <t>Contig18032_73</t>
  </si>
  <si>
    <t>1CONTIG18032_73 GENEID_V1 3_PREDICTED_PROTEIN_73 2545_AA CONTIG17968_48 3_PREDICTED_PROTEIN_48 259_AA CONTIG16737_1 3_PREDICTED_PROTEIN_1 281_AA CONTIG17334_24 3_PREDICTED_PROTEIN_24 252_AA CONTIG17888_49 3_PREDICTED_PROTEIN_49 362_AA CONTIG17820_32 3_PREDICTED_PROTEIN_32 244_AA CONTIG17828_4 3_PREDICTED_PROTEIN_4 228_AA CONTIG17792_71 3_PREDICTED_PROTEIN_71 283_AA CONTIG17940_87 3_PREDICTED_PROTEIN_87 475_AA CONTIG17888_51 3_PREDICTED_PROTEIN_51 227_AA</t>
  </si>
  <si>
    <t>CG5590 - Drosophila melanogaster - oxidoreductase activity, acting on the CH-OH group of donors, NAD or NADP as acceptor - lipid particle</t>
  </si>
  <si>
    <t>glucose 1\-dehydrogenase activity||oxidoreductase activity\, acting on the CH\-OH group of donors\, NAD or NADP as acceptor||oxidoreductase activity\, acting on CH\-OH group of donors||oxidoreductase activity||catalytic activity</t>
  </si>
  <si>
    <t>GO:0047936</t>
  </si>
  <si>
    <t>PRK08278 3e-078| fabG 2e-031| PRK12939 2e-028| fabG 4e-028| fabG 2e-027| PRK12429 6e-026| fabG 1e-025| PRK12826 3e-025| PRK08324 3e-025| FabG 6e-024|</t>
  </si>
  <si>
    <t>spliceosome||microsporocyte nucleus||nucleus||intracellular membrane\-bounded organelle||intracellular organelle||outer membrane\-bounded periplasmic space||external encapsulating structure part||cell part</t>
  </si>
  <si>
    <t>GO:0005681</t>
  </si>
  <si>
    <t>nuclear mRNA splicing\, via spliceosome||RNA splicing\, via transesterification reactions with bulged adenosine as nucleophile||RNA splicing\, via transesterification reactions||RNA splicing||RNA processing||RNA metabolic process||cellular biopolymer metabolic process||cellular macromolecule metabolic process||macromolecule metabolic process||metabolic process</t>
  </si>
  <si>
    <t>GO:0000398</t>
  </si>
  <si>
    <t>Contig17970_400</t>
  </si>
  <si>
    <t xml:space="preserve"> CONTIG17970_400 GENEID_V1 3_PREDICTED_PROTEIN_400 961_AA</t>
  </si>
  <si>
    <t>Contig17781_20</t>
  </si>
  <si>
    <t>Protein of unknown function - Saccharomyces cerevisiae - molecular_function - cellular_component - biological_process</t>
  </si>
  <si>
    <t>7tm_4 0.003| YMF19 0.031| COG4758 0.037|</t>
  </si>
  <si>
    <t>sp|Q2KI76|SELS_BOVIN</t>
  </si>
  <si>
    <t>Q2KI76 2 Q9BQE4 1 3 Q8VHV8 Q6FWM4 MED2_CANGA MED2 Q9BCZ4 Q0VFV6 Q6AZH0 Q5ZKA3 CWC22_CHICK CWC22</t>
  </si>
  <si>
    <t xml:space="preserve">SELS_BOVIN SELENOPROTEIN S BOS TAURUS SELS PE SELS_HUMAN HOMO SAPIENS SELS_RAT RATTUS NORVEGICUS MEDIATOR RNA POLYMERASE II TRANSCRIPTION SUBUNIT CANDIDA GLABRATA SELS_MOUSE MUS MUSCULUS SELS_DANRE DANIO RERIO SELSA_XENLA A XENOPUS LAEVIS PRE MRNA SPLICING FACTOR HOMOLOG GALLUS </t>
  </si>
  <si>
    <t>Contig17971_367</t>
  </si>
  <si>
    <t xml:space="preserve"> CONTIG17971_367 GENEID_V1 3_PREDICTED_PROTEIN_367 110_AA CONTIG17988_64 3_PREDICTED_PROTEIN_64 226_AA CONTIG18022_46 3_PREDICTED_PROTEIN_46 788_AA CONTIG4806_1 3_PREDICTED_PROTEIN_1 161_AA CONTIG15927_2 3_PREDICTED_PROTEIN_2 112_AA CONTIG413_2 172_AA CONTIG17749_45 3_PREDICTED_PROTEIN_45 424_AA CONTIG168_2 300_AA</t>
  </si>
  <si>
    <t>selenoprotein S - Rattus norvegicus - anti-apoptosis - inflammatory response - redox signal response - ER overload response - response to glucose stimulus - antioxidant activity - enzyme binding - integral to endoplasmic reticulum membrane - ER-associated protein catabolic process - endoplasmic reticulum unfolded protein response - retrograde protein transport, ER to cytosol - negative regulation of interleukin-6 production - negative regulation of tumor necrosis factor production - very-low-density lipoprotein particle - low-density lipoprotein particle - cell redox homeostasis</t>
  </si>
  <si>
    <t>antioxidant activity</t>
  </si>
  <si>
    <t>GO:0016209</t>
  </si>
  <si>
    <t>integral to endoplasmic reticulum membrane||UDP\-N\-acetylglucosamine transferase complex||mitochondrial electron transfer flavoprotein complex||electron transfer flavoprotein complex||nuclear cyclin\-dependent protein kinase holoenzyme complex||cyclin\-dependent protein kinase holoenzyme complex||outer membrane\-bounded periplasmic space||external encapsulating structure part||cell part</t>
  </si>
  <si>
    <t>GO:0030176</t>
  </si>
  <si>
    <t>anti\-apoptosis||negative regulation of apoptosis||negative regulation of programmed cell death||negative regulation of cell death||negative regulation of cellular process||negative regulation of biological process||regulation of biological process||biological regulation</t>
  </si>
  <si>
    <t>GO:0006916</t>
  </si>
  <si>
    <t>Selenoprotein_S 5e-007| Caldesmon 0.027| COG1322 0.046| COG4717 0.055|</t>
  </si>
  <si>
    <t>sp|Q8IWX7|UN45B_HUMAN</t>
  </si>
  <si>
    <t>Q8IWX7 UN45B_HUMAN 45 UNC45B 2 1</t>
  </si>
  <si>
    <t xml:space="preserve">UNC HOMOLOG B HOMO SAPIENS PE </t>
  </si>
  <si>
    <t>Contig18055_88</t>
  </si>
  <si>
    <t xml:space="preserve"> CONTIG18055_88 GENEID_V1 3_PREDICTED_PROTEIN_88 376_AA CONTIG17918_26 3_PREDICTED_PROTEIN_26 651_AA CONTIG17780_3 3_PREDICTED_PROTEIN_3 62_AA CONTIG16876_4 3_PREDICTED_PROTEIN_4 200_AA</t>
  </si>
  <si>
    <t>Contig21877_1</t>
  </si>
  <si>
    <t>proline dehydrogenase/delta-1-pyrroline-5-carboxylate dehydrogenase, putative - Shewanella oneidensis MR-1 - 1-pyrroline-5-carboxylate dehydrogenase activity - proline dehydrogenase activity - proline catabolic process</t>
  </si>
  <si>
    <t>motor activity||nucleoside\-triphosphatase activity||pyrophosphatase activity||hydrolase activity\, acting on acid anhydrides\, in phosphorus\-containing anhydrides||hydrolase activity\, acting on acid anhydrides||hydrolase activity||catalytic activity</t>
  </si>
  <si>
    <t>GO:0003774</t>
  </si>
  <si>
    <t>axonemal dynein complex||dynein complex||neurofilament cytoskeleton||intermediate filament cytoskeleton||cytoskeleton||intracellular non\-membrane\-bounded organelle||intracellular organelle||outer membrane\-bounded periplasmic space||external encapsulating structure part||cell part</t>
  </si>
  <si>
    <t>GO:0005858</t>
  </si>
  <si>
    <t>ND6 0.072|</t>
  </si>
  <si>
    <t>sp|Q552D9|SMC3_DICDI</t>
  </si>
  <si>
    <t>Q552D9 SMC3_DICDI 3 SMC3 1 O74372 DUO1_SCHPO DUO1 2</t>
  </si>
  <si>
    <t xml:space="preserve">STRUCTURAL MAINTENANCE CHROMOSOME DICTYOSTELIUM DISCOIDEUM PE DASH COMPLEX SUBUNIT SCHIZOSACCHAROMYCES POMBE </t>
  </si>
  <si>
    <t>Contig17971_250</t>
  </si>
  <si>
    <t xml:space="preserve"> CONTIG17971_250 GENEID_V1 3_PREDICTED_PROTEIN_250 189_AA CONTIG17915_50 3_PREDICTED_PROTEIN_50 855_AA CONTIG17968_54 3_PREDICTED_PROTEIN_54 452_AA CONTIG17988_26 3_PREDICTED_PROTEIN_26 543_AA CONTIG17630_18 3_PREDICTED_PROTEIN_18 1196_AA CONTIG17724_11 3_PREDICTED_PROTEIN_11 1001_AA CONTIG17706_27 3_PREDICTED_PROTEIN_27 207_AA CONTIG17671_41 3_PREDICTED_PROTEIN_41 538_AA CONTIG17836_23 3_PREDICTED_PROTEIN_23 4849_AA CONTIG17764_26 463_AA</t>
  </si>
  <si>
    <t>DASH complex subunit Duo1 - Schizosaccharomyces pombe - molecular_function - DASH complex - mitotic spindle organization - sister chromatid biorientation - cellular protein localization</t>
  </si>
  <si>
    <t>DASH complex||condensed nuclear chromosome||nuclear chromosome||microsporocyte nucleus||nucleus||intracellular membrane\-bounded organelle||intracellular organelle||outer membrane\-bounded periplasmic space||external encapsulating structure part||cell part</t>
  </si>
  <si>
    <t>GO:0042729</t>
  </si>
  <si>
    <t>PRK12323 0.015| PRK07994 0.022| Metallothio 0.027| PRK07764 0.031| PRK05648 0.033| COG5028 0.037| PRK11855 0.044| aceF 0.059| PRK10263 0.091| PRK07003 0.096|</t>
  </si>
  <si>
    <t>sp|P01942|HBA_MOUSE</t>
  </si>
  <si>
    <t>P01942 1 2 P01943 P11750 P09420 P01945 P01930 P08852 P20854 P67818 P67817</t>
  </si>
  <si>
    <t xml:space="preserve">HBA_MOUSE HEMOGLOBIN SUBUNIT ALPHA MUS MUSCULUS HBA PE HBA_SPAEH SPALAX LEUCODON EHRENBERGI HBA_SPEPA SPERMOPHILUS PARRYII HBA_SPECI CITELLUS HBA_MESAU MESOCRICETUS AURATUS HBA_COLBA COLOBUS BADIUS HBA_MARMA MARMOTA HBA_CTEGU CTENODACTYLUS GUNDI HBA_SAGOE SAGUINUS OEDIPUS HBA_ATEGE ATELES GEOFFROYI </t>
  </si>
  <si>
    <t>Contig17759_28</t>
  </si>
  <si>
    <t xml:space="preserve"> CONTIG17759_28 GENEID_V1 3_PREDICTED_PROTEIN_28 1416_AA CONTIG3216_1 3_PREDICTED_PROTEIN_1 523_AA CONTIG2680_6 3_PREDICTED_PROTEIN_6 541_AA CONTIG17959_3 3_PREDICTED_PROTEIN_3 390_AA CONTIG16427_3 378_AA CONTIG15883_11 3_PREDICTED_PROTEIN_11 106_AA CONTIG17905_75 3_PREDICTED_PROTEIN_75 418_AA CONTIG17895_3 573_AA CONTIG17924_18 3_PREDICTED_PROTEIN_18 721_AA CONTIG18021_18 1015_AA</t>
  </si>
  <si>
    <t>Contig17525_3</t>
  </si>
  <si>
    <t>hemoglobin alpha, adult chain 1 - Mus musculus - in utero embryonic development - erythrocyte development</t>
  </si>
  <si>
    <t>beta\-amyloid binding||protein binding||binding</t>
  </si>
  <si>
    <t>GO:0001540</t>
  </si>
  <si>
    <t>in utero embryonic development||chordate embryonic development||embryonic development ending in birth or egg hatching||plantlet formation on parent plant||multicellular organism reproduction||multicellular organismal process</t>
  </si>
  <si>
    <t>GO:0001701</t>
  </si>
  <si>
    <t>globin 4e-025| Globin 7e-021| Hmp 4e-005| Gag_spuma 0.028| IB 0.079|</t>
  </si>
  <si>
    <t>sp|Q962Q8|RS21_SPOFR</t>
  </si>
  <si>
    <t xml:space="preserve"> Spodoptera frugiperda</t>
  </si>
  <si>
    <t>Q962Q8 RS21_SPOFR 40S S21 RPS21 3 1 Q6PUF8 RS21_BOMMO Q6F477 RS21_PLUXY Q4GXP2 RS21_BIPLU Q4GXP3 RS21_AGRLI Q6XIR2 RS21_DROYA OHO23B B4I2S0 RS21_DROSE O76927 RS21_DROME B3NA78 RS21_DROER B4Q8M1 RS21_DROSI</t>
  </si>
  <si>
    <t xml:space="preserve">RIBOSOMAL SPODOPTERA FRUGIPERDA PE BOMBYX MORI PLUTELLA XYLOSTELLA BIPHYLLUS LUNATUS AGRIOTES LINEATUS DROSOPHILA YAKUBA SECHELLIA MELANOGASTER ERECTA SIMULANS </t>
  </si>
  <si>
    <t xml:space="preserve"> CONTIG17739_5 GENEID_V1 3_PREDICTED_PROTEIN_5 81_AA CONTIG18068_33 3_PREDICTED_PROTEIN_33 372_AA CONTIG17920_13 3_PREDICTED_PROTEIN_13 1522_AA CONTIG16120_2 3_PREDICTED_PROTEIN_2 284_AA CONTIG4461_1 3_PREDICTED_PROTEIN_1 410_AA CONTIG1485_1 1034_AA</t>
  </si>
  <si>
    <t>Ribosomal_S21e 1e-034| ND5 0.052| ATP6 0.064|</t>
  </si>
  <si>
    <t>Contig18051_98</t>
  </si>
  <si>
    <t>sp|Q6UWH4|F198B_HUMAN</t>
  </si>
  <si>
    <t>Q6UWH4 F198B_HUMAN FAM198B 2 1</t>
  </si>
  <si>
    <t xml:space="preserve">HOMO SAPIENS PE </t>
  </si>
  <si>
    <t>Contig8150_1</t>
  </si>
  <si>
    <t xml:space="preserve"> CONTIG8150_1 GENEID_V1 3_PREDICTED_PROTEIN_1 36_AA CONTIG8066_1 CONTIG8047_1 CONTIG8029_1 CONTIG7946_1 CONTIG7843_1 CONTIG7675_1 CONTIG7324_1 CONTIG22856_1 CONTIG22840_1</t>
  </si>
  <si>
    <t>zgc:154086 - Danio rerio - cellular_component - biological_process</t>
  </si>
  <si>
    <t>cytoskeleton||intracellular non\-membrane\-bounded organelle||intracellular organelle||outer membrane\-bounded periplasmic space||external encapsulating structure part||cell part</t>
  </si>
  <si>
    <t>GO:0005856</t>
  </si>
  <si>
    <t>&lt;muscle attachment||enucleation||nerve maturation||system development||eclosion rhythm||pollen adhesion||diapedesis||seed growth||cornification||innervation</t>
  </si>
  <si>
    <t>GO:0016203</t>
  </si>
  <si>
    <t>sp|P21127|CD11B_HUMAN</t>
  </si>
  <si>
    <t>P21127 CD11B_HUMAN 11B CDK11B 1 3 P24788 CDK11_MOUSE 11 CDK11 2 Q9VPC0 KP58_DROME Q9UQ88 CD11A_HUMAN 11A CDK11A P46892 CDK11_RAT Q7XUF4 CDKG2_ORYSJ A2XUW1 CDKG2_ORYSI Q6K5F8 CDKG1_ORYSJ A2X6X1 CDKG1_ORYSI Q09437 YP62_CAEEL B0495</t>
  </si>
  <si>
    <t xml:space="preserve">CELL DIVISION KINASE HOMO SAPIENS PE MUS MUSCULUS SERINE THREONINE PITSLRE DROSOPHILA MELANOGASTER RATTUS NORVEGICUS CYCLIN DEPENDENT G ORYZA SATIVA SUBSP JAPONICA CDKG INDICA CAENORHABDITIS ELEGANS </t>
  </si>
  <si>
    <t>Contig17852_67</t>
  </si>
  <si>
    <t>1CONTIG17852_67 GENEID_V1 3_PREDICTED_PROTEIN_67 762_AA CONTIG17774_18 3_PREDICTED_PROTEIN_18 426_AA CONTIG17926_55 3_PREDICTED_PROTEIN_55 346_AA CONTIG18033_174 3_PREDICTED_PROTEIN_174 302_AA CONTIG17908_99 3_PREDICTED_PROTEIN_99 301_AA CONTIG17609_20 3_PREDICTED_PROTEIN_20 313_AA CONTIG17952_36 3_PREDICTED_PROTEIN_36 457_AA CONTIG17849_41 3_PREDICTED_PROTEIN_41 389_AA CONTIG18022_61 3_PREDICTED_PROTEIN_61 2874_AA CONTIG18014_1 3_PREDICTED_PROTEIN_1 398_AA</t>
  </si>
  <si>
    <t>cell division cycle 2-like 1 (PITSLRE proteins) - Danio rerio - cellular_component - smoothened signaling pathway</t>
  </si>
  <si>
    <t>protein serine/threonine kinase activity||protein kinase activity||phosphotransferase activity\, alcohol group as acceptor||transferase activity\, transferring phosphorus\-containing groups||transferase activity||catalytic activity</t>
  </si>
  <si>
    <t>GO:0004674</t>
  </si>
  <si>
    <t>S_TKc 7e-049| S_TKc 4e-047| Pkinase 4e-046| SPS1 2e-023| Pkinase_Tyr 3e-016| PTKc 3e-014| TyrKc 3e-013| PTKc_EphR 4e-010| PTK_CCK4 4e-010| PTKc_Srm_Brk 5e-010|</t>
  </si>
  <si>
    <t>RNA splicing factor activity\, transesterification mechanism||catalytic activity</t>
  </si>
  <si>
    <t>RNA splicing factor activity\, transesterification mechanism</t>
  </si>
  <si>
    <t>GO:0031202</t>
  </si>
  <si>
    <t>sp|Q6C2Q7|NOP12_YARLI</t>
  </si>
  <si>
    <t xml:space="preserve"> Yarrowia lipolytica</t>
  </si>
  <si>
    <t>Q6C2Q7 NOP12_YARLI 12 NOP12 3 1 Q75BJ7 NOP12_ASHGO O88799 2 Q99466 NOTC4_HUMAN 4 NOTCH4 O42918 AMY4_SCHPO MEU7 P35409 Q6FUS6 NOP12_CANGA</t>
  </si>
  <si>
    <t xml:space="preserve">NUCLEOLAR YARROWIA LIPOLYTICA PE ASHBYA GOSSYPII ZAN_MOUSE ZONADHESIN MUS MUSCULUS ZAN NEUROGENIC LOCUS NOTCH HOMOLOG HOMO SAPIENS ALPHA AMYLASE SCHIZOSACCHAROMYCES POMBE GLHR_ANTEL PROBABLE GLYCOPROTEIN HORMONE G COUPLED RECEPTOR ANTHOPLEURA ELEGANTISSIMA CANDIDA GLABRATA </t>
  </si>
  <si>
    <t xml:space="preserve"> CONTIG17940_72 GENEID_V1 3_PREDICTED_PROTEIN_72 127_AA CONTIG17940_69 3_PREDICTED_PROTEIN_69 128_AA CONTIG17940_70 3_PREDICTED_PROTEIN_70 CONTIG17940_74 3_PREDICTED_PROTEIN_74 118_AA CONTIG17940_71 3_PREDICTED_PROTEIN_71 114_AA CONTIG18061_143 3_PREDICTED_PROTEIN_143 138_AA CONTIG16882_2 3_PREDICTED_PROTEIN_2 168_AA CONTIG18061_144 3_PREDICTED_PROTEIN_144 129_AA CONTIG17819_86 3_PREDICTED_PROTEIN_86 CONTIG18061_145 3_PREDICTED_PROTEIN_145</t>
  </si>
  <si>
    <t>Contig17940_68</t>
  </si>
  <si>
    <t>sp|Q68HB4|PROF_BOMMO</t>
  </si>
  <si>
    <t>Q68HB4 2 1 Q6QEJ7 P25843 Q8T938 Q95VF7 PRO1B_ACACA 1B 3 P68696 PRO1A_ACACA 1A Q21193 PROF3_CAEEL P19984 PROF2_ACACA Q94JN3 Q8H2C8 PROF2_ARTVU</t>
  </si>
  <si>
    <t xml:space="preserve">PROF_BOMMO PROFILIN BOMBYX MORI PE PROF_APIME APIS MELLIFERA PROF_DROME DROSOPHILA MELANOGASTER CHIC PROF_BRABE BRANCHIOSTOMA BELCHERI ACANTHAMOEBA CASTELLANII CAENORHABDITIS ELEGANS PFN PROF_MUSAC MUSA ACUMINATA ARTEMISIA VULGARIS </t>
  </si>
  <si>
    <t>Contig17157_5</t>
  </si>
  <si>
    <t xml:space="preserve"> CONTIG17157_5 GENEID_V1 3_PREDICTED_PROTEIN_5 127_AA CONTIG17912_57 3_PREDICTED_PROTEIN_57 570_AA CONTIG17820_8 3_PREDICTED_PROTEIN_8 2849_AA CONTIG11866_7 3_PREDICTED_PROTEIN_7 140_AA</t>
  </si>
  <si>
    <t>chickadee - Drosophila melanogaster - ovarian nurse cell to oocyte transport - spermatogenesis - protein binding - actin polymerization or depolymerization - actin binding - phosphatidylinositol-4,5-bisphosphate binding - brain development - larval central nervous system remodeling - actin filament organization - pole plasm oskar mRNA localization - dorsal closure - actin filament polymerization - cytokinesis, contractile ring formation - cell morphogenesis - cytokinesis - karyosome formation - maintenance of protein location in cell - histoblast morphogenesis</t>
  </si>
  <si>
    <t>actin cytoskeleton||cytoskeleton||intracellular non\-membrane\-bounded organelle||intracellular organelle||outer membrane\-bounded periplasmic space||external encapsulating structure part||cell part</t>
  </si>
  <si>
    <t>GO:0015629</t>
  </si>
  <si>
    <t>&lt;cell motion||regulation of cytokine secretion during immune response||COPI coating of Golgi vesicle\, cis\-Golgi to rough ER||COPI coating of Golgi vesicle\, inter\-Golgi cisterna||regulation of Golgi vesicle fusion to target membrane||regulation of SMAD protein nuclear translocation||regulation of SMAD protein nuclear translocation||regulation of intracellular cholesterol transport||regulation of SMAD protein nuclear translocation||regulation of extrathymic T cell differentiation||regulation of T\-helper cell differentiation||regulation of central B cell tolerance induction||regulation of antimicrobial peptide production||regulation of peripheral tolerance induction||cellular morphogenesis during vegetative growth||synaptic vesicle docking during exocytosis||cytoplasmic transport\, nurse cell to oocyte||regulation of purine nucleoside transport||regulation of mRNA export from nucleus||regulation of synaptic vesicle priming||regulation of catecholamine secretion||regulation of L\-glutamate transport||regulation of catecholamine secretion||regulation of intracellular transport||N\-glycan processing to lysosome||regulation of zygospore formation||ovulation from ovarian follicle||primary sex determination\, soma||removal of nonhomologous ends||maintenance of seed dormancy||inflorescence meristem growth||Leydig cell differentiation||ovary septum development||ovary septum development||ovarian follicle atresia||progesterone secretion||guard cell development||labrum morphogenesis||notum morphogenesis||stigma development||ovule development||style development||head segmentation||lung development||eclosion rhythm||eclosion rhythm||enucleation||tube fusion||seed growth||innervation</t>
  </si>
  <si>
    <t>GO:0006928</t>
  </si>
  <si>
    <t>PROF 7e-009| Profilin 1e-008| PROF 2e-006| ND5 0.012| PTZ00316 0.045| ATP6 0.071| ND6 0.079|</t>
  </si>
  <si>
    <t xml:space="preserve"> Triatoma brasiliensis</t>
  </si>
  <si>
    <t>sp|P21940|XYLR_LACPE</t>
  </si>
  <si>
    <t xml:space="preserve"> Lactobacillus pentosus</t>
  </si>
  <si>
    <t>P21940 3 2</t>
  </si>
  <si>
    <t xml:space="preserve">XYLR_LACPE XYLOSE REPRESSOR LACTOBACILLUS PENTOSUS XYLR PE </t>
  </si>
  <si>
    <t>Contig17907_20</t>
  </si>
  <si>
    <t xml:space="preserve"> CONTIG17907_20 GENEID_V1 3_PREDICTED_PROTEIN_20 96_AA CONTIG17934_62 3_PREDICTED_PROTEIN_62 494_AA CONTIG17272_34 3_PREDICTED_PROTEIN_34 1607_AA CONTIG17834_1 3_PREDICTED_PROTEIN_1 1363_AA CONTIG17612_28 3_PREDICTED_PROTEIN_28 309_AA CONTIG17993_46 3_PREDICTED_PROTEIN_46 182_AA</t>
  </si>
  <si>
    <t>CG7630 - Drosophila melanogaster - lipid particle</t>
  </si>
  <si>
    <t>proteinaceous extracellular matrix||extracellular matrix||apoplast||extracellular region</t>
  </si>
  <si>
    <t>GO:0005578</t>
  </si>
  <si>
    <t>ATP6 0.093|</t>
  </si>
  <si>
    <t>sp|P02255|H1_DROME</t>
  </si>
  <si>
    <t>P02255 H1_DROME H1 HIS1 1 Q94972 H13_DROVI 3 Q94555 H12_DROVI 2 P17268 H1_DROHY Q24704 H11_DROVI P21895 H1_CHITH P40276 H1B_CHITE H1B P40277 H1C_CHITE H1C P40265 H13_GLYBA P40275 H1A_CHITE H1A</t>
  </si>
  <si>
    <t xml:space="preserve">HISTONE DROSOPHILA MELANOGASTER PE VIRILIS HYDEI CHIRONOMUS THUMMI TENTANS III GLYPTOTENDIPES BARBIPES </t>
  </si>
  <si>
    <t xml:space="preserve"> CONTIG18070_21 GENEID_V1 3_PREDICTED_PROTEIN_21 209_AA CONTIG17816_29 3_PREDICTED_PROTEIN_29 213_AA CONTIG17651_14 3_PREDICTED_PROTEIN_14 207_AA CONTIG17651_15 3_PREDICTED_PROTEIN_15 189_AA CONTIG17917_53 3_PREDICTED_PROTEIN_53 164_AA CONTIG17651_7 3_PREDICTED_PROTEIN_7 211_AA CONTIG4159_7 881_AA CONTIG17773_33 3_PREDICTED_PROTEIN_33 1099_AA CONTIG17872_53 1520_AA CONTIG17738_28 3_PREDICTED_PROTEIN_28 526_AA</t>
  </si>
  <si>
    <t>His1:CG31617 - Drosophila melanogaster - chromatin assembly or disassembly - DNA binding - nucleus</t>
  </si>
  <si>
    <t>chromatin assembly or disassembly||chromatin organization||chromosome organization||organelle organization||cellular component organization</t>
  </si>
  <si>
    <t>GO:0006333</t>
  </si>
  <si>
    <t>H15 2e-028| Linker_histone 1e-025| H15 1e-022| PRK13808 2e-010| PRK09138 2e-008| RNA_polI_A34 5e-007| Hc1 7e-007| TonB 3e-006| PRK00708 3e-006| Nop25 5e-006|</t>
  </si>
  <si>
    <t xml:space="preserve"> Slow bee paralysis virus</t>
  </si>
  <si>
    <t>sp|P30432|FUR2_DROME</t>
  </si>
  <si>
    <t>P30432 FUR2_DROME 2 FUR2 1 P57538 Y466_BUCAI BU466 3</t>
  </si>
  <si>
    <t xml:space="preserve">FURIN LIKE PROTEASE DROSOPHILA MELANOGASTER PE UNCHARACTERIZED TRANSPORTER BUCHNERA APHIDICOLA SUBSP ACYRTHOSIPHON PISUM </t>
  </si>
  <si>
    <t>Contig17822_5</t>
  </si>
  <si>
    <t xml:space="preserve"> CONTIG17822_5 GENEID_V1 3_PREDICTED_PROTEIN_5 538_AA CONTIG18047_8 3_PREDICTED_PROTEIN_8 359_AA CONTIG2203_2 3_PREDICTED_PROTEIN_2 438_AA CONTIG17817_17 3_PREDICTED_PROTEIN_17 548_AA CONTIG17956_189 3_PREDICTED_PROTEIN_189 229_AA CONTIG17524_4 3_PREDICTED_PROTEIN_4 405_AA</t>
  </si>
  <si>
    <t>Contig17971_259</t>
  </si>
  <si>
    <t>Furin 2 - Drosophila melanogaster - serine-type endopeptidase activity - plasma membrane - proteolysis</t>
  </si>
  <si>
    <t>serine\-type endopeptidase activity||serine\-type peptidase activity||peptidase activity\, acting on L\-amino acid peptides||peptidase activity||hydrolase activity||catalytic activity</t>
  </si>
  <si>
    <t>GO:0004252</t>
  </si>
  <si>
    <t>CRPV_capsid 8e-007|</t>
  </si>
  <si>
    <t>sp|Q6DV01|SYF2_GECJA</t>
  </si>
  <si>
    <t xml:space="preserve"> Gecko japonicus</t>
  </si>
  <si>
    <t>Q6DV01 SYF2_GECJA SYF2 2 1 Q28G05 SYF2_XENTR Q8AVQ6 SYF2_XENLA Q4QRB2 SYF2_RAT Q9D198 SYF2_MOUSE O95926 SYF2_HUMAN Q6DGP2 SYF2_DANRE Q28XK6 SYF2_DROPS 3 Q9V5Q4 SYF2_DROME Q612R3 SYF2_CAEBR</t>
  </si>
  <si>
    <t xml:space="preserve">PRE MRNA SPLICING FACTOR GECKO JAPONICUS PE XENOPUS TROPICALIS LAEVIS RATTUS NORVEGICUS MUS MUSCULUS HOMO SAPIENS DANIO RERIO DROSOPHILA PSEUDOOBSCURA MELANOGASTER SYF CAENORHABDITIS BRIGGSAE </t>
  </si>
  <si>
    <t>Contig17854_91</t>
  </si>
  <si>
    <t xml:space="preserve"> CONTIG17854_91 GENEID_V1 3_PREDICTED_PROTEIN_91 231_AA CONTIG17970_433 3_PREDICTED_PROTEIN_433 384_AA CONTIG17823_38 3_PREDICTED_PROTEIN_38 1829_AA CONTIG17792_52 3_PREDICTED_PROTEIN_52 1544_AA CONTIG18015_48 3_PREDICTED_PROTEIN_48 245_AA CONTIG17326_44 3_PREDICTED_PROTEIN_44 653_AA</t>
  </si>
  <si>
    <t>SYF2 homolog, RNA splicing factor (S. cerevisiae) - Rattus norvegicus - protein binding - nucleus</t>
  </si>
  <si>
    <t>SYF2 3e-027|</t>
  </si>
  <si>
    <t>sp|Q83034|POLG_RTSVA</t>
  </si>
  <si>
    <t xml:space="preserve"> Rice tungro spherical virus (strain A)</t>
  </si>
  <si>
    <t>Q83034 1 Q91PP5 VT6 Q05057 POLG_PYFV1 121 Q27YG9 ORF2 4 2 P13025 POL1_GCMV RNA1 3 Q6W8W5 POL1_ARMVN Q9IJX4 ORF1 O36966 Q6W8W4 POL1_RRVC Q9CKC8</t>
  </si>
  <si>
    <t xml:space="preserve">POLG_RTSVA GENOME POLYPROTEIN RICE TUNGRO SPHERICAL VIRUS STRAIN A PE POLG_RTSVT PARSNIP YELLOW FLECK ISOLATE P POLR_NORAV REPLICATION NORA GRAPEVINE CHROME MOSAIC ARABIS NW POLN_CRPV REPLICASE CRICKET PARALYSIS POLN_DCVEB DROSOPHILA C EB RASPBERRY RINGSPOT CHERRY ZIPA_PASMU CELL DIVISION ZIPA HOMOLOG PASTEURELLA MULTOCIDA </t>
  </si>
  <si>
    <t>Contig17916_72</t>
  </si>
  <si>
    <t xml:space="preserve"> CONTIG17916_72 GENEID_V1 3_PREDICTED_PROTEIN_72 372_AA CONTIG18055_124 3_PREDICTED_PROTEIN_124 601_AA CONTIG17367_15 3_PREDICTED_PROTEIN_15 606_AA</t>
  </si>
  <si>
    <t>Contig4873_6</t>
  </si>
  <si>
    <t>peptidase, M16 family - Coxiella burnetii RSA 493 - proteolysis - peptidase activity</t>
  </si>
  <si>
    <t>&lt;embryonic development||O antigen biosynthetic process||regulation of multicellular organismal metabolic process||endonucleolytic cleavage to generate mature 5'\-end of SSU\-rRNA from (SSU\-rRNA\, 5.8S rRNA\, LSU\-rRNA)||endonucleolytic cleavage to generate mature 5'\-end of SSU\-rRNA from (SSU\-rRNA\, 5.8S rRNA\, LSU\-rRNA)||regulation of juvenile hormone metabolic process||motogenic signaling initiating cell movement in the cerebral cortex||T cell lineage commitment||T\-helper cell lineage commitment||peripheral B cell anergy||peripheral B cell anergy||spore membrane bending pathway||optic cup morphogenesis involved in camera\-type eye development||dorsal vessel aortic cell fate commitment||central B cell deletion||dorsal vessel aortic cell fate commitment||dorsal vessel aortic cell fate commitment||myoblast migration involved in skeletal muscle regeneration||positive regulation of appressorium maturation on or near host||positive regulation of appressorium maturation on or near host||regulation of lateral mesodermal cell fate specification||dichotomous subdivision of terminal units involved in mammary gland duct morphogenesis||dichotomous subdivision of terminal units involved in mammary gland duct morphogenesis||hypophysis formation||hypophysis formation||maintenance of meristem identity||regulation of epidermis development||atrial cardiac muscle cell development||embryonic ectodermal gut morphogenesis||neurotransmitter\-mediated guidance of interneurons involved in substrate\-independent cerebral cortex tangential migration||Notch signaling pathway in forebrain neuroblast division||dichotomous subdivision of terminal units involved in lung branching||dichotomous subdivision of terminal units involved in lung branching||auditory receptor cell morphogenesis||regulation of axonogenesis||regulation of adult salivary gland boundary specification||ovarian fusome organization||activation of JUN kinase activity||mitochondrial DNA inheritance||regulation of actin cytoskeleton organization||regulation of centromeric sister chromatid cohesion||priming of cellular response to stress||amino acid activation for nonribosomal peptide biosynthetic process||regulation of gibberellin biosynthetic process||regulation of gibberellin biosynthetic process||regulation of gibberellin biosynthetic process||metal incorporation into metallo\-sulfur cluster||positive regulation of penicillin metabolic process||negative regulation of plasma lipoprotein oxidation||exonucleolytic nuclear\-transcribed mRNA catabolic process involved in deadenylation\-dependent decay||positive regulation of integrin activation||regulation of triglyceride catabolic process||regulation of sulfur amino acid metabolic process||regulation of retinal cell programmed cell death||intracellular transport of viral capsid in host cell||intracellular transport of viral capsid in host cell||regulation of natural killer cell differentiation||regulation of border follicle cell delamination||myelination in the peripheral nervous system||auditory receptor cell fate specification||dorsal vessel aortic cell fate commitment||ventricular cardiac myofibril development||ventricular cardiac myofibril development||meiotic DNA double\-strand break processing involved in reciprocal meiotic recombination||meiotic DNA double\-strand break formation involved in reciprocal meiotic recombination||traversing start control point of mitotic cell cycle||traversing start control point of mitotic cell cycle||maintenance of mitotic sister chromatid cohesion||meiotic telomere clustering||chromosome organization involved in meiosis||spindle assembly involved male meiosis II||synapsis||meiotic DNA double\-strand break formation involved in meiotic gene conversion||meiotic gene conversion||fibroblast growth factor receptor signaling pathway involved in lung induction||fibroblast growth factor receptor signaling pathway involved in lung induction||epidermal growth factor receptor signaling pathway involved in lung development||regulation of centriole\-centriole cohesion||regulation of T cell mediated cytotoxicity directed against tumor cell target||nucleosome assembly||blood vessel endothelial cell migration during intussusceptive angiogenesis</t>
  </si>
  <si>
    <t>GO:0009790</t>
  </si>
  <si>
    <t>RdRP_1 3e-008| RNA_dep_RNAP 0.005|</t>
  </si>
  <si>
    <t>Contig17619_51</t>
  </si>
  <si>
    <t xml:space="preserve"> CONTIG17619_51 GENEID_V1 3_PREDICTED_PROTEIN_51 253_AA</t>
  </si>
  <si>
    <t>Contig17908_116</t>
  </si>
  <si>
    <t>ND2 2e-005| ND5 7e-005| 7TM_GPCR_Srz 2e-004| 7tm_7 5e-004| ND2 0.001| ND4 0.002| ND4 0.004| ND6 0.007| COX3 0.010| COG4485 0.015|</t>
  </si>
  <si>
    <t>sp|Q9V7S5|PICO_DROME</t>
  </si>
  <si>
    <t>Contig17873_2</t>
  </si>
  <si>
    <t>Picot - Drosophila melanogaster - high affinity inorganic phosphate:sodium symporter activity - phosphate transport - integral to membrane</t>
  </si>
  <si>
    <t>high affinity inorganic phosphate\:sodium symporter activity||sodium\:phosphate symporter activity||phosphate transmembrane transporter activity||inorganic anion transmembrane transporter activity||anion transmembrane transporter activity||ion transmembrane transporter activity||substrate\-specific transmembrane transporter activity||substrate\-specific transporter activity||transporter activity</t>
  </si>
  <si>
    <t>GO:0005316</t>
  </si>
  <si>
    <t>phosphate transport||inorganic anion transport||anion transport||ion transport||transport||cellular localization||localization</t>
  </si>
  <si>
    <t>GO:0006817</t>
  </si>
  <si>
    <t>sp|Q6P6R0|GRINA_RAT</t>
  </si>
  <si>
    <t>Q6P6R0 1 2 Q9ESF4 Q32L53 Q7Z429 O88407 FAIM2_RAT FAIM2 Q5R4I4 FAIM2_PONAB Q9BWQ8 FAIM2_HUMAN Q8K097 FAIM2_MOUSE Q1LZ71 FAIM2_BOVIN Q969X1 TMBI1_HUMAN TMBIM1</t>
  </si>
  <si>
    <t xml:space="preserve">GRINA_RAT GLUTAMATE RECEPTOR ASSOCIATED RATTUS NORVEGICUS GRINA PE GRINA_MOUSE MUS MUSCULUS GRINA_BOVIN BOS TAURUS GRINA_HUMAN HOMO SAPIENS FAS APOPTOTIC INHIBITORY MOLECULE PONGO ABELII TRANSMEMBRANE BAX INHIBITOR MOTIF CONTAINING </t>
  </si>
  <si>
    <t>Contig17372_7</t>
  </si>
  <si>
    <t xml:space="preserve"> CONTIG17372_7 GENEID_V1 3_PREDICTED_PROTEIN_7 245_AA CONTIG17792_103 3_PREDICTED_PROTEIN_103 235_AA CONTIG17843_14 3_PREDICTED_PROTEIN_14 492_AA CONTIG17638_2 3_PREDICTED_PROTEIN_2 367_AA</t>
  </si>
  <si>
    <t>Contig17930_146</t>
  </si>
  <si>
    <t>CG3814 - Drosophila melanogaster - N-methyl-D-aspartate selective glutamate receptor activity - N-methyl-D-aspartate selective glutamate receptor complex</t>
  </si>
  <si>
    <t>COG0670 4e-030| UPF0005 7e-030| PRK10447 1e-008| RfbX 6e-004| Oxidored_q3 0.001| YfhO 0.002| COG4709 0.002| C4dic_mal_tran 0.002| Competence 0.004| COG1079 0.004|</t>
  </si>
  <si>
    <t>sp|Q17005|LYSC1_ANOGA</t>
  </si>
  <si>
    <t>Q17005 LYSC1_ANOGA 1 AGAP007347 2 P48816 P50717 P29615 P37161 P05105 Q7YT16 LYS1_MUSDO P50718 P83972 Q08694</t>
  </si>
  <si>
    <t xml:space="preserve">LYSOZYME C ANOPHELES GAMBIAE PE LYS_BOMMO BOMBYX MORI LYS_HYPCU HYPHANTRIA CUNEA LYSP_DROME P DROSOPHILA MELANOGASTER LYSP LYSX_DROME X LYSX LYS_HYACE HYALOPHORA CECROPIA MUSCA DOMESTICA LYS_TRINI TRICHOPLUSIA NI LYSD_DROME D LYSD LYSB_DROME B LYSB </t>
  </si>
  <si>
    <t>Contig17801_61</t>
  </si>
  <si>
    <t xml:space="preserve"> CONTIG17801_61 GENEID_V1 3_PREDICTED_PROTEIN_61 688_AA CONTIG17801_60 3_PREDICTED_PROTEIN_60 219_AA CONTIG17447_9 3_PREDICTED_PROTEIN_9 690_AA CONTIG17766_40 3_PREDICTED_PROTEIN_40 1641_AA CONTIG17773_29 3_PREDICTED_PROTEIN_29 1250_AA CONTIG17714_35 3_PREDICTED_PROTEIN_35 203_AA CONTIG17895_32 3_PREDICTED_PROTEIN_32 2568_AA CONTIG17407_14 3_PREDICTED_PROTEIN_14 120_AA CONTIG17971_229 3_PREDICTED_PROTEIN_229 511_AA CONTIG17821_80 3_PREDICTED_PROTEIN_80 547_AA</t>
  </si>
  <si>
    <t>Contig17546_7</t>
  </si>
  <si>
    <t>CG7798 - Drosophila melanogaster - lysozyme activity - antimicrobial humoral response</t>
  </si>
  <si>
    <t>lysozyme activity||hydrolase activity\, hydrolyzing O\-glycosyl compounds||hydrolase activity\, acting on glycosyl bonds||hydrolase activity||catalytic activity</t>
  </si>
  <si>
    <t>GO:0003796</t>
  </si>
  <si>
    <t>antimicrobial humoral response||response to other organism||response to biotic stimulus||response to stimulus</t>
  </si>
  <si>
    <t>GO:0019730</t>
  </si>
  <si>
    <t>LYZ1 7e-032| LYZ1 2e-028| Lys 1e-024|</t>
  </si>
  <si>
    <t>Contig17934_11</t>
  </si>
  <si>
    <t xml:space="preserve"> CONTIG17934_11 GENEID_V1 3_PREDICTED_PROTEIN_11 270_AA</t>
  </si>
  <si>
    <t>Contig6977_5</t>
  </si>
  <si>
    <t>sp|O96790|DPGN_DIPMA</t>
  </si>
  <si>
    <t xml:space="preserve"> Dipetalogaster maximus</t>
  </si>
  <si>
    <t>O96790 1 2 Q06684 P82968 P31696 O00468 4 A2ASQ1 P25304 P10184 IOV7_CHICK P05560 P01005</t>
  </si>
  <si>
    <t xml:space="preserve">DPGN_DIPMA SERINE PROTEASE INHIBITOR DIPETALOGASTIN FRAGMENT DIPETALOGASTER MAXIMUS PE THBI_RHOPR THROMBIN RHODNIIN RHODNIUS PROLIXUS MCPI_MELCP FOUR DOMAIN PROTEASES MELITHAEA CALEDONICA AGRIN_CHICK AGRIN GALLUS AGRN AGRIN_HUMAN HOMO SAPIENS AGRIN_MOUSE MUS MUSCULUS AGRIN_RAT RATTUS NORVEGICUS OVOINHIBITOR OIH IOVO_DRONO OVOMUCOID DROMAIUS NOVAEHOLLANDIAE IOVO_CHICK </t>
  </si>
  <si>
    <t>Contig17791_8</t>
  </si>
  <si>
    <t xml:space="preserve"> CONTIG17791_8 GENEID_V1 3_PREDICTED_PROTEIN_8 352_AA CONTIG17791_6 3_PREDICTED_PROTEIN_6 610_AA CONTIG17836_99 3_PREDICTED_PROTEIN_99 448_AA CONTIG18051_58 3_PREDICTED_PROTEIN_58 1541_AA CONTIG17791_7 3_PREDICTED_PROTEIN_7 156_AA CONTIG17791_2 3_PREDICTED_PROTEIN_2 129_AA CONTIG18057_241 3_PREDICTED_PROTEIN_241 323_AA CONTIG18026_1 3_PREDICTED_PROTEIN_1 146_AA CONTIG18057_242 3_PREDICTED_PROTEIN_242 210_AA CONTIG17898_77 3_PREDICTED_PROTEIN_77 680_AA</t>
  </si>
  <si>
    <t>Contig17791_6</t>
  </si>
  <si>
    <t>agrin - Mus musculus - regulation of synaptic growth at neuromuscular junction - cell surface - receptor clustering - basal lamina - basement membrane - synapse - positive regulation of transcription from RNA polymerase II promoter - neuromuscular junction development - extracellular space - acetylcholine receptor regulator activity - synaptic transmission - plasma membrane organization - neurotransmitter receptor metabolic process</t>
  </si>
  <si>
    <t>acetylcholine receptor regulator activity||receptor regulator activity||receptor signaling protein activity||signal transducer activity||molecular transducer activity</t>
  </si>
  <si>
    <t>GO:0030548</t>
  </si>
  <si>
    <t>cell surface||cell part</t>
  </si>
  <si>
    <t>cell surface</t>
  </si>
  <si>
    <t>GO:0009986</t>
  </si>
  <si>
    <t>&amp;regulation of synaptic growth at neuromuscular junction||cell proliferation involved in neural plate elongation||regulation of polarized epithelial cell differentiation||cell\-cell adhesion involved in neural tube closure||regulation of retinal cone cell fate specification||camera\-type eye photoreceptor cell fate commitment||camera\-type eye photoreceptor cell differentiation||embryonic retina morphogenesis in camera\-type eye||regulation of retinal rod cell fate commitment||dorsal closure\, spreading of leading edge cells||regulation of atrichoblast fate specification||regulation of atrichoblast fate specification||compound eye photoreceptor cell differentiation||proboscis morphogenesis\, labial disc\-derived||cerebellar Purkinje cell differentiation||cerebellar Purkinje cell layer formation||cerebellar basket cell differentiation||cerebellar Golgi cell differentiation||superior reticular formation development||glioblast cell division in the pallium||glioblast cell division in the pallium||stomatogastric nervous system development||regulation of nervous system development||regulation of neuron differentiation||photoreceptor cell fate commitment||axon choice point recognition||regulation of axon extension||forebrain neuron differentiation||central nervous system formation||rhombomere cell proliferation||globose nucleus development||fourth ventricle development||cell migration in hindbrain||salivary gland morphogenesis||locus ceruleus maturation||rhombomere 8 formation||hippocampus development||astrocyte differentiation||guard cell development||labrum morphogenesis||notum morphogenesis||stigma development||ovule development||style development||head segmentation||pollen maturation||head involution||dorsal closure||pollen adhesion||diapedesis||seed growth||cornification||innervation</t>
  </si>
  <si>
    <t>GO:0008582</t>
  </si>
  <si>
    <t>KAZAL 5e-013| Kazal_2 3e-011| KAZAL_FS 4e-011| Kazal_1 4e-010| KAZAL_PSTI 3e-008| KAZAL_SLC21 5e-005| oat 4e-004| OATP 0.001| FSL_SPARC 0.001| ND1 0.006|</t>
  </si>
  <si>
    <t>sp|B5ENA2|DNAJ_ACIF5</t>
  </si>
  <si>
    <t xml:space="preserve"> Acidithiobacillus ferrooxidans (strain ATCC 53993)</t>
  </si>
  <si>
    <t>B5ENA2 DNAJ_ACIF5 53993 3 1 B7J7X8 DNAJ_ACIF2 23270 14882 8455 Q8R054 SRPX2_MOUSE SRPX2 B9JZ89 S4 846 Q9VX91 UBR1_DROME E3 UBR1 2 B9KPP3 KD131 12085 Q3IYM8 DNAJ_RHOS4 17023 4 8253 158 A3PNM0 DNAJ_RHOS1 17029 9 Q6RSN5 A7HZ38 DNAJ_PARL1 13023 13966</t>
  </si>
  <si>
    <t xml:space="preserve">CHAPERONE DNAJ ACIDITHIOBACILLUS FERROOXIDANS STRAIN ATCC PE DSM NCIB SUSHI REPEAT CONTAINING MUS MUSCULUS DNAJ_AGRVS AGROBACTERIUM VITIS BAA UBIQUITIN LIGASE DROSOPHILA MELANOGASTER DNAJ_RHOSK RHODOBACTER SPHAEROIDES KCTC ATH DNAJ_RHIRD RHIZOBIUM RADIOBACTER PARVIBACULUM LAVAMENTIVORANS DS NCIMB </t>
  </si>
  <si>
    <t>Contig17706_41</t>
  </si>
  <si>
    <t xml:space="preserve"> CONTIG17706_41 GENEID_V1 3_PREDICTED_PROTEIN_41 127_AA CONTIG11395_4 3_PREDICTED_PROTEIN_4 427_AA CONTIG6941_3 3_PREDICTED_PROTEIN_3 531_AA CONTIG17848_111 3_PREDICTED_PROTEIN_111 233_AA CONTIG18050_27 3_PREDICTED_PROTEIN_27 385_AA CONTIG17928_22 3_PREDICTED_PROTEIN_22 803_AA CONTIG17626_4 1086_AA CONTIG17946_66 3_PREDICTED_PROTEIN_66 379_AA CONTIG17892_92 3_PREDICTED_PROTEIN_92 110_AA</t>
  </si>
  <si>
    <t>Pinocchio - Drosophila melanogaster - olfactory behavior - response to chemical stimulus</t>
  </si>
  <si>
    <t>ubiquitin ligase complex||outer membrane\-bounded periplasmic space||external encapsulating structure part||cell part</t>
  </si>
  <si>
    <t>GO:0000151</t>
  </si>
  <si>
    <t>protein ubiquitination||protein modification by small protein conjugation||protein modification by small protein conjugation or removal||protein modification process||cellular protein metabolic process||cellular biopolymer metabolic process||cellular macromolecule metabolic process||macromolecule metabolic process||metabolic process</t>
  </si>
  <si>
    <t>GO:0016567</t>
  </si>
  <si>
    <t>HypA 0.072|</t>
  </si>
  <si>
    <t>Contig17257_37</t>
  </si>
  <si>
    <t>ND5 4e-008| 7TM_GPCR_Srz 2e-005| EcsB 3e-005| ND4 3e-004| COG4781 4e-004| PRK07668 5e-004| 7tm_7 6e-004| 7TM_GPCR_Str 9e-004| YfhO 0.001| ND6 0.003|</t>
  </si>
  <si>
    <t>sp|Q9GV27|EIF3H_BOMMO</t>
  </si>
  <si>
    <t>Q9GV27 EIF3H_BOMMO 3 2 1 B0WDA9 EIF3H_CULQU CPIJ005299 B4N116 EIF3H_DROWI 3P40 Q170C2 EIF3H_AEDAE AAEL007945 B4I1C2 EIF3H_DROSE Q9U9Q4 EIF3H_DROME B3MP94 EIF3H_DROAN B4LTW0 EIF3H_DROVI B4KGS4 EIF3H_DROMO B5DJJ2 EIF3H_DROPS</t>
  </si>
  <si>
    <t xml:space="preserve">EUKARYOTIC TRANSLATION INITIATION FACTOR SUBUNIT H BOMBYX MORI PE CULEX QUINQUEFASCIATUS DROSOPHILA WILLISTONI EIF AEDES AEGYPTI SECHELLIA MELANOGASTER ANANASSAE VIRILIS MOJAVENSIS PSEUDOOBSCURA </t>
  </si>
  <si>
    <t>Contig18047_205</t>
  </si>
  <si>
    <t xml:space="preserve"> CONTIG18047_205 GENEID_V1 3_PREDICTED_PROTEIN_205 327_AA CONTIG17970_241 3_PREDICTED_PROTEIN_241 463_AA CONTIG17779_21 3_PREDICTED_PROTEIN_21 180_AA CONTIG17567_20 3_PREDICTED_PROTEIN_20 275_AA CONTIG17851_57 3_PREDICTED_PROTEIN_57 358_AA CONTIG17572_34 3_PREDICTED_PROTEIN_34 514_AA</t>
  </si>
  <si>
    <t>Eukaryotic initiation factor 3 p40 subunit - Drosophila melanogaster - translational initiation - translation initiation factor activity - eukaryotic translation initiation factor 3 complex - cytosol</t>
  </si>
  <si>
    <t>&lt;translational initiation||positive regulation of sequestering of triglyceride||motogenic signaling involved in postnatal olfactory bulb interneuron migration||initiation of movement involved in cerebral cortex radial glia guided migration||regulation of norepinephrine uptake||regulation of toll\-like receptor 13 signaling pathway||B\-1 B cell lineage commitment||regulation of toll\-like receptor 9 signaling pathway||regulation of toll\-like receptor 9 signaling pathway||pole plasm protein localization||epithelial cell differentiation involved in mammary gland cord morphogenesis||cartilage development||follicle\-stimulating hormone signaling pathway||neurohypophysis morphogenesis||thyroid stimulating hormone secreting cell development||adenohypophysis morphogenesis||adenohypophysis morphogenesis||hemocyte migration||hemocyte migration||dichotomous subdivision of terminal units involved in ureteric bud branching||imaginal disc\-derived genitalia morphogenesis||imaginal disc\-derived genitalia morphogenesis||embryonic camera\-type eye morphogenesis||maturation of appressorium on or near host||maturation of appressorium on or near host||epidermal cell fate specification||motogenic signaling initiating cell movement in the cerebral cortex||embryonic camera\-type eye morphogenesis||post\-embryonic ectodermal gut morphogenesis||ventricular cardiac muscle cell development||smoothened signaling pathway involved in ventral spinal cord patterning||regulation of sevenless signaling pathway||regulation of compound eye retinal cell programmed cell death||sevenless signaling pathway||sevenless signaling pathway||regulation of erythrocyte differentiation||epidermal cell differentiation||negative regulation of appressorium maturation on or near host||generation of mature 5'\-end of LSU\-rRNA from tricistronic rRNA transcript (SSU\-rRNA\, 5.8S rRNA\, LSU\-rRNA)||JAK\-STAT cascade involved in growth hormone signaling pathway||fertilization\, exchange of chromosomal proteins||sister chromosome movement towards spindle pole during meiosis II||sister chromosome movement towards spindle pole during meiosis II||positive regulation of mitochondrial translational initiation||regulation of protein import into nucleus\, translocation||ascospore wall assembly||regulation of compound eye photoreceptor development||regulation of compound eye photoreceptor development||regulation of follicle cell microvillus organization||meiotic sister chromatid segregation||activation of JNKK activity||regulation of membrane potential in photoreceptor cell||synaptic vesicle fusion to presynaptic membrane||regulation of leukocyte activation||prevention of polyspermy||plastid membrane organization||spermatogenesis\, exchange of chromosomal proteins||regulation of pole plasm oskar mRNA localization||cleavage between 2S rRNA and LSU\-rRNA of tetracistronic rRNA transcript (SSU\-rRNA\, 5.8S rRNA\, 2S rRNA\, LSU\-rRNA)||cleavage between 5.8S rRNA and 2S rRNA of tetracistronic rRNA transcript (SSU\-rRNA\, 5.8S rRNA\, 2S rRNA\, LSU\-rRNA)||positive regulation of natriuresis by angiotensin||paranodal junction assembly||regulation of pole plasm oskar mRNA localization</t>
  </si>
  <si>
    <t>GO:0006413</t>
  </si>
  <si>
    <t>Mov34 3e-005| JAB_MPN 3e-004|</t>
  </si>
  <si>
    <t>Contig4545_2</t>
  </si>
  <si>
    <t>Ribosomal protein LP0 - Drosophila melanogaster - translation - structural constituent of ribosome - cytosolic large ribosomal subunit - DNA repair - DNA-(apurinic or apyrimidinic site) lyase activity - cytoplasm - nucleus - ribosome - lipid particle</t>
  </si>
  <si>
    <t>sp|P34856|NU6M_ANOGA</t>
  </si>
  <si>
    <t>P34856 NU6M_ANOGA 6 ND6 3 2 B0FWD6 NU6M_AEDAE 1 Q33635 NU6M_ANOAL P18933 NU6M_DROME Q36425 NU6M_LOCMI P07709 NU6M_DROYA P33513 NU6M_ANOQU Q34050 NU6M_CERCA Q37712 NU6M_ARTSF O47478 NU6M_LOLBL</t>
  </si>
  <si>
    <t xml:space="preserve">NADH UBIQUINONE OXIDOREDUCTASE CHAIN ANOPHELES GAMBIAE MT PE AEDES AEGYPTI ALBIMANUS DROSOPHILA MELANOGASTER LOCUSTA MIGRATORIA YAKUBA QUADRIMACULATUS CERATITIS CAPITATA ARTEMIA FRANCISCANA LOLIGO BLEEKERI </t>
  </si>
  <si>
    <t>Contig17518_14</t>
  </si>
  <si>
    <t xml:space="preserve"> CONTIG17518_14 GENEID_V1 3_PREDICTED_PROTEIN_14 1377_AA</t>
  </si>
  <si>
    <t>Contig2580_1</t>
  </si>
  <si>
    <t>mitochondrial NADH-ubiquinone oxidoreductase chain 6 - Drosophila melanogaster - NADH dehydrogenase (ubiquinone) activity - mitochondrion - mitochondrial respiratory chain complex I</t>
  </si>
  <si>
    <t>Oxidored_q3 3e-023| Polysacc_synt 6e-004| NosY 8e-004| DUF1754 0.002| DUF70 0.003| ZnuB 0.006| Lung_7-TM_R 0.008| PerM 0.011| COG3431 0.012| COG0842 0.016|</t>
  </si>
  <si>
    <t xml:space="preserve"> Plasmodium yoelii yoelii</t>
  </si>
  <si>
    <t>sp|Q6DFT3|PP4R3_XENTR</t>
  </si>
  <si>
    <t>Q6DFT3 PP4R3_XENTR 4 3 SMEK2 2 1 Q922R5 P4R3B_MOUSE 3B Q5MIZ7 P4R3B_HUMAN Q7ZX60 P4R3A_XENLA Q6ZMV5 SMEK3_HUMAN SMEK3P 5 Q801Q7 P4R3B_XENLA</t>
  </si>
  <si>
    <t xml:space="preserve">SERINE THREONINE PHOSPHATASE REGULATORY SUBUNIT XENOPUS TROPICALIS PE MUS MUSCULUS HOMO SAPIENS A LAEVIS SMEK HOMOLOG B </t>
  </si>
  <si>
    <t>Contig17439_6</t>
  </si>
  <si>
    <t xml:space="preserve"> CONTIG17439_6 GENEID_V1 3_PREDICTED_PROTEIN_6 809_AA CONTIG17774_69 3_PREDICTED_PROTEIN_69 384_AA CONTIG17518_16 3_PREDICTED_PROTEIN_16 219_AA CONTIG17343_14 0 1465594 CONTIG17930_129 3_PREDICTED_PROTEIN_129 1124_AA</t>
  </si>
  <si>
    <t xml:space="preserve">DNA DIRECTED RNA POLYMERASE SUBUNIT BETA TM SWISSP </t>
  </si>
  <si>
    <t>SMEK homolog 2, suppressor of mek1 (Dictyostelium) - Rattus norvegicus - molecular_function - protein binding - cellular_component - regulation of lipid metabolic process</t>
  </si>
  <si>
    <t>&amp;regulation of lipid metabolic process||gene conversion at mating\-type locus\, DNA double\-strand break formation||meiotic DNA repair synthesis involved in reciprocal meiotic recombination||regulation of ascospore wall 1\,3\-beta\-glucan biosynthetic process||regulation of specific transcription from RNA polymerase II promoter||transcription termination||regulation of specific transcription from RNA polymerase II promoter||regulation of eIF2 alpha phosphorylation by amino acid starvation||cyclization of asparagine\, during protein splicing||positive regulation of protein maturation by peptide bond cleavage||regulation of ascospore wall beta\-glucan biosynthetic process||regulation of heparan sulfate proteoglycan biosynthetic process||regulation of ascospore wall beta\-glucan biosynthetic process||maintenance of fidelity during DNA\-dependent DNA replication||negative regulation of N\-terminal protein palmitoylation||negative regulation of N\-terminal protein palmitoylation||positive regulation of mitochondrial RNA catabolic process||tRNA aminoacylation for mitochondrial protein translation||alignment of 3' and 5' splice sites of nuclear mRNA||recruitment of helicase\-primase complex to DNA lesions||regulation of protein amino acid autophosphorylation||regulation of protein amino acid autophosphorylation||positive regulation of vitamin D biosynthetic process||positive regulation of ethylene biosynthetic process||regulation of salicylic acid biosynthetic process||regulation of jasmonic acid biosynthetic process||regulation of chromatin silencing by small RNA||regulation of chromatin silencing by small RNA||DNA replication\, Okazaki fragment processing||regulation of reciprocal meiotic recombination||regulation of ubiquinone biosynthetic process||RNA elongation from mitochondrial promoter||regulation of antisense RNA transcription||regulation of glucan biosynthetic process||regulation of transcription termination||regulation of translational termination||regulation of translational initiation||regulation of protein desumoylation||regulation of protein desumoylation||regulation of histone modification||regulation of macrophage chemotaxis||regulation of mast cell chemotaxis||regulation of mast cell chemotaxis||regulation of exocyst localization||regulation of protein localization||regulation of protein transport||intracellular protein transport||regulation of anion transport||regulation of amine transport||synaptic vesicle targeting||detection of dietary excess||diet induced thermogenesis||response to dietary excess||synaptic vesicle budding||regulation of excretion||uterine wall growth||seed coat development||style development||style development||nectary development||head segmentation||lung development||eclosion rhythm||eclosion rhythm||enucleation||tube fusion||seed growth||innervation</t>
  </si>
  <si>
    <t>GO:0019216</t>
  </si>
  <si>
    <t>DIE2_ALG10 0.006|</t>
  </si>
  <si>
    <t>sp|Q11174|CHIT_CAEEL</t>
  </si>
  <si>
    <t>Q11174 1 Q6RY07 2 Q91XA9 Q54C31 3 P41996 CPG2_CAEEL P29030 P91745 PE48A_LUCCU 48 P35556 FBN2_HUMAN FBN2 Q03610 YN81_CAEEL ZC84 6 Q21059 NAS34_CAEEL 34</t>
  </si>
  <si>
    <t xml:space="preserve">CHIT_CAEEL PROBABLE ENDOCHITINASE CAENORHABDITIS ELEGANS CHT PE CHIA_RAT ACIDIC MAMMALIAN CHITINASE RATTUS NORVEGICUS CHIA CHIA_MOUSE MUS MUSCULUS PSIR_DICDI PSIR DICTYOSTELIUM DISCOIDEUM CHONDROITIN PROTEOGLYCAN CPG CHIT_BRUMA BRUGIA MALAYI PERITROPHIN LUCILIA CUPRINA FIBRILLIN HOMO SAPIENS UNCHARACTERIZED ZINC METALLOPROTEINASE NAS HCH </t>
  </si>
  <si>
    <t>Contig18037_4</t>
  </si>
  <si>
    <t xml:space="preserve"> CONTIG18037_4 GENEID_V1 3_PREDICTED_PROTEIN_4 575_AA CONTIG18037_3 3_PREDICTED_PROTEIN_3 253_AA CONTIG4145_1 3_PREDICTED_PROTEIN_1 144_AA CONTIG11645_1 CONTIG4530_1 CONTIG4530_2 3_PREDICTED_PROTEIN_2 108_AA CONTIG25921_1 107_AA CONTIG17879_96 3_PREDICTED_PROTEIN_96 157_AA CONTIG18021_1 489_AA CONTIG6267_1 368_AA</t>
  </si>
  <si>
    <t>calcium ion binding||metal ion binding||cation binding||ion binding||binding</t>
  </si>
  <si>
    <t>GO:0005509</t>
  </si>
  <si>
    <t>CBM_14 3e-009| ChtBD2 3e-008|</t>
  </si>
  <si>
    <t>Q9V7S5 1 O61369 3 Q9Y2C5 S17A4_HUMAN SLC17A4 2 Q8BN82 S17A5_MOUSE SLC17A5 Q9NRA2 S17A5_HUMAN Q5NCM1 S17A4_MOUSE Q03567 YLD2_CAEEL C38C10 Q9MZD1 S17A5_SHEEP Q05B21 VGLU1_XENTR SLC17A7 Q6INC8 VGLU1_XENLA</t>
  </si>
  <si>
    <t xml:space="preserve">PICO_DROME INORGANIC PHOSPHATE COTRANSPORTER DROSOPHILA MELANOGASTER PICOT PE PICO_DROAN ANANASSAE SMALL INTESTINE SODIUM DEPENDENT TRANSPORT HOMO SAPIENS SIALIN MUS MUSCULUS UNCHARACTERIZED TRANSPORTER CAENORHABDITIS ELEGANS OVIS ARIES VESICULAR GLUTAMATE XENOPUS TROPICALIS LAEVIS </t>
  </si>
  <si>
    <t xml:space="preserve"> CONTIG17873_2 GENEID_V1 3_PREDICTED_PROTEIN_2 467_AA CONTIG17970_410 3_PREDICTED_PROTEIN_410 520_AA CONTIG17866_74 3_PREDICTED_PROTEIN_74 342_AA CONTIG17527_6 3_PREDICTED_PROTEIN_6 475_AA CONTIG5543_1 3_PREDICTED_PROTEIN_1 696_AA CONTIG17893_67 3_PREDICTED_PROTEIN_67 410_AA CONTIG17468_3 3_PREDICTED_PROTEIN_3 839_AA CONTIG17870_29 3_PREDICTED_PROTEIN_29 491_AA CONTIG17468_2 152_AA CONTIG17972_191 3_PREDICTED_PROTEIN_191 379_AA</t>
  </si>
  <si>
    <t>PRK10133 0.009| Serpentine_recp 0.014| lacY 0.014| MFS_1 0.025| LacY_symp 0.038|</t>
  </si>
  <si>
    <t xml:space="preserve"> Ciona intestinalis</t>
  </si>
  <si>
    <t>Contig17728_54</t>
  </si>
  <si>
    <t xml:space="preserve"> CONTIG17728_54 GENEID_V1 3_PREDICTED_PROTEIN_54 474_AA CONTIG17993_61 3_PREDICTED_PROTEIN_61 290_AA CONTIG17907_37 3_PREDICTED_PROTEIN_37 375_AA CONTIG17857_45 3_PREDICTED_PROTEIN_45 1188_AA CONTIG17928_39 3_PREDICTED_PROTEIN_39 1261_AA</t>
  </si>
  <si>
    <t>Contig17685_19</t>
  </si>
  <si>
    <t>Caenorhabditis elegans - determination of adult life span</t>
  </si>
  <si>
    <t>TraO 0.076|</t>
  </si>
  <si>
    <t xml:space="preserve"> CONTIG18051_98 GENEID_V1 3_PREDICTED_PROTEIN_98 344_AA</t>
  </si>
  <si>
    <t>Contig17970_169</t>
  </si>
  <si>
    <t xml:space="preserve"> CONTIG17970_169 GENEID_V1 3_PREDICTED_PROTEIN_169 185_AA CONTIG17801_84 3_PREDICTED_PROTEIN_84 456_AA CONTIG9182_2 3_PREDICTED_PROTEIN_2 248_AA</t>
  </si>
  <si>
    <t>Contig18032_57</t>
  </si>
  <si>
    <t>Nufip - Drosophila melanogaster - mRNA binding - nucleus</t>
  </si>
  <si>
    <t>sp|Q6DC39|PPDE1_DANRE</t>
  </si>
  <si>
    <t>Q6DC39 PPDE1_DANRE 1 PPPDE1 2 Q5PQ09 PPDE1_XENLA Q5ZIV7 PPDE1_CHICK Q5R456 PPDE1_PONAB A3QRX8 PPDE1_PIG Q9D291 PPDE1_MOUSE Q9BSY9 PPDE1_HUMAN Q5XIT6 PPDE1_RAT Q93VG8 U326_ARATH UPF0326 AT4G17486 Q8X1T0 HAG1_SCHPO HAG1</t>
  </si>
  <si>
    <t xml:space="preserve">PPPDE PEPTIDASE DOMAIN CONTAINING DANIO RERIO PE XENOPUS LAEVIS GALLUS PONGO ABELII SUS SCROFA MUS MUSCULUS HOMO SAPIENS RATTUS NORVEGICUS ARABIDOPSIS THALIANA SCHIZOSACCHAROMYCES POMBE </t>
  </si>
  <si>
    <t>Contig17604_48</t>
  </si>
  <si>
    <t xml:space="preserve"> CONTIG17604_48 GENEID_V1 3_PREDICTED_PROTEIN_48 201_AA CONTIG17970_676 3_PREDICTED_PROTEIN_676 525_AA CONTIG17916_85 3_PREDICTED_PROTEIN_85 398_AA CONTIG17878_92 3_PREDICTED_PROTEIN_92 281_AA CONTIG17995_12 3_PREDICTED_PROTEIN_12 429_AA CONTIG17972_27 3_PREDICTED_PROTEIN_27 CONTIG17946_192 3_PREDICTED_PROTEIN_192 475_AA CONTIG17579_6 3_PREDICTED_PROTEIN_6 239_AA CONTIG13729_1 3_PREDICTED_PROTEIN_1 103_AA</t>
  </si>
  <si>
    <t>PPPDE peptidase domain containing 1 - Danio rerio - convergent extension involved in gastrulation - molecular_function - cellular_component</t>
  </si>
  <si>
    <t>&lt;convergent extension involved in gastrulation||cell\-cell adhesion involved in gastrulation||regulation of interleukin\-1 beta secretion||regulation of mast cell cytokine production||positive regulation of platelet activation||antifungal peptide biosynthetic process||antifungal peptide biosynthetic process||regulation of plasminogen activation||regulation of protein desumoylation||regulation of histone modification||regulation of viral transcription||regulation of telomere maintenance||meiotic joint molecule formation||telomeric 3' overhang formation||regulation of DNA recombination||meiotic heteroduplex formation||DNA replication termination||regulation of transcription||regulation of DNA ligation||DNA strand renaturation||lipoxygenase pathway||lipoxygenase pathway||lipoxygenase pathway||spliceosome assembly||tRNA exon ligation||photosystem II repair||germ cell attraction||exocyst assembly||exocyst assembly||vesicle targeting||beta selection||seed maturation||tube development||lung growth||lung growth||cornification||innervation</t>
  </si>
  <si>
    <t>GO:0060027</t>
  </si>
  <si>
    <t>DUF862 3e-031| RNA_polI_A34 2e-007| PRK11192 3e-007| ND4 7e-006| ND6 1e-005| ND2 2e-005| ND5 2e-005| ATP6 7e-005| PRK09138 9e-005| TatC 1e-004|</t>
  </si>
  <si>
    <t>sp|P14130|RS14_DROME</t>
  </si>
  <si>
    <t>P14130 RS14_DROME 40S S14 RPS14A 1 Q6XI08 RS14A_DROYA S14A 2 Q1HR24 RS14_AEDAE RPS14 Q7QBX2 RS14B_ANOGA S14B RPS14B 3 Q7QEH1 RS14A_ANOGA Q5UAM9 RS14_BOMMO P62264 RS14_MOUSE P62263 RS14_HUMAN P62265 RS14_CRIGR P13471 RS14_RAT</t>
  </si>
  <si>
    <t xml:space="preserve">RIBOSOMAL DROSOPHILA MELANOGASTER PE YAKUBA AEDES AEGYPTI ANOPHELES GAMBIAE BOMBYX MORI MUS MUSCULUS HOMO SAPIENS CRICETULUS GRISEUS RATTUS NORVEGICUS </t>
  </si>
  <si>
    <t>Contig6820_5</t>
  </si>
  <si>
    <t xml:space="preserve"> CONTIG6820_5 GENEID_V1 3_PREDICTED_PROTEIN_5 152_AA CONTIG17364_7 3_PREDICTED_PROTEIN_7 1077_AA CONTIG18057_175 3_PREDICTED_PROTEIN_175 897_AA CONTIG17801_8 3_PREDICTED_PROTEIN_8 1025_AA CONTIG17221_3 3_PREDICTED_PROTEIN_3 381_AA CONTIG18022_14 3_PREDICTED_PROTEIN_14 329_AA CONTIG18007_14 350_AA CONTIG17894_14 121_AA CONTIG17451_2 3_PREDICTED_PROTEIN_2 148_AA CONTIG17120_10 3_PREDICTED_PROTEIN_10 239_AA</t>
  </si>
  <si>
    <t>Ribosomal protein S14b - Drosophila melanogaster - translation - structural constituent of ribosome - cytosolic small ribosomal subunit - ribosome</t>
  </si>
  <si>
    <t>cytosolic small ribosomal subunit||small ribosomal subunit||polysomal ribosome||ribosome||nuclear cyclin\-dependent protein kinase holoenzyme complex||cyclin\-dependent protein kinase holoenzyme complex||outer membrane\-bounded periplasmic space||external encapsulating structure part||cell part</t>
  </si>
  <si>
    <t>GO:0022627</t>
  </si>
  <si>
    <t>PTZ00129 5e-068| rps11p 4e-061| arch_S11P 5e-050| Ribosomal_S11 5e-042| RpsK 3e-038| PRK05309 4e-021| bact_S11 1e-019| rps11 8e-015| ND4 3e-006| YfhO 6e-005|</t>
  </si>
  <si>
    <t>mitochondrial Cytochrome c oxidase subunit I - Drosophila melanogaster - cytochrome-c oxidase activity - mitochondrion - mitochondrial respiratory chain complex IV - mitochondrial electron transport, cytochrome c to oxygen - mitochondrial inner membrane - sleep</t>
  </si>
  <si>
    <t>cytochrome\-c oxidase activity||hydrogen ion transmembrane transporter activity||monovalent inorganic cation transmembrane transporter activity||inorganic cation transmembrane transporter activity||cation transmembrane transporter activity||ion transmembrane transporter activity||substrate\-specific transmembrane transporter activity||substrate\-specific transporter activity||transporter activity</t>
  </si>
  <si>
    <t>GO:0004129</t>
  </si>
  <si>
    <t>&lt;mitochondrial electron transport\, cytochrome c to oxygen||mitochondrial electron transport\, cytochrome c to oxygen||regulation of cellular amine catabolic process||regulation of activation of Janus kinase activity||nuclear\-transcribed mRNA poly(A) tail shortening||amylopectin biosynthetic process||amylopectin biosynthetic process||regulation of toll\-like receptor signaling pathway||regulation of toll\-like receptor signaling pathway||establishment of natural killer cell polarity||pro\-T cell lineage commitment||hemocyte migration||skeletal muscle fiber development||imaginal disc\-derived genitalia morphogenesis||neuroblast fate determination||motogenic signaling initiating cell movement in the cerebral cortex||motogenic signaling initiating cell movement in the cerebral cortex||motogenic signaling initiating cell movement in the cerebral cortex||nucleus accumbens development||adenohypophysis development||dorsal vessel heart proper cell fate commitment||dorsal vessel heart proper cell fate commitment||Notch signaling pathway involved in forebrain neuron fate commitment||neuron projection morphogenesis||neuron projection morphogenesis||imaginal disc morphogenesis||regulation of compound eye cone cell fate specification||epidermal cell differentiation||positive regulation of biomineral formation||optic cup morphogenesis involved in camera\-type eye development||dorsal vessel aortic cell fate commitment||central B cell deletion||spinal cord anterior/posterior patterning||post\-embryonic ectodermal gut morphogenesis||positive regulation of appressorium maturation on or near host||regulation of meristem structural organization||inhibition of phospholipase C activity involved in G\-protein coupled receptor signaling pathway||inhibition of phospholipase C activity involved in G\-protein coupled receptor signaling pathway||positive regulation of chemokine\-mediated signaling pathway||synaptic vesicle uncoating||regulation of RNA elongation||positive regulation of gibberellin biosynthetic process||negative regulation of gibberellin biosynthetic process||positive regulation of triglyceride biosynthetic process||negative regulation of gibberellin biosynthetic process||regulation of DNA endoreduplication||centromeric core chromatin formation||regulation of embryo sac central cell differentiation||neuron migration||regulation of transcription from RNA polymerase II promoter involved in ventral spinal cord interneuron specification||ocellus photoreceptor cell development||regulation of transcription from RNA polymerase II promoter involved in spinal cord motor neuron fate specification||regulation of axonogenesis||regulation of axonogenesis||positive regulation of transcription on exit from mitosis||positive regulation of transcription on exit from mitosis||regulation of centromeric sister chromatid cohesion||homologous chromosome orientation during meiosis||regulation of adenosine receptor signaling pathway||B cell selection||nuclear fragmentation during apoptosis||vasoconstriction of artery involved in baroreceptor response to lowering of systemic arterial blood pressure||vasoconstriction of artery involved in baroreceptor response to lowering of systemic arterial blood pressure||vasoconstriction of artery involved in baroreceptor response to lowering of systemic arterial blood pressure||catabolism by symbiont of host cell wall pectin||regulation of abscisic acid mediated signaling||inferior olivary nucleus formation||regulation of salivary gland boundary specification</t>
  </si>
  <si>
    <t>GO:0006123</t>
  </si>
  <si>
    <t>sp|Q568N4|TIM9B_DANRE</t>
  </si>
  <si>
    <t>Q568N4 TIM9B_DANRE TIM9 FXC1 2 1 Q6GR66 TIM9B_XENLA Q5RDJ0 TIM9B_PONAB 3 Q9Y5J6 TIM9B_HUMAN Q9WV96 TIM9B_MOUSE Q3SZW4 TIM9B_BOVIN Q9Y0V3 TIM9B_DROME TIM9B Q9R1B1 TIM9B_RAT Q9WV97 TIM9_RAT TIMM9 Q9Y5J7 TIM9_HUMAN</t>
  </si>
  <si>
    <t xml:space="preserve">MITOCHONDRIAL IMPORT INNER MEMBRANE TRANSLOCASE SUBUNIT B DANIO RERIO PE XENOPUS LAEVIS PONGO ABELII HOMO SAPIENS MUS MUSCULUS BOS TAURUS DROSOPHILA MELANOGASTER RATTUS NORVEGICUS </t>
  </si>
  <si>
    <t>Contig17907_89</t>
  </si>
  <si>
    <t xml:space="preserve"> CONTIG17907_89 GENEID_V1 3_PREDICTED_PROTEIN_89 1098_AA CONTIG17908_13 3_PREDICTED_PROTEIN_13 89_AA CONTIG18038_5 3_PREDICTED_PROTEIN_5 99_AA CONTIG18057_90 3_PREDICTED_PROTEIN_90 542_AA CONTIG17783_4 3_PREDICTED_PROTEIN_4 1165_AA CONTIG17960_142 3_PREDICTED_PROTEIN_142 1240_AA CONTIG17812_50 3_PREDICTED_PROTEIN_50 3188_AA CONTIG17898_74 3_PREDICTED_PROTEIN_74 2814_AA CONTIG11412_1 3_PREDICTED_PROTEIN_1 427_AA CONTIG16048_1 464_AA</t>
  </si>
  <si>
    <t>fractured callus expressed transcript 1 - Mus musculus - mitochondrion</t>
  </si>
  <si>
    <t>P\-P\-bond\-hydrolysis\-driven protein transmembrane transporter activity||P\-P\-bond\-hydrolysis\-driven transmembrane transporter activity||primary active transmembrane transporter activity||active transmembrane transporter activity||transmembrane transporter activity||transporter activity</t>
  </si>
  <si>
    <t>GO:0015450</t>
  </si>
  <si>
    <t>&lt;mitochondrial inner membrane presequence translocase complex||mitochondrial inner membrane presequence translocase complex||plasma membrane proton\-transporting ATP synthase\, stator stalk||mitochondrial respiratory chain complex I\, membrane segment||mitochondrial respiratory chain complex I\, membrane segment||mitochondrial proton\-transporting ATP synthase complex\, catalytic core F(1)||mitochondrial proton\-transporting ATP synthase complex\, catalytic core F(1)||mitochondrial proton\-transporting ATP synthase complex\, catalytic core F(1)||mitochondrial proton\-transporting ATP synthase complex\, catalytic core F(1)||mitochondrial proton\-transporting ATP synthase complex\, catalytic core F(1)||mitochondrial proton\-transporting ATP synthase complex\, catalytic core F(1)||mitochondrial proton\-transporting ATP synthase complex\, catalytic core F(1)||DNA polymerase III\, proofreading complex</t>
  </si>
  <si>
    <t>DNA polymerase III\, proofreading complex</t>
  </si>
  <si>
    <t>mitochondrial proton\-transporting ATP synthase complex\, catalytic core F(1)</t>
  </si>
  <si>
    <t>GO:0005744</t>
  </si>
  <si>
    <t>protein transport||cellular protein localization||protein localization||macromolecule localization||localization</t>
  </si>
  <si>
    <t>GO:0015031</t>
  </si>
  <si>
    <t>zf-Tim10_DDP 5e-010|</t>
  </si>
  <si>
    <t>O96790 1 2 Q06684 P31696 P82968 P10184 IOV7_CHICK O00468 4 P25304 A2ASQ1 P05560 P01005</t>
  </si>
  <si>
    <t xml:space="preserve">DPGN_DIPMA SERINE PROTEASE INHIBITOR DIPETALOGASTIN FRAGMENT DIPETALOGASTER MAXIMUS PE THBI_RHOPR THROMBIN RHODNIIN RHODNIUS PROLIXUS AGRIN_CHICK AGRIN GALLUS AGRN MCPI_MELCP FOUR DOMAIN PROTEASES MELITHAEA CALEDONICA OVOINHIBITOR OIH AGRIN_HUMAN HOMO SAPIENS AGRIN_RAT RATTUS NORVEGICUS AGRIN_MOUSE MUS MUSCULUS IOVO_DRONO OVOMUCOID DROMAIUS NOVAEHOLLANDIAE IOVO_CHICK </t>
  </si>
  <si>
    <t xml:space="preserve"> CONTIG17791_8 GENEID_V1 3_PREDICTED_PROTEIN_8 352_AA CONTIG17791_6 3_PREDICTED_PROTEIN_6 610_AA CONTIG17836_99 3_PREDICTED_PROTEIN_99 448_AA CONTIG17791_7 3_PREDICTED_PROTEIN_7 156_AA CONTIG18051_58 3_PREDICTED_PROTEIN_58 1541_AA CONTIG17791_2 3_PREDICTED_PROTEIN_2 129_AA CONTIG18057_241 3_PREDICTED_PROTEIN_241 323_AA CONTIG18057_242 3_PREDICTED_PROTEIN_242 210_AA CONTIG18026_1 3_PREDICTED_PROTEIN_1 146_AA CONTIG17898_77 3_PREDICTED_PROTEIN_77 680_AA</t>
  </si>
  <si>
    <t>agrin - Rattus norvegicus - proteinaceous extracellular matrix - basement membrane - basal lamina - extracellular space - plasma membrane organization - synaptic transmission - synaptogenesis - neuromuscular junction development - regulation of synaptic growth at neuromuscular junction - cell surface - acetylcholine receptor regulator activity - receptor clustering - synapse - neurotransmitter receptor metabolic process - positive regulation of transcription from RNA polymerase II promoter</t>
  </si>
  <si>
    <t>plasma membrane organization||membrane organization||cellular component organization</t>
  </si>
  <si>
    <t>GO:0007009</t>
  </si>
  <si>
    <t>KAZAL 2e-013| KAZAL_FS 5e-012| Kazal_2 2e-011| Kazal_1 7e-011| KAZAL_PSTI 3e-007| KAZAL_SLC21 1e-004| OATP 6e-004| oat 0.005| FSL_SPARC 0.006| COG2194 0.008|</t>
  </si>
  <si>
    <t>sp|B6EIZ7|PLSX_ALISL</t>
  </si>
  <si>
    <t xml:space="preserve"> Aliivibrio salmonicida (strain LFI1238)</t>
  </si>
  <si>
    <t>B6EIZ7 LFI1238 3 1 B5FG42 MJ11 Q5E408 PLSX_VIBF1 700601 ES114 C3LNX5 O1 M66 2 Q9KQH4 A5F6P0 PLSX_VIBC3 39541 395 O395 Q9U405</t>
  </si>
  <si>
    <t xml:space="preserve">PLSX_ALISL PHOSPHATE ACYLTRANSFERASE ALIIVIBRIO SALMONICIDA STRAIN PLSX PE PLSX_VIBFM VIBRIO FISCHERI ATCC PLSX_VIBCM CHOLERAE SEROTYPE PLSX_VIBCH OGAWA GRAU_DROME TRANSCRIPTION FACTOR GRAUZONE DROSOPHILA MELANOGASTER GRAU </t>
  </si>
  <si>
    <t>Contig17872_112</t>
  </si>
  <si>
    <t xml:space="preserve"> CONTIG17872_112 GENEID_V1 3_PREDICTED_PROTEIN_112 47_AA CONTIG17878_40 3_PREDICTED_PROTEIN_40 931_AA CONTIG17664_66 3_PREDICTED_PROTEIN_66 642_AA CONTIG17817_6 3_PREDICTED_PROTEIN_6 574_AA CONTIG17898_89 3_PREDICTED_PROTEIN_89 432_AA CONTIG17896_60 3_PREDICTED_PROTEIN_60 598_AA CONTIG17353_18 3_PREDICTED_PROTEIN_18 376_AA CONTIG8804_9 3_PREDICTED_PROTEIN_9 1544_AA CONTIG18051_120 3_PREDICTED_PROTEIN_120 500_AA CONTIG18032_10 3_PREDICTED_PROTEIN_10 1297_AA</t>
  </si>
  <si>
    <t>poils au dos - Drosophila melanogaster - bristle morphogenesis</t>
  </si>
  <si>
    <t>specific RNA polymerase II transcription factor activity||RNA polymerase II transcription factor activity||transcription regulator activity</t>
  </si>
  <si>
    <t>RNA polymerase II transcription factor activity</t>
  </si>
  <si>
    <t>GO:0003704</t>
  </si>
  <si>
    <t>&lt;cellularization||antennal morphogenesis||regulation of ovulation||regulation of exogen||regulation of exogen||nodule morphogenesis||male mating behavior||scnRNA production||protein maturation||beta selection||seed maturation||tube development||lung growth||lung growth||cornification||innervation</t>
  </si>
  <si>
    <t>GO:0007349</t>
  </si>
  <si>
    <t>zf-AD 1e-009| DUF443 0.003| Acyl_transf_3 0.003| 7TMR-DISM_7TM 0.010| TatC 0.013| Serpentine_recp 0.046| DltB 0.057|</t>
  </si>
  <si>
    <t xml:space="preserve"> Fowlpox virus</t>
  </si>
  <si>
    <t>sp|Q02AL1|RS2_SOLUE</t>
  </si>
  <si>
    <t xml:space="preserve"> Solibacter usitatus (strain Ellin6076)</t>
  </si>
  <si>
    <t>Q02AL1 RS2_SOLUE 30S S2 ELLIN6076 3 1</t>
  </si>
  <si>
    <t xml:space="preserve">RIBOSOMAL SOLIBACTER USITATUS STRAIN RPSB PE </t>
  </si>
  <si>
    <t>Contig17970_566</t>
  </si>
  <si>
    <t xml:space="preserve"> CONTIG17970_566 GENEID_V1 3_PREDICTED_PROTEIN_566 744_AA</t>
  </si>
  <si>
    <t>Contig540_1</t>
  </si>
  <si>
    <t>sp|P50668|COX1_CHOBI</t>
  </si>
  <si>
    <t xml:space="preserve"> Choristoneura biennis</t>
  </si>
  <si>
    <t>P50668 COX1_CHOBI 1 3 2 Q36724 COX1_BLAGE P34838 COX1_ANOGA P00400 COX1_DROYA P67794 COX1_CHOPI P67793 COX1_CHOOC P50669 COX1_CHOFU Q37705 COX1_ARTSF Q34388 COX1_DROSI Q34391 COX1_DROSE</t>
  </si>
  <si>
    <t xml:space="preserve">CYTOCHROME C OXIDASE SUBUNIT CHORISTONEURA BIENNIS COI PE FRAGMENT BLATTELLA GERMANICA ANOPHELES GAMBIAE DROSOPHILA YAKUBA MT PINUS OCCIDENTALIS FUMIFERANA ARTEMIA FRANCISCANA FRAGMENTS SIMULANS SECHELLIA </t>
  </si>
  <si>
    <t>Contig17966_135</t>
  </si>
  <si>
    <t xml:space="preserve"> CONTIG17966_135 GENEID_V1 3_PREDICTED_PROTEIN_135 777_AA CONTIG5571_4 3_PREDICTED_PROTEIN_4 457_AA CONTIG17938_69 3_PREDICTED_PROTEIN_69 4082_AA</t>
  </si>
  <si>
    <t>Contig28104_1</t>
  </si>
  <si>
    <t>COX1 e-137| COX1 e-120| COX1 e-117| Cyt_c_Oxidase_I e-117| COX1 e-115| COX1 e-115| COX1 e-110| COX1 e-108| COX1 e-107| COX1 e-106|</t>
  </si>
  <si>
    <t>sp|Q5APK0|PAN2_CANAL</t>
  </si>
  <si>
    <t xml:space="preserve"> Candida albicans</t>
  </si>
  <si>
    <t>Q5APK0 PAN2_CANAL PAN2 3 1 Q9C698 FPP6_ARATH 6 FPP6 2 Q5AM50 NMD4_CANAL 4 NMD4 Q8WXH0 SYNE2_HUMAN SYNE2 Q06J19 RPOC2_BIGNA RPOC2 O13364 PET54_SACBA PET54 B2V955 YO3AOP1 Q54TK4 Y1809_DICDI DDB_G0281809 P33537</t>
  </si>
  <si>
    <t xml:space="preserve">PAB DEPENDENT POLY A SPECIFIC RIBONUCLEASE SUBUNIT CANDIDA ALBICANS PE FILAMENT LIKE PLANT ARABIDOPSIS THALIANA NONSENSE MEDIATED DECAY NESPRIN HOMO SAPIENS DNA DIRECTED RNA POLYMERASE BETA BIGELOWIELLA NATANS SACCHAROMYCES BAYANUS HEMH_SULSY FERROCHELATASE SULFURIHYDROGENIBIUM STRAIN HEMH RAP GAP DOMAIN CONTAINING DICTYOSTELIUM DISCOIDEUM DPOM_NEUCR PROBABLE NEUROSPORA CRASSA </t>
  </si>
  <si>
    <t>Contig17963_38</t>
  </si>
  <si>
    <t xml:space="preserve"> CONTIG17963_38 GENEID_V1 3_PREDICTED_PROTEIN_38 239_AA CONTIG17521_16 3_PREDICTED_PROTEIN_16 975_AA CONTIG17963_39 3_PREDICTED_PROTEIN_39 226_AA CONTIG17910_79 3_PREDICTED_PROTEIN_79 219_AA CONTIG17878_10 3_PREDICTED_PROTEIN_10 447_AA CONTIG17566_23 3_PREDICTED_PROTEIN_23 695_AA CONTIG17792_52 3_PREDICTED_PROTEIN_52 1544_AA CONTIG17887_149 3_PREDICTED_PROTEIN_149 238_AA CONTIG17488_12 3_PREDICTED_PROTEIN_12 398_AA CONTIG17909_25 3_PREDICTED_PROTEIN_25 845_AA</t>
  </si>
  <si>
    <t>RapGAP/RanGAP domain-containing protein - Dictyostelium discoideum - cellular_component - biological_process - molecular_function</t>
  </si>
  <si>
    <t>JHBP 0.066| DUF161 0.099|</t>
  </si>
  <si>
    <t>sp|P16650|TGB1_PVSP</t>
  </si>
  <si>
    <t xml:space="preserve"> Potato virus S (strain Peruvian)</t>
  </si>
  <si>
    <t>P16650 TGB1_PVSP TGB1 ORF2 3 1</t>
  </si>
  <si>
    <t xml:space="preserve">HELICASE POTATO VIRUS S STRAIN PERUVIAN PE </t>
  </si>
  <si>
    <t>Contig17900_12</t>
  </si>
  <si>
    <t xml:space="preserve"> CONTIG17900_12 GENEID_V1 3_PREDICTED_PROTEIN_12 77_AA CONTIG17970_435 3_PREDICTED_PROTEIN_435 1057_AA CONTIG17821_71 3_PREDICTED_PROTEIN_71 975_AA CONTIG17773_30 3_PREDICTED_PROTEIN_30 638_AA CONTIG17794_40 3_PREDICTED_PROTEIN_40 935_AA CONTIG16716_1 3_PREDICTED_PROTEIN_1 642_AA CONTIG12800_4 3_PREDICTED_PROTEIN_4 301_AA CONTIG17067_10 3_PREDICTED_PROTEIN_10 456_AA</t>
  </si>
  <si>
    <t>Contig18023_12</t>
  </si>
  <si>
    <t>basic helix-loop-helix family, member e22 - Mus musculus - transcription repressor activity - neuron differentiation - retinal bipolar neuron differentiation - retina morphogenesis in camera-type eye</t>
  </si>
  <si>
    <t>transcription repressor activity||transcription regulator activity</t>
  </si>
  <si>
    <t>transcription repressor activity</t>
  </si>
  <si>
    <t>GO:0016564</t>
  </si>
  <si>
    <t>&lt;neuron differentiation||myoblast maturation||astrocyte activation||Nebenkern formation||neuron maturation||myoblast maturation||lung induction||trachea formation||cornification||bract formation||pons formation||pons formation||tube fusion||seed growth||innervation</t>
  </si>
  <si>
    <t>GO:0030182</t>
  </si>
  <si>
    <t>ND2 1e-005| 7TMR-DISM_7TM 3e-005| ND5 4e-004| ATP6 6e-004| COG4781 0.002| ND6 0.002| 7TM_GPCR_Srz 0.002| MFS 0.003| ND2 0.007| COG4589 0.007|</t>
  </si>
  <si>
    <t>sp|Q5ZI51|ARHL2_CHICK</t>
  </si>
  <si>
    <t>Q5ZI51 ARHL2_CHICK ARH3 ADPRHL2 2 1 P09282 UL32_VZVD UL32 26 3 Q54KB9 Y1923_DICDI DDB_G0287489 4</t>
  </si>
  <si>
    <t xml:space="preserve">POLY ADP RIBOSE GLYCOHYDROLASE GALLUS PE PACKAGING VARICELLA ZOSTER VIRUS STRAIN DUMAS UNCHARACTERIZED DICTYOSTELIUM DISCOIDEUM </t>
  </si>
  <si>
    <t>Contig10370_3</t>
  </si>
  <si>
    <t xml:space="preserve"> CONTIG10370_3 GENEID_V1 3_PREDICTED_PROTEIN_3 672_AA CONTIG13963_1 3_PREDICTED_PROTEIN_1 1180_AA CONTIG26274_1 379_AA CONTIG17971_109 3_PREDICTED_PROTEIN_109 831_AA</t>
  </si>
  <si>
    <t>CG3815 - Drosophila melanogaster - transcription factor activity</t>
  </si>
  <si>
    <t>sp|Q38717|RNS4_ANTHI</t>
  </si>
  <si>
    <t xml:space="preserve"> Antirrhinum hispanicum</t>
  </si>
  <si>
    <t>Q38717 RNS4_ANTHI 4 S4 2 1</t>
  </si>
  <si>
    <t xml:space="preserve">RIBONUCLEASE S ANTIRRHINUM HISPANICUM PE </t>
  </si>
  <si>
    <t>splicing factor proline/glutamine rich (polypyrimidine tract binding protein associated) - Rattus norvegicus - protein binding</t>
  </si>
  <si>
    <t>PRK12678 3e-009| Drf_FH1 2e-007| Extensin_2 1e-005| Atrophin-1 1e-005| Gag_spuma 1e-004| TT_ORF1 1e-004| PRK06958 2e-004| GP38 4e-004| COG0842 5e-004| Tymo_45kd_70kd 7e-004|</t>
  </si>
  <si>
    <t>sp|P13336|VG28_BPT4</t>
  </si>
  <si>
    <t xml:space="preserve"> Enterobacteria phage T4</t>
  </si>
  <si>
    <t>P13336 VG28_BPT4 GP28 T4 28 4</t>
  </si>
  <si>
    <t xml:space="preserve">BASEPLATE STRUCTURAL ENTEROBACTERIA PHAGE PE </t>
  </si>
  <si>
    <t>Contig18042_20</t>
  </si>
  <si>
    <t xml:space="preserve"> CONTIG18042_20 GENEID_V1 3_PREDICTED_PROTEIN_20 720_AA CONTIG17879_54 3_PREDICTED_PROTEIN_54 401_AA CONTIG549_1 3_PREDICTED_PROTEIN_1 306_AA CONTIG17872_32 3_PREDICTED_PROTEIN_32 325_AA CONTIG17786_94 3_PREDICTED_PROTEIN_94 50_AA CONTIG17939_49 3_PREDICTED_PROTEIN_49 93_AA CONTIG17665_17 3_PREDICTED_PROTEIN_17 49_AA CONTIG17099_2 3_PREDICTED_PROTEIN_2 651_AA CONTIG15895_20 550_AA CONTIG17594_22 3_PREDICTED_PROTEIN_22 897_AA</t>
  </si>
  <si>
    <t>Contig17327_7</t>
  </si>
  <si>
    <t>hypothetical protein - Campylobacter jejuni RM1221 - molecular_function - cellular_component - biological_process</t>
  </si>
  <si>
    <t>P02255 H1_DROME H1 HIS1 1 P17268 H1_DROHY 3 2 Q94972 H13_DROVI Q94555 H12_DROVI P40276 H1B_CHITE H1B P40265 H13_GLYBA Q24704 H11_DROVI P21895 H1_CHITH P40277 H1C_CHITE H1C P40275 H1A_CHITE H1A</t>
  </si>
  <si>
    <t xml:space="preserve">HISTONE DROSOPHILA MELANOGASTER PE HYDEI VIRILIS CHIRONOMUS TENTANS III GLYPTOTENDIPES BARBIPES THUMMI </t>
  </si>
  <si>
    <t xml:space="preserve"> CONTIG18070_21 GENEID_V1 3_PREDICTED_PROTEIN_21 209_AA CONTIG17816_29 3_PREDICTED_PROTEIN_29 213_AA CONTIG17651_14 3_PREDICTED_PROTEIN_14 207_AA CONTIG17651_15 3_PREDICTED_PROTEIN_15 189_AA CONTIG17917_53 3_PREDICTED_PROTEIN_53 164_AA CONTIG17651_7 3_PREDICTED_PROTEIN_7 211_AA CONTIG4159_7 881_AA CONTIG17872_53 1520_AA CONTIG17738_28 3_PREDICTED_PROTEIN_28 526_AA CONTIG17613_13 3_PREDICTED_PROTEIN_13 1623_AA</t>
  </si>
  <si>
    <t>H15 1e-027| Linker_histone 5e-026| H15 5e-023| PRK09138 0.001| PRK13808 0.006| Baculo_PP31 0.017| kgd 0.056| PRK07941 0.065| PRK00708 0.066| COG4982 0.068|</t>
  </si>
  <si>
    <t>sp|Q4GXU6|RS4_CARGR</t>
  </si>
  <si>
    <t xml:space="preserve"> Carabus granulatus</t>
  </si>
  <si>
    <t>Q4GXU6 RS4_CARGR 40S S4 RPS4 2 1 Q56FH2 RS4_LYSTE Q4PMB3 RS4_IXOSC Q95V34 RS4_SPOFR P41042 RS4_DROME Q5UAP0 RS4_BOMMO P47836 RS4_CHICK Q6PBC4 RS4_XENTR 3 P79183 RS4Y1_MACFU RPS4Y1 Q90YS0 RS4_ICTPU</t>
  </si>
  <si>
    <t xml:space="preserve">RIBOSOMAL CARABUS GRANULATUS PE LYSIPHLEBUS TESTACEIPES IXODES SCAPULARIS SPODOPTERA FRUGIPERDA DROSOPHILA MELANOGASTER BOMBYX MORI GALLUS XENOPUS TROPICALIS Y ISOFORM MACACA FUSCATA ICTALURUS PUNCTATUS </t>
  </si>
  <si>
    <t>Contig17729_72</t>
  </si>
  <si>
    <t>1CONTIG17729_72 GENEID_V1 3_PREDICTED_PROTEIN_72 300_AA CONTIG17950_124 3_PREDICTED_PROTEIN_124 147_AA CONTIG17855_110 3_PREDICTED_PROTEIN_110 198_AA</t>
  </si>
  <si>
    <t>Ribosomal protein S4 - Drosophila melanogaster - translation - structural constituent of ribosome - cytosolic small ribosomal subunit - ribosome - lipid particle - mitotic spindle elongation - mitotic spindle organization</t>
  </si>
  <si>
    <t>RPS4A 8e-055| PRK04313 1e-040| RS4NT 5e-015| Ribosomal_S4e 4e-013| S4 2e-006| S4 3e-006| S4 2e-005|</t>
  </si>
  <si>
    <t>sp|Q45594|YYDH_BACSU</t>
  </si>
  <si>
    <t xml:space="preserve"> Bacillus subtilis</t>
  </si>
  <si>
    <t>Q45594 2 Q06994 1 6 3</t>
  </si>
  <si>
    <t xml:space="preserve">YYDH_BACSU ZINC METALLOPROTEASE YYDH BACILLUS SUBTILIS PE RFAB_SALTY LIPOPOLYSACCHARIDE GALACTOSYLTRANSFERASE SALMONELLA TYPHIMURIUM RFAB </t>
  </si>
  <si>
    <t>Contig15877_4</t>
  </si>
  <si>
    <t xml:space="preserve"> CONTIG15877_4 GENEID_V1 3_PREDICTED_PROTEIN_4 304_AA CONTIG4210_2 3_PREDICTED_PROTEIN_2 618_AA CONTIG17597_19 3_PREDICTED_PROTEIN_19 432_AA CONTIG16160_1 3_PREDICTED_PROTEIN_1 235_AA CONTIG8279_2 629_AA CONTIG17777_2 370_AA</t>
  </si>
  <si>
    <t>Contig17382_19</t>
  </si>
  <si>
    <t>DNA-binding response regulator - Bacillus anthracis str. Ames - two-component response regulator activity - two-component signal transduction system (phosphorelay) - transcription factor activity - regulation of transcription, DNA-dependent</t>
  </si>
  <si>
    <t>two\-component response regulator activity||signal transducer activity||molecular transducer activity</t>
  </si>
  <si>
    <t>GO:0000156</t>
  </si>
  <si>
    <t>two\-component signal transduction system (phosphorelay)||signal transduction||regulation of cellular process||regulation of biological process||biological regulation</t>
  </si>
  <si>
    <t>GO:0000160</t>
  </si>
  <si>
    <t>PRK11192 4e-010| TatC 6e-010| SURF6 1e-009| RNA_polI_A34 2e-009| PRK04950 3e-008| DltB 4e-008| DUF1754 1e-007| YfhO 1e-007| DUF2011 1e-007| YL1 2e-007|</t>
  </si>
  <si>
    <t xml:space="preserve"> Plasmodium knowlesi strain H</t>
  </si>
  <si>
    <t>sp|Q8QGX4|PRKDC_CHICK</t>
  </si>
  <si>
    <t>Q8QGX4 2 1</t>
  </si>
  <si>
    <t xml:space="preserve">PRKDC_CHICK DNA DEPENDENT KINASE CATALYTIC SUBUNIT GALLUS PRKDC PE </t>
  </si>
  <si>
    <t>Contig17614_38</t>
  </si>
  <si>
    <t xml:space="preserve"> CONTIG17614_38 GENEID_V1 3_PREDICTED_PROTEIN_38 207_AA CONTIG3216_2 3_PREDICTED_PROTEIN_2 1016_AA CONTIG17851_23 3_PREDICTED_PROTEIN_23 991_AA CONTIG17175_10 3_PREDICTED_PROTEIN_10 808_AA CONTIG17626_37 3_PREDICTED_PROTEIN_37 1470_AA</t>
  </si>
  <si>
    <t>Contig17855_41</t>
  </si>
  <si>
    <t>RNA-binding region RNP-1 domain-containing protein, RNA recognition motif-containing protein RRM, CCHC-type zinc finger-containing protein - Dictyostelium discoideum - cellular_component - biological_process - nucleic acid binding</t>
  </si>
  <si>
    <t>nucleic acid binding||binding</t>
  </si>
  <si>
    <t>GO:0003676</t>
  </si>
  <si>
    <t>ND2 4e-007| ND4 1e-004| ND4 2e-004| ND4 5e-004| ND5 6e-004| ND5 0.006| ATP6 0.006| ND2 0.008| 7TM_GPCR_Srz 0.015| COX3 0.016|</t>
  </si>
  <si>
    <t>sp|P70952|YITZ_BACSU</t>
  </si>
  <si>
    <t>P70952 3 2 Q9TUQ3 CO7_PIG C7 1</t>
  </si>
  <si>
    <t xml:space="preserve">YITZ_BACSU UNCHARACTERIZED MFS TYPE TRANSPORTER YITZ BACILLUS SUBTILIS PE COMPLEMENT COMPONENT SUS SCROFA </t>
  </si>
  <si>
    <t>Contig17157_3</t>
  </si>
  <si>
    <t xml:space="preserve"> CONTIG17157_3 GENEID_V1 3_PREDICTED_PROTEIN_3 408_AA CONTIG18029_33 3_PREDICTED_PROTEIN_33 315_AA CONTIG17832_65 3_PREDICTED_PROTEIN_65 462_AA CONTIG17872_110 3_PREDICTED_PROTEIN_110 691_AA CONTIG4265_1 3_PREDICTED_PROTEIN_1 305_AA</t>
  </si>
  <si>
    <t>Contig17851_91</t>
  </si>
  <si>
    <t>sterol O-acyltransferase 1 - Mus musculus - cholesterol metabolic process - membrane - microsome - sterol O-acyltransferase activity</t>
  </si>
  <si>
    <t>sterol O\-acyltransferase activity||O\-acyltransferase activity||acyltransferase activity||transferase activity\, transferring acyl groups other than amino\-acyl groups||transferase activity\, transferring acyl groups||transferase activity||catalytic activity</t>
  </si>
  <si>
    <t>GO:0004772</t>
  </si>
  <si>
    <t>cholesterol metabolic process||sterol metabolic process||steroid metabolic process||cellular lipid metabolic process||lipid metabolic process||primary metabolic process||metabolic process</t>
  </si>
  <si>
    <t>GO:0008203</t>
  </si>
  <si>
    <t>TagG 0.061|</t>
  </si>
  <si>
    <t>sp|Q9NYU1|UGGG2_HUMAN</t>
  </si>
  <si>
    <t>Q9NYU1 UGGG2_HUMAN 2 UGGT2 1 4 Q9NYU2 UGGG1_HUMAN UGGT1 3 Q6P5E4 UGGG1_MOUSE Q9JLA3 UGGG1_RAT Q09332 Q8T191 Q9SXL4 AHK1_ARATH AHK1 P31568 YCF2_OENPI YCF2 Q54ZT0 Q64XV7 PUR7_BACFR</t>
  </si>
  <si>
    <t xml:space="preserve">UDP GLUCOSE GLYCOPROTEIN GLUCOSYLTRANSFERASE HOMO SAPIENS PE MUS MUSCULUS RATTUS NORVEGICUS UGGG_DROME DROSOPHILA MELANOGASTER UGT UGGG_DICDI PROBABLE A DICTYOSTELIUM DISCOIDEUM GGTA HISTIDINE KINASE ARABIDOPSIS THALIANA FRAGMENT OENOTHERA PICENSIS SET_DICDI SET HOMOLOG PHOSPHORIBOSYLAMINOIMIDAZOLE SUCCINOCARBOXAMIDE SYNTHASE BACTEROIDES FRAGILIS PURC </t>
  </si>
  <si>
    <t>Contig17896_56</t>
  </si>
  <si>
    <t xml:space="preserve"> CONTIG17896_56 GENEID_V1 3_PREDICTED_PROTEIN_56 1561_AA CONTIG17943_130 3_PREDICTED_PROTEIN_130 622_AA CONTIG17825_7 3_PREDICTED_PROTEIN_7 99_AA CONTIG18070_348 3_PREDICTED_PROTEIN_348 572_AA CONTIG17864_66 3_PREDICTED_PROTEIN_66 372_AA CONTIG17674_11 3_PREDICTED_PROTEIN_11 561_AA CONTIG17523_5 3_PREDICTED_PROTEIN_5 549_AA CONTIG17863_95 3_PREDICTED_PROTEIN_95 37_AA CONTIG18052_3 3_PREDICTED_PROTEIN_3 318_AA CONTIG17996_3 1053_AA</t>
  </si>
  <si>
    <t>zgc:152896 - Danio rerio - cellular_component</t>
  </si>
  <si>
    <t>UDP\-glucose\:glycoprotein glucosyltransferase activity||UDP\-glucosyltransferase activity||glucosyltransferase activity||transferase activity\, transferring hexosyl groups||transferase activity\, transferring glycosyl groups||transferase activity||catalytic activity</t>
  </si>
  <si>
    <t>GO:0003980</t>
  </si>
  <si>
    <t>Contig4117_1</t>
  </si>
  <si>
    <t xml:space="preserve"> CONTIG4117_1 GENEID_V1 3_PREDICTED_PROTEIN_1 27_AA CONTIG16640_2 3_PREDICTED_PROTEIN_2 279_AA</t>
  </si>
  <si>
    <t>sp|Q6PEC4|SKP1_RAT</t>
  </si>
  <si>
    <t>Q6PEC4 SKP1_RAT 1 SKP1 2 3 Q9WTX5 SKP1_MOUSE Q71U00 SKP1_XENLA Q5R512 SKP1_PONAB Q4R5B9 SKP1_MACFA P63208 SKP1_HUMAN Q5ZKF5 SKP1_CHICK P63209 SKP1_CAVPO Q3ZCF3 SKP1_BOVIN Q0CA59 SKP1_ASPTN E3 2624 A1156</t>
  </si>
  <si>
    <t xml:space="preserve">S PHASE KINASE ASSOCIATED RATTUS NORVEGICUS PE MUS MUSCULUS XENOPUS LAEVIS PONGO ABELII MACACA FASCICULARIS HOMO SAPIENS GALLUS CAVIA PORCELLUS BOS TAURUS UBIQUITIN LIGASE COMPLEX SCF SUBUNIT SCONC ASPERGILLUS TERREUS STRAIN NIH FGSC </t>
  </si>
  <si>
    <t>Contig17916_77</t>
  </si>
  <si>
    <t xml:space="preserve"> CONTIG17916_77 GENEID_V1 3_PREDICTED_PROTEIN_77 163_AA CONTIG17857_54 3_PREDICTED_PROTEIN_54 1242_AA CONTIG18034_77 552_AA CONTIG17607_10 3_PREDICTED_PROTEIN_10 302_AA CONTIG18007_22 3_PREDICTED_PROTEIN_22 1495_AA CONTIG17296_2 3_PREDICTED_PROTEIN_2 461_AA</t>
  </si>
  <si>
    <t>skpA - Drosophila melanogaster - DNA endoreduplication - centrosome duplication - chromosome condensation - positive regulation of mitotic cell cycle - SCF ubiquitin ligase complex - centrosome - spindle - regulation of centrosome duplication</t>
  </si>
  <si>
    <t>positive regulation of ubiquitin\-protein ligase activity during mitotic cell cycle||regulation of ubiquitin\-protein ligase activity during mitotic cell cycle||regulation of ubiquitin\-protein ligase activity||regulation of ligase activity||regulation of catalytic activity||regulation of molecular function||biological regulation</t>
  </si>
  <si>
    <t>GO:0051437</t>
  </si>
  <si>
    <t>Skp1 3e-031| SKP1 2e-025| Skp1 1e-012| Skp1_POZ 5e-008|</t>
  </si>
  <si>
    <t xml:space="preserve"> Schistosoma mansoni</t>
  </si>
  <si>
    <t>sp|Q8I5I1|YL135_PLAF7</t>
  </si>
  <si>
    <t xml:space="preserve"> Plasmodium falciparum (isolate 3D7)</t>
  </si>
  <si>
    <t>Q8I5I1 YL135_PLAF7 PFL1135C 3D7 2 1 Q8I2A6 CBPZ1_PLAF7 PFA0170C Q54SF4 Y4797_DICDI DDB_G0282499 4 P25386 USO1_YEAST USO1 Q8IED2 SMC2_PLAF7 MAL13P1 96 3 O74424 NU211_SCHPO NUP211 P39053 DYN1_MOUSE DNM1 Q05193 DYN1_HUMAN O96133 YB145_PLAF7 PFB0145C O97239 DOP1_PLAF7 PFC0245C</t>
  </si>
  <si>
    <t xml:space="preserve">UNCHARACTERIZED PLASMODIUM FALCIPARUM ISOLATE PE ZINC CARBOXYPEPTIDASE DICTYOSTELIUM DISCOIDEUM INTRACELLULAR TRANSPORT SACCHAROMYCES CEREVISIAE STRUCTURAL MAINTENANCE CHROMOSOMES NUCLEOPORIN SCHIZOSACCHAROMYCES POMBE DYNAMIN MUS MUSCULUS HOMO SAPIENS DOPEY HOMOLOG </t>
  </si>
  <si>
    <t>Contig18049_53</t>
  </si>
  <si>
    <t xml:space="preserve"> CONTIG18049_53 GENEID_V1 3_PREDICTED_PROTEIN_53 2176_AA CONTIG17970_304 3_PREDICTED_PROTEIN_304 1922_AA CONTIG17946_68 3_PREDICTED_PROTEIN_68 1463_AA CONTIG12998_1 3_PREDICTED_PROTEIN_1 204_AA CONTIG17942_212 3_PREDICTED_PROTEIN_212 1352_AA CONTIG8645_1 109_AA CONTIG18059_128 3_PREDICTED_PROTEIN_128 919_AA CONTIG16421_8 3_PREDICTED_PROTEIN_8 1247_AA CONTIG18051_92 3_PREDICTED_PROTEIN_92 2259_AA CONTIG17792_119 3_PREDICTED_PROTEIN_119 1416_AA</t>
  </si>
  <si>
    <t>Contig17234_1</t>
  </si>
  <si>
    <t>ND5 1e-004| ND4 2e-004| 7TM_GPCR_Srz 3e-004| ATP6 4e-004| ND6 6e-004| ND2 9e-004| QcrB 0.001| 7TM_GPCR_Srx 0.009| ND2 0.016| ND4L 0.030|</t>
  </si>
  <si>
    <t>sp|P21839|ODBB_BOVIN</t>
  </si>
  <si>
    <t>P21839 2 1 P35738 3 Q6P3A8 P21953 Q55FN7 P09061 BKDA2 Q9I1M1 Q6ABX8 E1 Q5SLR3 ODBB_THET8 HB8 27634 579 TTHA0230 Q72GU2 ODBB_THET2 HB27 163 7039 TT_C1756</t>
  </si>
  <si>
    <t xml:space="preserve">ODBB_BOVIN OXOISOVALERATE DEHYDROGENASE SUBUNIT BETA MITOCHONDRIAL BOS TAURUS BCKDHB PE ODBB_RAT RATTUS NORVEGICUS ODBB_MOUSE MUS MUSCULUS ODBB_HUMAN HOMO SAPIENS ODBB_DICDI DICTYOSTELIUM DISCOIDEUM BKDB ODBB_PSEPU PSEUDOMONAS PUTIDA ODBB_PSEAE AERUGINOSA ODPB_LEIXX PYRUVATE COMPONENT LEIFSONIA XYLI SUBSP PDHB THERMUS THERMOPHILUS STRAIN ATCC DSM BAA </t>
  </si>
  <si>
    <t>Contig17911_124</t>
  </si>
  <si>
    <t xml:space="preserve"> CONTIG17911_124 GENEID_V1 3_PREDICTED_PROTEIN_124 374_AA CONTIG17848_82 3_PREDICTED_PROTEIN_82 365_AA CONTIG17885_28 3_PREDICTED_PROTEIN_28 306_AA CONTIG3371_7 3_PREDICTED_PROTEIN_7 158_AA CONTIG18031_23 3_PREDICTED_PROTEIN_23 145_AA CONTIG17914_84 3_PREDICTED_PROTEIN_84 284_AA CONTIG17671_1 3_PREDICTED_PROTEIN_1 680_AA CONTIG17834_40 3_PREDICTED_PROTEIN_40 333_AA CONTIG16675_1 1342_AA CONTIG17985_8 3_PREDICTED_PROTEIN_8 711_AA</t>
  </si>
  <si>
    <t>Contig18051_93</t>
  </si>
  <si>
    <t>branched chain keto acid dehydrogenase E1, beta polypeptide - Rattus norvegicus - alpha-ketoacid dehydrogenase activity - protein binding - cellular_component - mitochondrion - mitochondrial alpha-ketoglutarate dehydrogenase complex - response to nutrient - branched chain family amino acid catabolic process - protein complex binding - response to glucocorticoid stimulus - response to cAMP</t>
  </si>
  <si>
    <t>alpha\-ketoacid dehydrogenase activity||oxidoreductase activity||catalytic activity</t>
  </si>
  <si>
    <t>GO:0003826</t>
  </si>
  <si>
    <t>response to nutrient||response to nutrient levels||response to extracellular stimulus||response to external stimulus||response to stimulus</t>
  </si>
  <si>
    <t>GO:0007584</t>
  </si>
  <si>
    <t>PTZ00182 8e-035| AcoB 8e-024| Transketolase_C 2e-016| PRK09212 3e-013| PRK11892 2e-011| odpB 3e-008|</t>
  </si>
  <si>
    <t>Contig17854_42</t>
  </si>
  <si>
    <t xml:space="preserve"> CONTIG17854_42 GENEID_V1 3_PREDICTED_PROTEIN_42 100_AA</t>
  </si>
  <si>
    <t>Contig18034_56</t>
  </si>
  <si>
    <t>Caenorhabditis elegans - reproduction</t>
  </si>
  <si>
    <t>reproduction</t>
  </si>
  <si>
    <t>GO:0000003</t>
  </si>
  <si>
    <t>7TM_GPCR_Srz 0.012| ND5 0.016| PRK06588 0.021| ND4L 0.037| Oxidored_q4 0.079|</t>
  </si>
  <si>
    <t>sp|Q25802|RPOC2_PLAFA</t>
  </si>
  <si>
    <t xml:space="preserve"> Plasmodium falciparum</t>
  </si>
  <si>
    <t>Q25802 RPOC2_PLAFA RPOC2 3 1 Q9MUK8 NU5C_MESVI 5</t>
  </si>
  <si>
    <t xml:space="preserve">DNA DIRECTED RNA POLYMERASE SUBUNIT BETA PLASMODIUM FALCIPARUM PE NAD P H QUINONE OXIDOREDUCTASE CHLOROPLASTIC MESOSTIGMA VIRIDE NDHF </t>
  </si>
  <si>
    <t>Contig17635_16</t>
  </si>
  <si>
    <t xml:space="preserve"> CONTIG17635_16 GENEID_V1 3_PREDICTED_PROTEIN_16 613_AA CONTIG12171_16 212_AA</t>
  </si>
  <si>
    <t>Contig17778_42</t>
  </si>
  <si>
    <t>ComEC/Rec2 family protein - Campylobacter jejuni RM1221 - molecular_function - biological_process - membrane</t>
  </si>
  <si>
    <t>PRK07164 0.021|</t>
  </si>
  <si>
    <t>sp|O97237|YGCC1_PLAF7</t>
  </si>
  <si>
    <t>O97237 YGCC1_PLAF7 PFC0235W 3D7 4 2 Q7ZAL5 SCPA_STRA3 3 1 Q9DAP0 LRC46_MOUSE 46 LRRC46 Q6AXZ2 LRC46_RAT Q7ZAL1 SCPA_STRA5 Q3JZU0 SCPA_STRA1 Q5SYL3 K0100_MOUSE UPF0378 KIAA0100 Q8HYY4 Q14667 K0100_HUMAN Q9NDJ2</t>
  </si>
  <si>
    <t xml:space="preserve">GRIP COILED COIL DOMAIN CONTAINING PLASMODIUM FALCIPARUM ISOLATE PE SEGREGATION CONDENSATION A STREPTOCOCCUS AGALACTIAE SEROTYPE III SCPA LEUCINE RICH REPEAT MUS MUSCULUS RATTUS NORVEGICUS V IA UACA_BOVIN UVEAL AUTOANTIGEN WITH DOMAINS ANKYRIN REPEATS BOS TAURUS UACA HOMO SAPIENS DOM_DROME HELICASE DOMINO DROSOPHILA MELANOGASTER DOM </t>
  </si>
  <si>
    <t xml:space="preserve"> CONTIG7471_2 GENEID_V1 3_PREDICTED_PROTEIN_2 411_AA CONTIG1850_2 57 CONTIG1850_5 3_PREDICTED_PROTEIN_5 285_AA CONTIG7471_3 3_PREDICTED_PROTEIN_3 195_AA CONTIG1850_4 3_PREDICTED_PROTEIN_4 198_AA CONTIG18044_9 3_PREDICTED_PROTEIN_9 189_AA CONTIG12842_4 568_AA CONTIG17581_21 3_PREDICTED_PROTEIN_21 133_AA CONTIG17945_42 3_PREDICTED_PROTEIN_42 139_AA CONTIG6246_3 170_AA</t>
  </si>
  <si>
    <t>carboxypeptidase A2 (pancreatic) - Danio rerio - cellular_component</t>
  </si>
  <si>
    <t>general RNA polymerase II transcription factor activity||RNA polymerase II transcription factor activity||transcription regulator activity</t>
  </si>
  <si>
    <t>GO:0016251</t>
  </si>
  <si>
    <t>chromatin remodeling complex||microsporocyte nucleus||nucleus||intracellular membrane\-bounded organelle||intracellular organelle||outer membrane\-bounded periplasmic space||external encapsulating structure part||cell part</t>
  </si>
  <si>
    <t>GO:0016585</t>
  </si>
  <si>
    <t>cell proliferation||cellular process</t>
  </si>
  <si>
    <t>GO:0008283</t>
  </si>
  <si>
    <t>TatC 0.051|</t>
  </si>
  <si>
    <t xml:space="preserve"> Streptococcus cristatus ATCC 51100</t>
  </si>
  <si>
    <t>Contig17967_35</t>
  </si>
  <si>
    <t>Caenorhabditis elegans - embryonic development ending in birth or egg hatching - morphogenesis of an epithelium - determination of adult life span - negative regulation of multicellular organism growth - locomotion - reproduction - nematode larval development - growth - cytokinesis - hermaphrodite genitalia development - pronuclear migration</t>
  </si>
  <si>
    <t>7tm_4 8e-007| TatC 3e-006| 7TMR-DISM_7TM 4e-006| NolL 1e-005| YfhO 1e-005| MelB 2e-005| Borrelia_orfA 7e-005| Serpentine_recp 2e-004| VanZ 2e-004| MopB_Res-Cmplx1_Nad11-M 2e-004|</t>
  </si>
  <si>
    <t xml:space="preserve"> Hydra magnipapillata</t>
  </si>
  <si>
    <t>sp|Q5RBL6|GOSR1_PONAB</t>
  </si>
  <si>
    <t>Q5RBL6 GOSR1_PONAB 1 GOSR1 2 Q62931 GOSR1_RAT O95249 GOSR1_HUMAN O08522 GOSR1_CRIGR Q2TBU3 GOSR1_BOVIN O88630 GOSR1_MOUSE Q9VE50 GOSR1_DROME 28 GOS28 O22151 GOS12_ARATH 12 GOS12 Q9LMP7 GOS11_ARATH 11 GOS11 P01286</t>
  </si>
  <si>
    <t xml:space="preserve">GOLGI SNAP RECEPTOR COMPLEX MEMBER PONGO ABELII PE RATTUS NORVEGICUS HOMO SAPIENS CRICETULUS GRISEUS BOS TAURUS MUS MUSCULUS PROBABLE KDA SNARE DROSOPHILA MELANOGASTER ARABIDOPSIS THALIANA SLIB_HUMAN SOMATOLIBERIN GHRH </t>
  </si>
  <si>
    <t>Contig17794_96</t>
  </si>
  <si>
    <t xml:space="preserve"> CONTIG17794_96 GENEID_V1 3_PREDICTED_PROTEIN_96 235_AA CONTIG18070_47 3_PREDICTED_PROTEIN_47 226_AA CONTIG16505_1 3_PREDICTED_PROTEIN_1 347_AA CONTIG17644_10 3_PREDICTED_PROTEIN_10 334_AA CONTIG6937_1 188_AA CONTIG17888_32 3_PREDICTED_PROTEIN_32 271_AA CONTIG1890_4 3_PREDICTED_PROTEIN_4 593_AA CONTIG17799_2 3_PREDICTED_PROTEIN_2 160_AA CONTIG17568_18 3_PREDICTED_PROTEIN_18 905_AA CONTIG17931_60 3_PREDICTED_PROTEIN_60 400_AA</t>
  </si>
  <si>
    <t>golgi SNAP receptor complex member 1 - Rattus norvegicus - Golgi membrane - SNAP receptor activity - protein binding - Golgi apparatus - cis-Golgi network - ER to Golgi vesicle-mediated transport - integral to membrane - retrograde transport, endosome to Golgi</t>
  </si>
  <si>
    <t>V-SNARE 1e-008| PRK05595 0.088|</t>
  </si>
  <si>
    <t>sp|Q9VYY9|Y1727_DROME</t>
  </si>
  <si>
    <t>Q9VYY9 Y1727_DROME TBC1 CG11727 1 3 O60447 EVI5_HUMAN 5 EVI5 P97366 EVI5_MOUSE 2 Q96CN4 EVI5L_HUMAN EVI5L Q8K3M6 ERC2_RAT ERC2 Q6PH08 ERC2_MOUSE O15083 ERC2_HUMAN Q811U3 RB6I2_RAT RAB6 ERC1 Q99MI1 RB6I2_MOUSE Q8IUD2 RB6I2_HUMAN</t>
  </si>
  <si>
    <t xml:space="preserve">DOMAIN FAMILY MEMBER DROSOPHILA MELANOGASTER PE ECOTROPIC VIRAL INTEGRATION SITE HOMOLOG HOMO SAPIENS MUS MUSCULUS LIKE ERC RATTUS NORVEGICUS ELKS INTERACTING CAST </t>
  </si>
  <si>
    <t>Contig17358_14</t>
  </si>
  <si>
    <t xml:space="preserve"> CONTIG17358_14 GENEID_V1 3_PREDICTED_PROTEIN_14 839_AA CONTIG17488_20 3_PREDICTED_PROTEIN_20 2410_AA CONTIG17626_4 3_PREDICTED_PROTEIN_4 1086_AA CONTIG17970_304 3_PREDICTED_PROTEIN_304 1922_AA CONTIG17792_18 3_PREDICTED_PROTEIN_18 1243_AA CONTIG18049_53 3_PREDICTED_PROTEIN_53 2176_AA CONTIG17606_10 3_PREDICTED_PROTEIN_10 598_AA CONTIG17897_41 3_PREDICTED_PROTEIN_41 286_AA CONTIG17513_15 3_PREDICTED_PROTEIN_15 132_AA CONTIG17955_243 3_PREDICTED_PROTEIN_243 7630_AA</t>
  </si>
  <si>
    <t>Putative uncharacterized protein F01G12.6 - Caenorhabditis elegans - protein binding</t>
  </si>
  <si>
    <t>&lt;I\-kappaB phosphorylation||neurotrophin production||neurotrophin production||neurotrophin production||regulation of diuresis||renal water transport||neuropore closure||pollen tube guidance||bone morphogenesis||leaf formation||shoot development||root development||eclosion rhythm||pollen adhesion||diapedesis||seed growth||cornification||innervation</t>
  </si>
  <si>
    <t>GO:0007252</t>
  </si>
  <si>
    <t>Smc 3e-007| SMC_prok_B 4e-007| SMC_prok_A 3e-006| SMC_N 1e-005| YmdA_YtgF                                    42   2e-004 2e-004| ATG16 3e-004| SbcC 4e-004| PRK11281 5e-004| COG1579 6e-004| DUF2216 7e-004|</t>
  </si>
  <si>
    <t>sp|B5DEN9|VPS28_RAT</t>
  </si>
  <si>
    <t>B5DEN9 VPS28_RAT 28 VPS28 2 1 Q9D1C8 VPS28_MOUSE Q3T178 VPS28_BOVIN Q9UK41 VPS28_HUMAN Q9V359 VPS28_DROME Q9NA26 VPS28_CAEEL A8XWB7 VPS28_CAEBR 3 Q9S9T7 VP282_ARATH O65421 VP281_ARATH Q54NF1 VPS28_DICDI</t>
  </si>
  <si>
    <t xml:space="preserve">VACUOLAR SORTING ASSOCIATED HOMOLOG RATTUS NORVEGICUS PE MUS MUSCULUS BOS TAURUS HOMO SAPIENS DROSOPHILA MELANOGASTER CAENORHABDITIS ELEGANS VPS BRIGGSAE ARABIDOPSIS THALIANA DICTYOSTELIUM DISCOIDEUM </t>
  </si>
  <si>
    <t>Contig3111_5</t>
  </si>
  <si>
    <t>1CONTIG3111_5 GENEID_V1 3_PREDICTED_PROTEIN_5 215_AA CONTIG18055_225 3_PREDICTED_PROTEIN_225 2361_AA CONTIG17651_2 3_PREDICTED_PROTEIN_2 1460_AA CONTIG7008_1 3_PREDICTED_PROTEIN_1 144_AA CONTIG17952_45 3_PREDICTED_PROTEIN_45 3114_AA CONTIG17465_1 996_AA CONTIG18070_47 3_PREDICTED_PROTEIN_47 226_AA CONTIG17965_83 3_PREDICTED_PROTEIN_83 1110_AA CONTIG17937_79 3_PREDICTED_PROTEIN_79 178_AA CONTIG17906_25 3_PREDICTED_PROTEIN_25 343_AA</t>
  </si>
  <si>
    <t>vacuolar protein sorting 28 homolog (S. cerevisiae) - Rattus norvegicus - protein binding - cytoplasm - endosome - cytosol - negative regulation of protein ubiquitination</t>
  </si>
  <si>
    <t>-negative regulation of protein ubiquitination||negative regulation of protein ubiquitination||negative regulation of DNA replication||regulation of prostaglandin biosynthetic process||regulation of prostaglandin biosynthetic process||regulation of prosta</t>
  </si>
  <si>
    <t>GO:0031397</t>
  </si>
  <si>
    <t>VPS28 4e-081| GroEL 0.088| ydaH 0.098|</t>
  </si>
  <si>
    <t>sp|P23116|EIF3A_MOUSE</t>
  </si>
  <si>
    <t>P23116 EIF3A_MOUSE 3 EIF3A 1 4 Q1JU68 EIF3A_RAT 2 Q14152 EIF3A_HUMAN B4I3P3 EIF3A_DROSE EIF3 S10 Q9VN25 EIF3A_DROME Q9W349 B4M693 EIF3A_DROVI B4QVI2 EIF3A_DROSI</t>
  </si>
  <si>
    <t xml:space="preserve">EUKARYOTIC TRANSLATION INITIATION FACTOR SUBUNIT A MUS MUSCULUS PE RATTUS NORVEGICUS HOMO SAPIENS DROSOPHILA SECHELLIA MELANOGASTER LOZEN_DROME LOZENGE LZ VIRILIS SIMULANS </t>
  </si>
  <si>
    <t>Contig17357_20</t>
  </si>
  <si>
    <t xml:space="preserve"> CONTIG17357_20 GENEID_V1 3_PREDICTED_PROTEIN_20 1137_AA CONTIG18042_152 3_PREDICTED_PROTEIN_152 369_AA CONTIG17957_122 3_PREDICTED_PROTEIN_122 384_AA CONTIG4014_1 3_PREDICTED_PROTEIN_1 113_AA CONTIG17916_172 3_PREDICTED_PROTEIN_172 CONTIG5470_4 3_PREDICTED_PROTEIN_4 298_AA</t>
  </si>
  <si>
    <t>eukaryotic translation initiation factor 3, subunit A - Mus musculus - eukaryotic translation initiation factor 3 complex - formation of translation initiation complex - translation initiation factor activity - protein binding</t>
  </si>
  <si>
    <t>&lt;formation of translation initiation complex||establishment of chromatin silencing||establishment of chromatin silencing||establishment of chromatin silencing||chromosome breakage||meiotic DNA double\-strand break processing involved in reciprocal meiotic recombination||meiotic DNA double\-strand break formation involved in reciprocal meiotic recombination||regulation of arginine metabolic process||regulation of chromatin silencing||regulation of chromatin silencing||regulation of chromatin silencing||regulation of collagen metabolic process||ncRNA polyadenylation during polyadenylation\-dependent ncRNA catabolic process||positive regulation of specific transcription from RNA polymerase II promoter||regulation of transcription\, DNA\-dependent||positive regulation of specific transcription from RNA polymerase II promoter||regulation of transcription\, DNA\-dependent||regulation of proteasomal ubiquitin\-dependent protein catabolic process||gene conversion at mating\-type locus\, DNA double\-strand break formation||meiotic DNA repair synthesis involved in reciprocal meiotic recombination||regulation of ascospore wall 1\,3\-beta\-glucan biosynthetic process||regulation of ascospore wall 1\,3\-beta\-glucan biosynthetic process||regulation of 4\,6\-pyruvylated galactose residue biosynthetic process||regulation of ascospore wall 1\,3\-beta\-glucan biosynthetic process||regulation of eIF2 alpha phosphorylation by amino acid starvation||cyclization of asparagine\, during protein splicing||positive regulation of protein maturation by peptide bond cleavage||regulation of peptidyl\-serine phosphorylation of STAT protein||regulation of pathway\-restricted SMAD protein phosphorylation||regulation of ascospore wall beta\-glucan biosynthetic process||regulation of pathway\-restricted SMAD protein phosphorylation||maintenance of fidelity during DNA\-dependent DNA replication||gene conversion at mating\-type locus\, DNA repair synthesis||meiotic strand invasion involved in meiotic gene conversion||positive regulation of mitochondrial RNA catabolic process||tRNA aminoacylation for mitochondrial protein translation||regulation of phosphatidylinositol biosynthetic process||regulation of phosphatidylinositol biosynthetic process||regulation of antimicrobial peptide biosynthetic process||positive regulation of macromolecule biosynthetic process||positive regulation of vitamin D biosynthetic process||regulation of eIF2 alpha phosphorylation by heme||regulation of chromatin silencing by small RNA||regulation of chromatin silencing by small RNA||regulation of glucosinolate biosynthetic process||regulation of salicylic acid biosynthetic process||regulation of polysaccharide biosynthetic process||substrate\-bound cell migration\, cell extension||regulation of intracellular protein transport||regulation of intracellular protein transport||regulation of smooth muscle cell migration||outward migration of deep nuclear neurons||inward migration of deep nuclear neurons||regulation of phagocytosis\, engulfment||negative regulation of leucine import||regulation of acetylcholine secretion||regulation of catecholamine secretion||regulation of gastric acid secretion||regulation of L\-arginine import||regulation of adenosine transport||neurotransmitter secretory pathway||regulation of cortisol secretion||regulation of activin secretion||regulation of protein secretion||protein secretion by platelet||regulation of lymphocyte anergy||leukocyte tethering or rolling||myeloid cell differentiation||detection of dietary excess||diet induced thermogenesis||response to dietary excess||synaptic vesicle budding||regulation of excretion||uterine wall growth||seed coat development||style development||style development||nectary development||head segmentation||lung development||eclosion rhythm||eclosion rhythm||enucleation||tube fusion||seed growth||innervation</t>
  </si>
  <si>
    <t>GO:0001732</t>
  </si>
  <si>
    <t>PRK12678 6e-006| DUF1777 7e-004| DUF566 0.005| Tymo_45kd_70kd 0.007| COG4478 0.009| Polysacc_synt 0.010| DIE2_ALG10 0.010| rne 0.012| 7TMR-DISM_7TM 0.014| DUF1361 0.027|</t>
  </si>
  <si>
    <t>Contig22846_1</t>
  </si>
  <si>
    <t xml:space="preserve"> CONTIG22846_1 GENEID_V1 3_PREDICTED_PROTEIN_1 268_AA CONTIG17955_239 3_PREDICTED_PROTEIN_239 389_AA</t>
  </si>
  <si>
    <t>Contig17970_484</t>
  </si>
  <si>
    <t>sp|Q6GMR7|FAAH2_HUMAN</t>
  </si>
  <si>
    <t>Q6GMR7 FAAH2_HUMAN 2 FAAH2 1 Q6DH69 FAH2A_DANRE FAAH2A Q05AM4 FAH2B_DANRE FAAH2B B8J405 27774 6949 3 Q9X0Z9 A7IMA7 GATA_XANP2 1158 PY2 B6IN23 51521 B8EPC1 BL2 15510 13906 C0Z4E4 47 6285 100599 Q6G3E9</t>
  </si>
  <si>
    <t xml:space="preserve">FATTY ACID AMIDE HYDROLASE HOMO SAPIENS PE A DANIO RERIO B GATA_DESDA GLUTAMYL TRNA GLN AMIDOTRANSFERASE SUBUNIT DESULFOVIBRIO DESULFURICANS STRAIN ATCC DSM GATA GATA_THEMA THERMOTOGA MARITIMA XANTHOBACTER AUTOTROPHICUS BAA GATA_RHOCS RHODOSPIRILLUM CENTENUM SW GATA_METSB METHYLOCELLA SILVESTRIS NCIMB GATA_BREBN BREVIBACILLUS BREVIS JCM NBRC GATA_BARHE BARTONELLA HENSELAE </t>
  </si>
  <si>
    <t>Contig17909_77</t>
  </si>
  <si>
    <t xml:space="preserve"> CONTIG17909_77 GENEID_V1 3_PREDICTED_PROTEIN_77 762_AA CONTIG17654_13 3_PREDICTED_PROTEIN_13 474_AA CONTIG17945_2 3_PREDICTED_PROTEIN_2 659_AA CONTIG11655_1 3_PREDICTED_PROTEIN_1 444_AA CONTIG17654_15 3_PREDICTED_PROTEIN_15 339_AA CONTIG17654_16 3_PREDICTED_PROTEIN_16 101_AA CONTIG18064_29 3_PREDICTED_PROTEIN_29 393_AA CONTIG6951_2 500_AA CONTIG17834_51 3_PREDICTED_PROTEIN_51 1173_AA CONTIG17272_33 3_PREDICTED_PROTEIN_33 479_AA</t>
  </si>
  <si>
    <t>CG5112 - Drosophila melanogaster - fatty acid amide hydrolase activity - lipid particle</t>
  </si>
  <si>
    <t>glutamyl\-tRNA aminoacylation||tRNA aminoacylation for protein translation||tRNA aminoacylation||amino acid activation||cellular amino acid metabolic process||cellular amine metabolic process||cellular carbohydrate metabolic process||carbohydrate metabolic process||primary metabolic process||metabolic process</t>
  </si>
  <si>
    <t>GO:0006424</t>
  </si>
  <si>
    <t>GatA 4e-009| PRK06170 6e-009| Amidase 8e-007| PRK09201 2e-006| PRK06169 4e-006| gatA 7e-006| PRK06061 1e-004| PRK12470 2e-004| amido_AtzE 2e-004| ND5 4e-004|</t>
  </si>
  <si>
    <t>sp|Q292F9|GDAP2_DROPS</t>
  </si>
  <si>
    <t xml:space="preserve"> Drosophila pseudoobscura pseudoobscura</t>
  </si>
  <si>
    <t>Q292F9 GDAP2_DROPS GDAP2 GA15091 3 1 Q7JUR6 GDAP2_DROME CG18812 2 A7T167 GDAP2_NEMVE Q5CZL1 GDAP2_XENTR Q5XGM5 GDAP2_XENLA Q9DBL2 GDAP2_MOUSE Q66H63 GDAP2_RAT Q66HX8 GDAP2_DANRE Q4R678 GDAP2_MACFA Q9NXN4 GDAP2_HUMAN</t>
  </si>
  <si>
    <t xml:space="preserve">HOMOLOG DROSOPHILA PSEUDOOBSCURA PE MELANOGASTER NEMATOSTELLA VECTENSIS GANGLIOSIDE INDUCED DIFFERENTIATION ASSOCIATED XENOPUS TROPICALIS LAEVIS MUS MUSCULUS RATTUS NORVEGICUS DANIO RERIO MACACA FASCICULARIS HOMO SAPIENS </t>
  </si>
  <si>
    <t>Contig17945_17</t>
  </si>
  <si>
    <t xml:space="preserve"> CONTIG17945_17 GENEID_V1 3_PREDICTED_PROTEIN_17 775_AA CONTIG17945_14 3_PREDICTED_PROTEIN_14 381_AA CONTIG17970_535 3_PREDICTED_PROTEIN_535 750_AA CONTIG17866_73 3_PREDICTED_PROTEIN_73 403_AA CONTIG5046_12 3_PREDICTED_PROTEIN_12 93_AA CONTIG18032_94 3_PREDICTED_PROTEIN_94 2003_AA CONTIG16295_4 3_PREDICTED_PROTEIN_4 711_AA CONTIG17748_19 3_PREDICTED_PROTEIN_19 662_AA CONTIG17357_4 689_AA CONTIG8291_2 3_PREDICTED_PROTEIN_2 2867_AA</t>
  </si>
  <si>
    <t>ganglioside-induced differentiation-associated-protein 2 - Mus musculus - cellular_component - molecular_function - response to retinoic acid</t>
  </si>
  <si>
    <t>response to retinoic acid||response to vitamin A||response to vitamin||response to nutrient||response to nutrient levels||response to extracellular stimulus||response to external stimulus||response to stimulus</t>
  </si>
  <si>
    <t>GO:0032526</t>
  </si>
  <si>
    <t>SEC14 2e-019| SEC14 3e-015| ND4 0.048| ND5 0.065| PRK13979 0.067|</t>
  </si>
  <si>
    <t>sp|Q6PJF5|RHDF2_HUMAN</t>
  </si>
  <si>
    <t>Q6PJF5 RHDF2_HUMAN 2 RHBDF2 1 Q6GMF8 RHDF1_DANRE RHBDF1 A9L8T6 RHDF1_PAPAN 3 Q96CC6 RHDF1_HUMAN B1MT31 RHDF1_CALMO B0VX73 RHDF1_CALJA Q499S9 RHDF1_RAT Q6PIX5 RHDF1_MOUSE A7YWH9 RHDF1_BOVIN Q00M95 RHDF2_CANFA</t>
  </si>
  <si>
    <t xml:space="preserve">RHOMBOID FAMILY MEMBER HOMO SAPIENS PE DANIO RERIO PAPIO ANUBIS CALLICEBUS MOLOCH CALLITHRIX JACCHUS RATTUS NORVEGICUS MUS MUSCULUS BOS TAURUS CANIS FAMILIARIS </t>
  </si>
  <si>
    <t>Contig17523_36</t>
  </si>
  <si>
    <t xml:space="preserve"> CONTIG17523_36 GENEID_V1 3_PREDICTED_PROTEIN_36 691_AA CONTIG17938_71 3_PREDICTED_PROTEIN_71 379_AA CONTIG17073_6 3_PREDICTED_PROTEIN_6 526_AA CONTIG17755_21 3_PREDICTED_PROTEIN_21 32_AA CONTIG9792_1 3_PREDICTED_PROTEIN_1 342_AA CONTIG9338_1 181_AA CONTIG17751_29 3_PREDICTED_PROTEIN_29 CONTIG4102_1 100_AA CONTIG17581_18 3_PREDICTED_PROTEIN_18 91_AA CONTIG17081_11 3_PREDICTED_PROTEIN_11 895_AA</t>
  </si>
  <si>
    <t>zgc:91984 - Danio rerio - biological_process</t>
  </si>
  <si>
    <t>serine\-type peptidase activity||peptidase activity\, acting on L\-amino acid peptides||peptidase activity||hydrolase activity||catalytic activity</t>
  </si>
  <si>
    <t>GO:0008236</t>
  </si>
  <si>
    <t>epidermal growth factor receptor signaling pathway||transmembrane receptor protein tyrosine kinase signaling pathway||enzyme linked receptor protein signaling pathway||cell surface receptor linked signal transduction||signal transduction||regulation of cellular process||regulation of biological process||biological regulation</t>
  </si>
  <si>
    <t>GO:0007173</t>
  </si>
  <si>
    <t>Rhomboid 1e-030| GlpG 1e-018| PRK10907 2e-004| C4dic_mal_tran 0.002| Competence 0.003| 7tm_7 0.004| COG4478 0.004| TagG 0.005| TatC 0.011| CdsA 0.013|</t>
  </si>
  <si>
    <t>sp|Q9W4L1|RM33_DROME</t>
  </si>
  <si>
    <t>Q9W4L1 RM33_DROME 39S L33 MRPL33 3 2 Q7PYH1 RM33_ANOGA Q4RGM4 RM33_TETNG 1 Q3SZ47 RM33_BOVIN Q9CQP0 RM33_MOUSE P27544 LASS1_HUMAN LAG1 LASS1 Q37376 NU2M_ACACA ND2</t>
  </si>
  <si>
    <t xml:space="preserve">RIBOSOMAL MITOCHONDRIAL DROSOPHILA MELANOGASTER PE ANOPHELES GAMBIAE TETRAODON NIGROVIRIDIS BOS TAURUS MUS MUSCULUS LONGEVITY ASSURANCE HOMOLOG HOMO SAPIENS NADH UBIQUINONE OXIDOREDUCTASE CHAIN ACANTHAMOEBA CASTELLANII </t>
  </si>
  <si>
    <t>Contig11084_14</t>
  </si>
  <si>
    <t xml:space="preserve"> CONTIG11084_14 GENEID_V1 3_PREDICTED_PROTEIN_14 293_AA CONTIG17253_16 3_PREDICTED_PROTEIN_16 392_AA CONTIG17830_123 3_PREDICTED_PROTEIN_123 358_AA CONTIG17909_77 3_PREDICTED_PROTEIN_77 762_AA</t>
  </si>
  <si>
    <t>Contig17872_78</t>
  </si>
  <si>
    <t>mitochondrial ribosomal protein L33 - Drosophila melanogaster - translation - structural constituent of ribosome - mitochondrial large ribosomal subunit - mitochondrion</t>
  </si>
  <si>
    <t>&lt;mitochondrial large ribosomal subunit||clathrin coat of trans\-Golgi network vesicle||clathrin coat of trans\-Golgi network vesicle||merozoite dense granule membrane||clathrin coat of endocytic vesicle||clathrin coat of endocytic vesicle||chloroplast thylakoid membrane||mitochondrial respiratory chain||mitochondrial proton\-transporting ATP synthase complex\, coupling factor F(o)||mitochondrial inner membrane protein insertion complex||fatty acid beta\-oxidation multienzyme complex||fatty acid beta\-oxidation multienzyme complex||TRAPP complex||ESCRT II complex||ESCRT I complex||ESCRT I complex||chloroplast photosystem I||Tic complex||Tic complex||chloroplast intermembrane space||PSII associated light\-harvesting complex II\, peripheral complex||mitochondrial proton\-transporting ATP synthase\, catalytic core||mitochondrial proton\-transporting ATP synthase\, central stalk||mitochondrial proton\-transporting ATP synthase\, catalytic core||mitochondrial proton\-transporting ATP synthase\, stator stalk||striated muscle thin filament||macropinocytic cup cytoskeleton||mitochondrial proton\-transporting ATP synthase\, stator stalk||apical junction complex||sarcoglycan complex||oxygen evolving complex||mitochondrial respiratory chain complex III||mitochondrial respiratory chain complex IV||mitochondrial respiratory chain complex I||nuclear proteasome regulatory particle\, lid subcomplex||lamin filament||core TFIIH complex portion of holo TFIIH complex||rDNA protrusion||outer kinetochore of condensed nuclear chromosome||outer kinetochore of condensed nuclear chromosome||gamma\-tubulin large complex\, spindle pole body||spindle pole body||NMS complex||nucleolar part||Sec complex\-associated translocon complex||intrinsic to endoplasmic reticulum membrane||actin capping protein of dynactin complex||condensed nuclear chromosome kinetochore||intermediate layer of spindle pole body||chiasma||platelet dense tubular network membrane||intrinsic to plastid outer membrane||integral to plastid outer membrane||plastid biotin carboxylase complex||chloroplast ATP synthase complex||snRNP U2||nuclear proteasome core complex||Swr1 complex||gamma DNA polymerase complex||mitochondrial membrane part||intrinsic to Golgi membrane||recycling endosome membrane||tertiary granule membrane||chromaffin granule lumen||peribacteroid membrane||clathrin vesicle coat||acidocalcisome membrane||peribacteroid fluid||COPII vesicle coat||melanosome membrane||chitosome membrane||plastid chromosome||proplastid stroma||etioplast stroma||cyanelle stroma||Toc complex||microbody part||yolk granule||snRNP U12||C zone||C zone||axon part</t>
  </si>
  <si>
    <t>axon part</t>
  </si>
  <si>
    <t>C zone</t>
  </si>
  <si>
    <t>GO:0005762</t>
  </si>
  <si>
    <t>Serpentine_recp 0.063|</t>
  </si>
  <si>
    <t>Contig17557_37</t>
  </si>
  <si>
    <t xml:space="preserve"> CONTIG17557_37 GENEID_V1 3_PREDICTED_PROTEIN_37 619_AA CONTIG17888_52 3_PREDICTED_PROTEIN_52 281_AA CONTIG17607_121 3_PREDICTED_PROTEIN_121 392_AA CONTIG17712_23 3_PREDICTED_PROTEIN_23 509_AA</t>
  </si>
  <si>
    <t>armadillo repeat-containing protein, pleckstrin homology (PH) domain-containing protein, RhoGEF domain-containing protein - Dictyostelium discoideum - intracellular - regulation of Rho protein signal transduction - Rho guanyl-nucleotide exchange factor activity</t>
  </si>
  <si>
    <t>ND5 0.030| ND2 0.036| DUF443 0.055| Polysacc_synt 0.057| YMF19 0.060| ND4 0.071|</t>
  </si>
  <si>
    <t>sp|P61255|RL26_MOUSE</t>
  </si>
  <si>
    <t>P61255 RL26_MOUSE 60S L26 RPL26 2 1 P61256 RL26_MACFA P61254 RL26_HUMAN P61257 RL26_BOVIN Q2I0I6 RL26_AILME Q9UNX3 RL26L_HUMAN RPL26L1 Q95WA0 RL26_LITLI P12749 RL26_RAT P47832 RL26_CHICK P51414 RL261_ARATH RPL26A</t>
  </si>
  <si>
    <t xml:space="preserve">RIBOSOMAL MUS MUSCULUS PE MACACA FASCICULARIS HOMO SAPIENS BOS TAURUS AILUROPODA MELANOLEUCA LIKE LITTORINA LITTOREA RATTUS NORVEGICUS FRAGMENT GALLUS ARABIDOPSIS THALIANA </t>
  </si>
  <si>
    <t>Contig17918_17</t>
  </si>
  <si>
    <t xml:space="preserve"> CONTIG17918_17 GENEID_V1 3_PREDICTED_PROTEIN_17 150_AA CONTIG17380_66 3_PREDICTED_PROTEIN_66 146_AA CONTIG17963_16 3_PREDICTED_PROTEIN_16 748_AA CONTIG17724_15 3_PREDICTED_PROTEIN_15 497_AA CONTIG17721_10 3_PREDICTED_PROTEIN_10 169_AA CONTIG1238_1 120 7 2E 54 1353712 CONTIG17827_58 3_PREDICTED_PROTEIN_58 300_AA CONTIG17655_18 3_PREDICTED_PROTEIN_18 958_AA CONTIG17557_39 3_PREDICTED_PROTEIN_39 722_AA CONTIG13321_5 3_PREDICTED_PROTEIN_5 565_AA</t>
  </si>
  <si>
    <t>Ribosomal protein L26 - Drosophila melanogaster - translation - structural constituent of ribosome - cytosolic large ribosomal subunit - mitotic spindle elongation - mitotic spindle organization</t>
  </si>
  <si>
    <t>rplX_A_E 4e-044| PTZ00194 4e-040| rpl24p 6e-035| RplX 1e-010| KOW 2e-005| rplX 2e-004| rplX_bact 3e-004| KOW 0.003| rpl24 0.006| rplX 0.010|</t>
  </si>
  <si>
    <t>sp|Q9SUI2|PI5K7_ARATH</t>
  </si>
  <si>
    <t>Q9SUI2 PI5K7_ARATH 4 5 7 PIP5K7 1 O60308 K0562_HUMAN KIAA0562 2 Q8RY89 PI5K8_ARATH 8 PIP5K8 Q54SC4 Y2777_DICDI DDB_G0282777 3 P25038 IF2M_YEAST IFM1 Q8T773 MDH1B_BRAFL 1B MDH1B Q819W9 RNH2_BACCR 14579 31 B7HDW0 RNH2_BACC4 B4264 Q922B1 MACD1_MOUSE MACROD1 P33563</t>
  </si>
  <si>
    <t xml:space="preserve">PHOSPHATIDYLINOSITOL PHOSPHATE KINASE ARABIDOPSIS THALIANA PE UNCHARACTERIZED HOMO SAPIENS PROBABLE SERINE THREONINE DICTYOSTELIUM DISCOIDEUM TRANSLATION INITIATION FACTOR IF MITOCHONDRIAL SACCHAROMYCES CEREVISIAE MALATE DEHYDROGENASE BRANCHIOSTOMA FLORIDAE RIBONUCLEASE HII BACILLUS CEREUS STRAIN ATCC DSM RNHB MACRO DOMAIN CONTAINING MUS MUSCULUS MTBB_BACSU MODIFICATION METHYLASE BSUBI SUBTILIS HSDBM </t>
  </si>
  <si>
    <t>Contig17629_20</t>
  </si>
  <si>
    <t xml:space="preserve"> CONTIG17629_20 GENEID_V1 3_PREDICTED_PROTEIN_20 577_AA CONTIG17574_4 3_PREDICTED_PROTEIN_4 1992_AA CONTIG17968_74 3_PREDICTED_PROTEIN_74 2163_AA CONTIG17970_653 3_PREDICTED_PROTEIN_653 162_AA CONTIG17797_63 3_PREDICTED_PROTEIN_63 2050_AA CONTIG345_1 3_PREDICTED_PROTEIN_1 130_AA CONTIG17729_23 3_PREDICTED_PROTEIN_23 319_AA CONTIG17299_1 1263_AA CONTIG1623_4 CONTIG15829_1</t>
  </si>
  <si>
    <t>Contig17824_70</t>
  </si>
  <si>
    <t>Mitochondrial translation initiation factor 2 - Saccharomyces cerevisiae - tRNA binding - translation initiation factor activity - GTPase activity - mitochondrion - translational initiation - mitochondrial translation - mitochondrial translational initiation</t>
  </si>
  <si>
    <t>tRNA binding||RNA binding||nucleic acid binding||binding</t>
  </si>
  <si>
    <t>GO:0000049</t>
  </si>
  <si>
    <t>7TM_GPCR_Srz 0.001| UPF0236 0.010| PRK13298 0.029| ND5 0.068|</t>
  </si>
  <si>
    <t>Contig17788_27</t>
  </si>
  <si>
    <t xml:space="preserve"> CONTIG17788_27 GENEID_V1 3_PREDICTED_PROTEIN_27 435_AA CONTIG18038_23 3_PREDICTED_PROTEIN_23 309_AA</t>
  </si>
  <si>
    <t>Contig17364_11</t>
  </si>
  <si>
    <t>sp|P87169|MAD1_SCHPO</t>
  </si>
  <si>
    <t>P87169 MAD1_SCHPO MAD1 2 1 P62415 3 Q40554 EIF3A_TOBAC TIF3A1 Q9LME2 SYCP1_ARATH ZYP1A Q8NH67 O52I2_HUMAN 52I2 OR52I2 Q8NGK6 O52I1_HUMAN 52I1 OR52I1 Q8IIG7 YPF05_PLAF7 PF11_0207 3D7 4 A8EXM3 Q92021 NF7B_XENLA 7 Q20060 SMC4_CAEEL</t>
  </si>
  <si>
    <t xml:space="preserve">SPINDLE ASSEMBLY CHECKPOINT COMPONENT SCHIZOSACCHAROMYCES POMBE PE PGK_MYCMS PHOSPHOGLYCERATE KINASE MYCOPLASMA MYCOIDES SUBSP SC PGK EUKARYOTIC TRANSLATION INITIATION FACTOR SUBUNIT A NICOTIANA TABACUM SYNAPTONEMAL COMPLEX ARABIDOPSIS THALIANA OLFACTORY RECEPTOR HOMO SAPIENS UNCHARACTERIZED PLASMODIUM FALCIPARUM ISOLATE RRF_RICCK RIBOSOME RECYCLING RICKETTSIA CANADENSIS STRAIN MCKIEL FRR NUCLEAR BRAIN XENOPUS LAEVIS STRUCTURAL MAINTENANCE CHROMOSOMES CAENORHABDITIS ELEGANS SMC </t>
  </si>
  <si>
    <t>Contig17969_105</t>
  </si>
  <si>
    <t xml:space="preserve"> CONTIG17969_105 GENEID_V1 3_PREDICTED_PROTEIN_105 355_AA CONTIG17955_244 3_PREDICTED_PROTEIN_244 4085_AA CONTIG17268_3 3_PREDICTED_PROTEIN_3 691_AA CONTIG17955_243 3_PREDICTED_PROTEIN_243 7630_AA CONTIG17970_324 3_PREDICTED_PROTEIN_324 543_AA CONTIG15895_7 3_PREDICTED_PROTEIN_7 128_AA CONTIG18059_25 3_PREDICTED_PROTEIN_25 480_AA CONTIG17942_111 3_PREDICTED_PROTEIN_111 446_AA CONTIG17961_30 3_PREDICTED_PROTEIN_30 496_AA CONTIG17729_54 3_PREDICTED_PROTEIN_54 99_AA</t>
  </si>
  <si>
    <t>Contig17951_76</t>
  </si>
  <si>
    <t>mitotic spindle checkpoint protein Mad1 - Schizosaccharomyces pombe - condensed nuclear chromosome kinetochore - mitotic cell cycle spindle assembly checkpoint - protein binding - nucleus</t>
  </si>
  <si>
    <t>&lt;condensed nuclear chromosome kinetochore||inter\-Golgi transport vesicle membrane||inter\-Golgi transport vesicle membrane||integral to synaptic vesicle membrane||vacuolar part||chloroplast outer membrane translocon||intrinsic to plastid outer membrane||integral to plastid outer membrane||clathrin coat of synaptic vesicle||longitudinal sarcoplasmic reticulum||chloroplast ATP synthase complex||plastid small ribosomal subunit||plastid small ribosomal subunit||intrinsic to plastid membrane||integral to plastid membrane||cyanelle thylakoid membrane||Mdm10/Mdm12/Mmm1 complex||Mdm10/Mdm12/Mmm1 complex||signal peptidase complex||clathrin vesicle coat||cytoplasmic vesicle part||peribacteroid fluid||COPII vesicle coat||melanosome membrane||chitosome membrane||troponin complex||troponin complex||cuticular plate||cell cortex part||radial spokehead||intracellular part||suberin network||lignin network||pectic matrix||Golgi membrane||axoneme part||cilium part||polarisome||aster||aster||conoid||conoid</t>
  </si>
  <si>
    <t>GO:0000778</t>
  </si>
  <si>
    <t>mitotic cell cycle spindle assembly checkpoint||negative regulation of mitotic metaphase/anaphase transition||negative regulation of mitosis||negative regulation of nuclear division||negative regulation of organelle organization||negative regulation of cellular component organization||regulation of cellular component organization||regulation of biological process||biological regulation</t>
  </si>
  <si>
    <t>GO:0007094</t>
  </si>
  <si>
    <t>Mt_ATP-synt_B 3e-005| PRK03918 0.007|</t>
  </si>
  <si>
    <t xml:space="preserve"> Phlebotomus papatasi</t>
  </si>
  <si>
    <t>sp|P54985|PPIA_BLAGE</t>
  </si>
  <si>
    <t xml:space="preserve"> Blattella germanica</t>
  </si>
  <si>
    <t>P54985 2 1 P25007 CYP1 P91791 P30404 P29117 Q99KR7 P30405 P0C1H7 PPIA1_RHIOR A1 CYP2 3 P10111 P34790 CP18C_ARATH CYP18</t>
  </si>
  <si>
    <t xml:space="preserve">PPIA_BLAGE PEPTIDYL PROLYL CIS TRANS ISOMERASE BLATTELLA GERMANICA CYPA PE PPIA_DROME DROSOPHILA MELANOGASTER PPIA_HEMPU HEMICENTROTUS PULCHERRIMUS PPIF_BOVIN F MITOCHONDRIAL BOS TAURUS PPIF PPIF_RAT RATTUS NORVEGICUS PPIF_MOUSE MUS MUSCULUS PPIF_HUMAN HOMO SAPIENS RHIZOPUS ORYZAE PPIA_RAT A PPIA ARABIDOPSIS THALIANA </t>
  </si>
  <si>
    <t>Contig17847_100</t>
  </si>
  <si>
    <t xml:space="preserve"> CONTIG17847_100 GENEID_V1 3_PREDICTED_PROTEIN_100 174_AA CONTIG17878_38 3_PREDICTED_PROTEIN_38 294_AA CONTIG17634_15 3_PREDICTED_PROTEIN_15 478_AA CONTIG4208_3 3_PREDICTED_PROTEIN_3 197_AA CONTIG17753_27 3_PREDICTED_PROTEIN_27 185_AA CONTIG17690_5 3_PREDICTED_PROTEIN_5 503_AA CONTIG7100_6 3_PREDICTED_PROTEIN_6 458_AA CONTIG17891_113 3_PREDICTED_PROTEIN_113 372_AA CONTIG17952_7 3_PREDICTED_PROTEIN_7 232_AA CONTIG17814_7 416_AA</t>
  </si>
  <si>
    <t>Cyclophilin 1 - Drosophila melanogaster - peptidyl-prolyl cis-trans isomerase activity - cytosol - protein folding - cytoplasm - cyclin-dependent protein kinase regulator activity - nuclear cyclin-dependent protein kinase holoenzyme complex - positive transcription elongation factor complex b - autophagic cell death - salivary gland cell autophagic cell death</t>
  </si>
  <si>
    <t>peptidyl\-prolyl cis\-trans isomerase activity||cis\-trans isomerase activity||isomerase activity||catalytic activity</t>
  </si>
  <si>
    <t>isomerase activity</t>
  </si>
  <si>
    <t>GO:0003755</t>
  </si>
  <si>
    <t>cyclophilin_ABH_like 8e-081| Pro_isomerase 1e-074| cyclophilin 7e-048| PpiB 7e-047| cyclophilin_WD40 9e-039| cyclophilin_SpCYP2_like 1e-036| cyclophilin_RING 3e-035| Cyclophilin_PPIL3_like 7e-034| cyclophilin_CeCYP16-like 2e-027| cyclophilin_RRM 4e-024|</t>
  </si>
  <si>
    <t xml:space="preserve"> Rhipicephalus sanguineus</t>
  </si>
  <si>
    <t>sp|O99819|COX2_RHISA</t>
  </si>
  <si>
    <t>O99819 COX2_RHISA 2 3 1 P29875 COX2_LASSP Q37411 COX2_ASTPE P12701 COX2_PARLI P29881 COX2_ZOOAN P98048 COX2_YPOMA P29877 COX2_PERAM P67796 COX2_DROTO P67799 COX2_DROPS P67798 COX2_DROPE</t>
  </si>
  <si>
    <t xml:space="preserve">CYTOCHROME C OXIDASE SUBUNIT RHIPICEPHALUS SANGUINEUS COII PE LASIUS ASTERINA PECTINIFERA PARACENTROTUS LIVIDUS ZOOTERMOPSIS ANGUSTICOLLIS YPONOMEUTA MALINELLUS PERIPLANETA AMERICANA DROSOPHILA TOLTECA MT PSEUDOOBSCURA PERSIMILIS </t>
  </si>
  <si>
    <t>Contig17619_60</t>
  </si>
  <si>
    <t>mitochondrial Cytochrome c oxidase subunit II - Drosophila melanogaster - cytochrome-c oxidase activity - mitochondrion - mitochondrial respiratory chain complex IV - mitochondrial electron transport, cytochrome c to oxygen - mitochondrial inner membrane</t>
  </si>
  <si>
    <t>COX2_TM 2e-024| CyoA 1e-011| COX2 2e-006| 7tm_4 2e-004| PRK09609 0.004| AgrB 0.005| CD47 0.021| Serpentine_recp 0.030| YibE_F 0.054| COG2323 0.098|</t>
  </si>
  <si>
    <t>sp|Q76B49|CD63_FELCA</t>
  </si>
  <si>
    <t xml:space="preserve"> Felis catus</t>
  </si>
  <si>
    <t>Q76B49 CD63_FELCA CD63 2 3 Q9XSK2 CD63_BOVIN 4 P41731 CD63_MOUSE 1 P08962 CD63_HUMAN Q61451 CD53_MOUSE CD53 P28648 CD63_RAT Q28709 CD63_RABIT Q58DM3 CD53_BOVIN P19397 CD53_HUMAN Q3SZR9 TSN3_BOVIN TSPAN3</t>
  </si>
  <si>
    <t xml:space="preserve">ANTIGEN FELIS CATUS PE BOS TAURUS MUS MUSCULUS HOMO SAPIENS LEUKOCYTE SURFACE RATTUS NORVEGICUS ORYCTOLAGUS CUNICULUS TETRASPANIN </t>
  </si>
  <si>
    <t>Contig17398_11</t>
  </si>
  <si>
    <t xml:space="preserve"> CONTIG17398_11 GENEID_V1 3_PREDICTED_PROTEIN_11 213_AA CONTIG17792_55 3_PREDICTED_PROTEIN_55 234_AA CONTIG17792_54 3_PREDICTED_PROTEIN_54 259_AA CONTIG17398_7 3_PREDICTED_PROTEIN_7 153_AA CONTIG17792_62 3_PREDICTED_PROTEIN_62 239_AA CONTIG18021_8 3_PREDICTED_PROTEIN_8 245_AA CONTIG17728_29 3_PREDICTED_PROTEIN_29 320_AA CONTIG9356_4 3_PREDICTED_PROTEIN_4 274_AA CONTIG17521_15 3_PREDICTED_PROTEIN_15 229_AA CONTIG17602_18 3_PREDICTED_PROTEIN_18 178_AA</t>
  </si>
  <si>
    <t>Contig17398_7</t>
  </si>
  <si>
    <t>Tetraspanin 42Ed - Drosophila melanogaster - integral to membrane</t>
  </si>
  <si>
    <t>Tetraspannin 6e-042| tetraspanin_LEL 1e-014| TM4SF8_like_LEL 8e-010| CD63_LEL 1e-008| TM4SF3_like_LEL 1e-008| CD151_like_LEL 2e-008| CD53_like_LEL 5e-008| TM4SF2_6_like_LEL 3e-007| uroplakin_I_like_LEL 5e-007| NET-5_like_LEL 4e-006|</t>
  </si>
  <si>
    <t>sp|P18288|TBAT_ONCMY</t>
  </si>
  <si>
    <t>P18288 2 1 Q68FR8 TBA3_RAT 3 TUBA3A P05214 TBA3_MOUSE Q32KN8 TBA3_BOVIN TUBA3 Q13748 TBA3C_HUMAN 3C TUBA3C P08537 P36220 P06605 TBA3_DROME ALPHATUB84D P06603 TBA1_DROME ALPHATUB84B Q6AYZ1 TBA1C_RAT 1C TUBA1C</t>
  </si>
  <si>
    <t xml:space="preserve">TBAT_ONCMY TUBULIN ALPHA CHAIN TESTIS SPECIFIC ONCORHYNCHUS MYKISS PE RATTUS NORVEGICUS MUS MUSCULUS BOS TAURUS D HOMO SAPIENS TBA_XENLA XENOPUS LAEVIS TUBA TBA_TORMA TORPEDO MARMORATA DROSOPHILA MELANOGASTER </t>
  </si>
  <si>
    <t>Contig17942_176</t>
  </si>
  <si>
    <t xml:space="preserve"> CONTIG17942_176 GENEID_V1 3_PREDICTED_PROTEIN_176 452_AA CONTIG17970_718 3_PREDICTED_PROTEIN_718 435_AA CONTIG17942_177 3_PREDICTED_PROTEIN_177 449_AA CONTIG18015_39 3_PREDICTED_PROTEIN_39 245_AA CONTIG17751_25 3_PREDICTED_PROTEIN_25 580_AA CONTIG17979_11 3_PREDICTED_PROTEIN_11 434_AA CONTIG18055_122 3_PREDICTED_PROTEIN_122 619_AA CONTIG17885_80 3_PREDICTED_PROTEIN_80 889_AA CONTIG17320_3 3_PREDICTED_PROTEIN_3 448_AA CONTIG17796_17 3_PREDICTED_PROTEIN_17 447_AA</t>
  </si>
  <si>
    <t>Contig17728_88</t>
  </si>
  <si>
    <t>tubulin, alpha 3A - Mus musculus - microtubule - cilium - microtubule basal body</t>
  </si>
  <si>
    <t>protein domain specific binding||protein binding||binding</t>
  </si>
  <si>
    <t>GO:0019904</t>
  </si>
  <si>
    <t>&lt;microtubule||half bridge of spindle pole body||centriole||F\-actin capping protein complex||Swr1 complex||nuclear telomere cap complex||telomere\-telomerase complex||cyanelle thylakoid membrane||CCR4\-NOT core complex||Mdm10/Mdm12/Mmm1 complex||signal peptidase complex||peribacteroid membrane||clathrin vesicle coat||acidocalcisome membrane||peribacteroid fluid||COPII vesicle coat||melanosome membrane||chitosome membrane||plastid chromosome||proplastid stroma||etioplast stroma||cyanelle stroma||Toc complex||microbody part||yolk granule||pectic matrix||Golgi membrane||axoneme part||cilium part||polarisome||aster||aster||conoid||conoid</t>
  </si>
  <si>
    <t>GO:0005874</t>
  </si>
  <si>
    <t>microtubule\-based process||cellular process</t>
  </si>
  <si>
    <t>GO:0007017</t>
  </si>
  <si>
    <t>alpha_tubulin 5e-070| PTZ00012 2e-063| PTZ00335 1e-061| PTZ00011 4e-061| COG5023 1e-048| beta_tubulin 9e-034| Tubulin 1e-029| PTZ00010 8e-028| gamma_tubulin 4e-026| Tubulin 6e-023|</t>
  </si>
  <si>
    <t>sp|Q34048|NU4M_CERCA</t>
  </si>
  <si>
    <t xml:space="preserve"> Ceratitis capitata</t>
  </si>
  <si>
    <t>Q34048 NU4M_CERCA 4 ND4 3 2 Q1HR20 NU4M_AEDAE 1 P07707 NU4M_DROYA P33511 NU4M_ANOQU P34852 NU4M_ANOGA P18931 NU4M_DROME Q36424 NU4M_LOCMI O99825 NU4M_RHISA Q9ZZY2 NU4M_HIPAM P48916 NU4M_FELCA</t>
  </si>
  <si>
    <t xml:space="preserve">NADH UBIQUINONE OXIDOREDUCTASE CHAIN CERATITIS CAPITATA PE AEDES AEGYPTI MT DROSOPHILA YAKUBA ANOPHELES QUADRIMACULATUS GAMBIAE MELANOGASTER LOCUSTA MIGRATORIA RHIPICEPHALUS SANGUINEUS HIPPOPOTAMUS AMPHIBIUS FELIS CATUS </t>
  </si>
  <si>
    <t>Contig7881_1</t>
  </si>
  <si>
    <t xml:space="preserve"> CONTIG7881_1 GENEID_V1 3_PREDICTED_PROTEIN_1 268_AA CONTIG7753_1 176_AA CONTIG28028_1 CONTIG22794_1 155_AA CONTIG22455_1 195_AA CONTIG27357_1 CONTIG7556_1 95_AA CONTIG17806_2 3_PREDICTED_PROTEIN_2 682_AA CONTIG17899_145 3_PREDICTED_PROTEIN_145 300_AA CONTIG17948_160 3_PREDICTED_PROTEIN_160 1383_AA</t>
  </si>
  <si>
    <t>mitochondrial NADH-ubiquinone oxidoreductase chain 4 - Drosophila melanogaster - NADH dehydrogenase (ubiquinone) activity - mitochondrion - mitochondrial respiratory chain complex I</t>
  </si>
  <si>
    <t>ND4 4e-072| ND4 5e-056| ND4 6e-054| ND4 1e-052| ND4 6e-052| ND4 4e-048| ND4 5e-048| ND4 2e-044| ND4 2e-043| ND4 2e-041|</t>
  </si>
  <si>
    <t>sp|B0FWD3|NU5M_AEDAE</t>
  </si>
  <si>
    <t>B0FWD3 NU5M_AEDAE 5 ND5 3 1 P18932 NU5M_DROME 2 4 Q31696 NU5M_ANOQN P34854 NU5M_ANOGA P51899 NU5M_ANOAR P07706 NU5M_DROYA Q36428 NU5M_LOCMI P33510 NU5M_ANOQU Q00232 NU5M_MYTED P34855 NU5M_APILI</t>
  </si>
  <si>
    <t xml:space="preserve">NADH UBIQUINONE OXIDOREDUCTASE CHAIN AEDES AEGYPTI MT PE DROSOPHILA MELANOGASTER FRAGMENT ANOPHELES QUADRIANNULATUS GAMBIAE ARABIENSIS YAKUBA LOCUSTA MIGRATORIA QUADRIMACULATUS MYTILUS EDULIS APIS MELLIFERA LIGUSTICA </t>
  </si>
  <si>
    <t>Contig8149_1</t>
  </si>
  <si>
    <t xml:space="preserve"> CONTIG8149_1 GENEID_V1 3_PREDICTED_PROTEIN_1 57_AA CONTIG8075_1 61_AA CONTIG8096_1 CONTIG8190_1 54_AA CONTIG8174_1 160_AA CONTIG8026_1 CONTIG7910_1 CONTIG7823_1 CONTIG7650_1 CONTIG7406_1</t>
  </si>
  <si>
    <t>Contig8075_1</t>
  </si>
  <si>
    <t>ND5 e-108| ND5 1e-081| ND5 9e-078| ND5 2e-062| ND5 1e-051| ND5 5e-044| ND5 7e-043| NuoL 2e-037| NDH_I_L 9e-034| ND5 2e-029|</t>
  </si>
  <si>
    <t>Q17005 LYSC1_ANOGA 1 AGAP007347 2 P48816 P05105 P50717 P50718 P82174 P37161 Q7YT16 LYS1_MUSDO P29615 Q7SID7</t>
  </si>
  <si>
    <t xml:space="preserve">LYSOZYME C ANOPHELES GAMBIAE PE LYS_BOMMO BOMBYX MORI LYS_HYACE HYALOPHORA CECROPIA LYS_HYPCU HYPHANTRIA CUNEA LYS_TRINI TRICHOPLUSIA NI LYS_GALME GALLERIA MELLONELLA LYSX_DROME X DROSOPHILA MELANOGASTER LYSX MUSCA DOMESTICA LYSP_DROME P LYSP LYS_ANTMY ANTHERAEA MYLITTA </t>
  </si>
  <si>
    <t xml:space="preserve"> CONTIG17801_61 GENEID_V1 3_PREDICTED_PROTEIN_61 688_AA CONTIG17801_60 3_PREDICTED_PROTEIN_60 219_AA CONTIG17447_9 3_PREDICTED_PROTEIN_9 690_AA CONTIG17812_6 3_PREDICTED_PROTEIN_6 2817_AA CONTIG17607_83 3_PREDICTED_PROTEIN_83 341_AA CONTIG17928_22 3_PREDICTED_PROTEIN_22 803_AA CONTIG17954_67 3_PREDICTED_PROTEIN_67 283_AA CONTIG17852_55 3_PREDICTED_PROTEIN_55 901_AA CONTIG17651_2 3_PREDICTED_PROTEIN_2 1460_AA CONTIG17970_646 3_PREDICTED_PROTEIN_646 549_AA</t>
  </si>
  <si>
    <t>CG11159 - Drosophila melanogaster - lysozyme activity - antimicrobial humoral response - autophagic cell death - salivary gland cell autophagic cell death</t>
  </si>
  <si>
    <t>LYZ1 1e-040| LYZ1 6e-039| Lys 2e-033| Transglycosylas 0.042| PRK07088 0.050| LT_GEWL 0.087|</t>
  </si>
  <si>
    <t>sp|O17449|TBB1_MANSE</t>
  </si>
  <si>
    <t>O17449 TBB1_MANSE 1 2 Q27U48 TBB1_GLOMM Q24560 TBB1_DROME BETATUB56D P68372 TBB2C_MOUSE 2C TUBB2C P68371 TBB2C_HUMAN Q3MHM5 TBB2C_BOVIN P02554 P32882 TBB2_CHICK Q6P9T8 TBB2C_RAT P09203 TBB1_CHICK</t>
  </si>
  <si>
    <t xml:space="preserve">TUBULIN BETA CHAIN MANDUCA SEXTA PE GLOSSINA MORSITANS DROSOPHILA MELANOGASTER MUS MUSCULUS HOMO SAPIENS BOS TAURUS TBB_PIG SUS SCROFA GALLUS RATTUS NORVEGICUS </t>
  </si>
  <si>
    <t>Contig17812_30</t>
  </si>
  <si>
    <t>1CONTIG17812_30 GENEID_V1 3_PREDICTED_PROTEIN_30 376_AA CONTIG17320_3 3_PREDICTED_PROTEIN_3 448_AA CONTIG17887_103 3_PREDICTED_PROTEIN_103 569_AA CONTIG17796_17 3_PREDICTED_PROTEIN_17 447_AA CONTIG17648_12 3_PREDICTED_PROTEIN_12 462_AA CONTIG17801_63 3_PREDICTED_PROTEIN_63 464_AA CONTIG17970_718 3_PREDICTED_PROTEIN_718 435_AA CONTIG17728_88 3_PREDICTED_PROTEIN_88 392_AA CONTIG17942_176 3_PREDICTED_PROTEIN_176 452_AA CONTIG17942_177 3_PREDICTED_PROTEIN_177 449_AA</t>
  </si>
  <si>
    <t>beta-Tubulin at 56D - Drosophila melanogaster - microtubule-based process - GTP binding - structural constituent of cytoskeleton - tubulin complex - muscle attachment - microtubule</t>
  </si>
  <si>
    <t>tubulin complex||cortical cytoskeleton||cytoskeleton||intracellular non\-membrane\-bounded organelle||intracellular organelle||outer membrane\-bounded periplasmic space||external encapsulating structure part||cell part</t>
  </si>
  <si>
    <t>GO:0045298</t>
  </si>
  <si>
    <t>beta_tubulin e-150| PTZ00010 e-143| COG5023 9e-096| Tubulin 1e-077| alpha_tubulin 9e-060| Tubulin_C 5e-059| Tubulin_FtsZ 1e-052| PTZ00011 1e-050| PTZ00012 4e-050| PTZ00335 2e-049|</t>
  </si>
  <si>
    <t>sp|Q8LFQ6|GRXC4_ARATH</t>
  </si>
  <si>
    <t>Q8LFQ6 GRXC4_ARATH C4 GRXC4 2 Q0DAE4 GRXC8_ORYSJ C8 GRXC8 Q9FVX1 GRXC3_ARATH C3 GRXC3 1 Q9UTI2 GLRX2_SCHPO GRX2 Q6H628 GRXS6_ORYSJ S6 GRXS6 O36032 GLRX1_SCHPO GRX1 Q9FNE2 GRXC2_ARATH C2 GRXC2 Q6AXW1 GLRX2_RAT GLRX2 P17695 GLRX2_YEAST 3 P55143</t>
  </si>
  <si>
    <t xml:space="preserve">GLUTAREDOXIN ARABIDOPSIS THALIANA PE ORYZA SATIVA SUBSP JAPONICA SCHIZOSACCHAROMYCES POMBE MONOTHIOL MITOCHONDRIAL RATTUS NORVEGICUS SACCHAROMYCES CEREVISIAE GLRX_RICCO RICINUS COMMUNIS </t>
  </si>
  <si>
    <t>Contig17380_55</t>
  </si>
  <si>
    <t xml:space="preserve"> CONTIG17380_55 GENEID_V1 3_PREDICTED_PROTEIN_55 111_AA CONTIG17666_86 3_PREDICTED_PROTEIN_86 595_AA CONTIG17898_2 3_PREDICTED_PROTEIN_2 796_AA CONTIG17855_109 3_PREDICTED_PROTEIN_109 732_AA CONTIG17353_23 3_PREDICTED_PROTEIN_23 443_AA</t>
  </si>
  <si>
    <t>Grx-1 - Drosophila melanogaster - disulfide oxidoreductase activity</t>
  </si>
  <si>
    <t>thioredoxin\-disulfide reductase activity||oxidoreductase activity\, acting on sulfur group of donors\, NAD or NADP as acceptor||oxidoreductase activity\, acting on sulfur group of donors||oxidoreductase activity||catalytic activity</t>
  </si>
  <si>
    <t>GO:0004791</t>
  </si>
  <si>
    <t>glutathione metabolic process||cellular amino acid derivative metabolic process||cellular amino acid and derivative metabolic process||cellular metabolic process||metabolic process</t>
  </si>
  <si>
    <t>GO:0006749</t>
  </si>
  <si>
    <t>GRX_GRXh_1_2_like 2e-005| 7TMR-DISM_7TM 3e-004| GRX_family 0.002| Glutaredoxin 0.002| Serpentine_recp 0.006| DltB 0.013| 7tm_4 0.014| GrxC 0.031| 7tm_7 0.058| GRX_GRXb_1_3_like 0.067|</t>
  </si>
  <si>
    <t>sp|Q8K987|PPID_BUCAP</t>
  </si>
  <si>
    <t>Q8K987 3 1 P24673 N1</t>
  </si>
  <si>
    <t xml:space="preserve">PPID_BUCAP PEPTIDYL PROLYL CIS TRANS ISOMERASE D BUCHNERA APHIDICOLA SUBSP SCHIZAPHIS GRAMINUM PPID PE RBL_CYLSN RIBULOSE BISPHOSPHATE CARBOXYLASE LARGE CHAIN CYLINDROTHECA STRAIN RBCL </t>
  </si>
  <si>
    <t>Contig17894_75</t>
  </si>
  <si>
    <t xml:space="preserve"> CONTIG17894_75 GENEID_V1 3_PREDICTED_PROTEIN_75 170_AA CONTIG16829_2 3_PREDICTED_PROTEIN_2 1093_AA CONTIG18052_1 3_PREDICTED_PROTEIN_1 300_AA CONTIG17960_5 3_PREDICTED_PROTEIN_5 62_AA</t>
  </si>
  <si>
    <t>Contig9941_1</t>
  </si>
  <si>
    <t>olfactory receptor 599 - Mus musculus - sensory perception of smell - integral to membrane - olfactory receptor activity - G-protein coupled receptor protein signaling pathway</t>
  </si>
  <si>
    <t>sensory perception of smell||sensory perception of chemical stimulus||sensory perception||cognition||neurological system process||system process||multicellular organismal process</t>
  </si>
  <si>
    <t>GO:0007608</t>
  </si>
  <si>
    <t>sp|P62950|BLCAP_RAT</t>
  </si>
  <si>
    <t>P62950 2 1 Q5R692 3 P62951 Q4R504 P62952 P62953 P62954 Q4G2S9 Q9IB61 Q90WT7</t>
  </si>
  <si>
    <t xml:space="preserve">BLCAP_RAT BLADDER CANCER ASSOCIATED RATTUS NORVEGICUS BLCAP PE BLCAP_PONAB PONGO ABELII BLCAP_MOUSE MUS MUSCULUS BLCAP_MACFA MACACA FASCICULARIS BLCAP_HUMAN HOMO SAPIENS BLCAP_FELCA FELIS CATUS BLCAP_BOVIN BOS TAURUS BLCAP_DIDMA DIDELPHIS MARSUPIALIS VIRGINIANA BLCAP_DANRE DANIO RERIO BLCAP_CARAU CARASSIUS AURATUS </t>
  </si>
  <si>
    <t>Contig17383_11</t>
  </si>
  <si>
    <t xml:space="preserve"> CONTIG17383_11 GENEID_V1 3_PREDICTED_PROTEIN_11 81_AA CONTIG17937_14 3_PREDICTED_PROTEIN_14 440_AA CONTIG17970_14 345_AA CONTIG7678_4 3_PREDICTED_PROTEIN_4 571_AA CONTIG17867_37 3_PREDICTED_PROTEIN_37 284_AA CONTIG16473_1 3_PREDICTED_PROTEIN_1 780_AA CONTIG17599_14 433_AA CONTIG12023_1 112_AA</t>
  </si>
  <si>
    <t>bladder cancer associated protein - Danio rerio - molecular_function - biological_process</t>
  </si>
  <si>
    <t>protein kinase activity||phosphotransferase activity\, alcohol group as acceptor||transferase activity\, transferring phosphorus\-containing groups||transferase activity||catalytic activity</t>
  </si>
  <si>
    <t>GO:0004672</t>
  </si>
  <si>
    <t>BC10 5e-018| 7tm_4 0.001| DltB 0.040|</t>
  </si>
  <si>
    <t>sp|Q2F637|1433Z_BOMMO</t>
  </si>
  <si>
    <t>Q2F637 1433Z_BOMMO 14 3 3ZETA 2 Q1HR36 1433Z_AEDAE 1 P29310 1433Z_DROME Q20655 14332_CAEEL Q5R651 1433Z_PONAB P63104 1433Z_HUMAN P63103 1433Z_BOVIN Q5ZKC9 1433Z_CHICK Q5PRD0 143BA_DANRE P63102 1433Z_RAT</t>
  </si>
  <si>
    <t xml:space="preserve">ZETA BOMBYX MORI PE AEDES AEGYPTI DROSOPHILA MELANOGASTER LIKE CAENORHABDITIS ELEGANS FTT DELTA PONGO ABELII YWHAZ HOMO SAPIENS BOS TAURUS GALLUS BETA ALPHA A DANIO RERIO YWHABA RATTUS NORVEGICUS </t>
  </si>
  <si>
    <t>Contig17897_7</t>
  </si>
  <si>
    <t>1CONTIG17897_7 GENEID_V1 3_PREDICTED_PROTEIN_7 248_AA CONTIG17811_26 3_PREDICTED_PROTEIN_26 162_AA CONTIG17811_25 3_PREDICTED_PROTEIN_25 406_AA CONTIG17836_18 3_PREDICTED_PROTEIN_18 429_AA CONTIG17962_190 3_PREDICTED_PROTEIN_190 766_AA CONTIG17357_20 3_PREDICTED_PROTEIN_20 1137_AA CONTIG17811_28 3_PREDICTED_PROTEIN_28 33_AA CONTIG17797_96 3_PREDICTED_PROTEIN_96 949_AA CONTIG2077_4 3_PREDICTED_PROTEIN_4 442_AA CONTIG17891_90 3_PREDICTED_PROTEIN_90 652_AA</t>
  </si>
  <si>
    <t>14-3-3zeta - Drosophila melanogaster - Ras protein signal transduction - activation of tryptophan 5-monooxygenase activity - protein kinase C inhibitor activity - tryptophan hydroxylase activator activity - protein binding - cell proliferation - compound eye photoreceptor cell differentiation - olfactory learning - chromosome segregation - mitotic cell cycle, embryonic - nucleus - learning or memory - germarium-derived oocyte fate determination - oocyte microtubule cytoskeleton polarization - germline ring canal</t>
  </si>
  <si>
    <t>protein kinase C inhibitor activity||protein serine/threonine kinase inhibitor activity||protein kinase inhibitor activity||protein kinase regulator activity||kinase regulator activity||enzyme regulator activity</t>
  </si>
  <si>
    <t>kinase regulator activity</t>
  </si>
  <si>
    <t>GO:0008426</t>
  </si>
  <si>
    <t>Ras protein signal transduction||small GTPase mediated signal transduction||intracellular signaling cascade||signal transduction||regulation of cellular process||regulation of biological process||biological regulation</t>
  </si>
  <si>
    <t>GO:0007265</t>
  </si>
  <si>
    <t>14-3-3 e-124| BMH1 2e-099| 14_3_3 6e-094| DUF947 0.020| GyrA 0.022| PRK11778 0.050|</t>
  </si>
  <si>
    <t>sp|P19039|EF1A_APIME</t>
  </si>
  <si>
    <t>P19039 EF1A_APIME 1 3 P05303 EF1A2_DROME 2 EF1ALPHA100E P08736 EF1A1_DROME EF1ALPHA48D P29520 EF1A_BOMMO P27634 EF1A_RHYAM P02993 EF1A_ARTSA P41166 EF1A_TRYBB TEF1 P62632 EF1A2_RAT EEF1A2 Q71V39 EF1A2_RABIT P62631 EF1A2_MOUSE</t>
  </si>
  <si>
    <t xml:space="preserve">ELONGATION FACTOR ALPHA APIS MELLIFERA PE DROSOPHILA MELANOGASTER BOMBYX MORI FRAGMENT RHYNCHOSCIARA AMERICANA ARTEMIA SALINA TRYPANOSOMA BRUCEI RATTUS NORVEGICUS ORYCTOLAGUS CUNICULUS MUS MUSCULUS </t>
  </si>
  <si>
    <t>Contig17792_130</t>
  </si>
  <si>
    <t xml:space="preserve"> CONTIG17792_130 GENEID_V1 3_PREDICTED_PROTEIN_130 442_AA CONTIG18034_102 3_PREDICTED_PROTEIN_102 405_AA CONTIG17881_47 3_PREDICTED_PROTEIN_47 751_AA CONTIG18070_102 2386_AA CONTIG17044_2 3_PREDICTED_PROTEIN_2 470_AA</t>
  </si>
  <si>
    <t>Elongation factor 1alpha48D - Drosophila melanogaster - translational elongation - translation elongation factor activity - cytosol - eukaryotic translation elongation factor 1 complex - cytoplasm - translation - GTPase activity - lipid particle</t>
  </si>
  <si>
    <t>translation elongation factor activity||translation factor activity\, nucleic acid binding||translation regulator activity</t>
  </si>
  <si>
    <t>GO:0003746</t>
  </si>
  <si>
    <t>&lt;translational elongation||positive regulation of homocysteine metabolic process||positive regulation of transcription from RNA polymerase II promoter||negative regulation of glycogen biosynthetic process||negative regulation of juvenile hormone catabolic process||negative regulation of juvenile hormone catabolic process||negative regulation of integrin biosynthetic process||positive regulation of transcription from RNA polymerase I promoter||positive regulation of telomere maintenance via semi\-conservative replication||positive regulation of transcription from RNA polymerase I promoter||protein import into peroxisome matrix\, receptor recycling||protein import into peroxisome matrix\, receptor recycling||positive regulation of RNA import into nucleus||negative regulation of alpha\-beta T cell activation||positive regulation of RNA import into nucleus||negative regulation of retinal cone cell fate specification||regulation of regulatory T cell differentiation||BMP signaling pathway in spinal cord dorsal/ventral patterning||BMP signaling pathway in spinal cord dorsal/ventral patterning||BMP signaling pathway in spinal cord dorsal/ventral patterning||BMP signaling pathway in spinal cord dorsal/ventral patterning||BMP signaling pathway in spinal cord dorsal/ventral patterning||negative regulation of cardiac muscle fiber development||positive regulation of glycogen catabolic process||positive regulation of glycogen catabolic process||positive regulation of glycogen catabolic process||sequestering of calcium ion</t>
  </si>
  <si>
    <t>GO:0006414</t>
  </si>
  <si>
    <t>EF1_alpha_III 1e-050| PRK12317 1e-041| TEF1 2e-037| GTP_EFTU_D3 4e-030| Translation_factor_III 1e-024| eRF3c_III 3e-019| HBS1_C 1e-014| CysN 4e-004| GTPBP1 0.002| CysN_NoDQ_III 0.008|</t>
  </si>
  <si>
    <t>sp|Q5FKD2|CRCB1_LACAC</t>
  </si>
  <si>
    <t xml:space="preserve"> Lactobacillus acidophilus</t>
  </si>
  <si>
    <t>Q5FKD2 CRCB1_LACAC 1 CRCB1 3</t>
  </si>
  <si>
    <t xml:space="preserve">CRCB HOMOLOG LACTOBACILLUS ACIDOPHILUS PE </t>
  </si>
  <si>
    <t>Contig17909_49</t>
  </si>
  <si>
    <t xml:space="preserve"> CONTIG17909_49 GENEID_V1 3_PREDICTED_PROTEIN_49 973_AA CONTIG17382_19 3_PREDICTED_PROTEIN_19 459_AA CONTIG17924_26 3_PREDICTED_PROTEIN_26 511_AA</t>
  </si>
  <si>
    <t>Contig17889_50</t>
  </si>
  <si>
    <t>YfhO 5e-004| TatC 0.001| ETRAMP 0.002| DltB 0.004| QcrB 0.007| COG3202 0.016| Borrelia_orfA 0.028| COG1672 0.035| MelB 0.036| 7tm_4 0.038|</t>
  </si>
  <si>
    <t xml:space="preserve"> Escherichia coli MS 57-2</t>
  </si>
  <si>
    <t>sp|Q6CE86|TSC10_YARLI</t>
  </si>
  <si>
    <t>Q6CE86 TSC10_YARLI 3 TSC10 1 Q756P0 2 NOP1</t>
  </si>
  <si>
    <t xml:space="preserve">KETODIHYDROSPHINGOSINE REDUCTASE YARROWIA LIPOLYTICA PE FBRL_ASHGO RRNA O METHYLTRANSFERASE FIBRILLARIN ASHBYA GOSSYPII </t>
  </si>
  <si>
    <t>Contig27227_1</t>
  </si>
  <si>
    <t>membrane protein, putative - Bacillus anthracis str. Ames - molecular_function - biological_process</t>
  </si>
  <si>
    <t>SMN 2e-004| EMP70 0.002| DUF81 0.023| NapH 0.038| DUF456 0.092|</t>
  </si>
  <si>
    <t>Contig17959_137</t>
  </si>
  <si>
    <t xml:space="preserve"> CONTIG17959_137 GENEID_V1 3_PREDICTED_PROTEIN_137 122_AA</t>
  </si>
  <si>
    <t>Contig17521_5</t>
  </si>
  <si>
    <t>Putative protein of unknown function - Saccharomyces cerevisiae - molecular_function - cellular_component - biological_process</t>
  </si>
  <si>
    <t>Contig8147_1</t>
  </si>
  <si>
    <t>sp|P25867|UBCD1_DROME</t>
  </si>
  <si>
    <t>P25867 UBCD1_DROME E2 17 1 P35129 UBC2_CAEEL 2 70 P62840 UB2D2_XENLA D2 UBE2D2 P62839 UB2D2_RAT P62838 UB2D2_MOUSE P62837 UB2D2_HUMAN Q1RMX2 UB2D2_BOVIN P61078 UB2D3_RAT D3 UBE2D3 Q5R4V7 UB2D3_PONAB P61079 UB2D3_MOUSE</t>
  </si>
  <si>
    <t xml:space="preserve">UBIQUITIN CONJUGATING ENZYME KDA DROSOPHILA MELANOGASTER EFF PE CAENORHABDITIS ELEGANS LET XENOPUS LAEVIS RATTUS NORVEGICUS MUS MUSCULUS HOMO SAPIENS BOS TAURUS PONGO ABELII </t>
  </si>
  <si>
    <t>Contig18002_12</t>
  </si>
  <si>
    <t>1CONTIG18002_12 GENEID_V1 3_PREDICTED_PROTEIN_12 148_AA CONTIG17792_61 3_PREDICTED_PROTEIN_61 188_AA CONTIG15129_2 3_PREDICTED_PROTEIN_2 152_AA CONTIG17834_72 3_PREDICTED_PROTEIN_72 CONTIG17970_573 3_PREDICTED_PROTEIN_573 200_AA CONTIG17855_120 3_PREDICTED_PROTEIN_120 154_AA CONTIG17592_17 3_PREDICTED_PROTEIN_17 155_AA CONTIG17931_69 3_PREDICTED_PROTEIN_69 CONTIG17830_61 186_AA CONTIG17896_30 3_PREDICTED_PROTEIN_30 203_AA</t>
  </si>
  <si>
    <t>effete - Drosophila melanogaster - ubiquitin-protein ligase activity - spermatid development - chromosome organization - male meiosis - mitosis - protein binding - compound eye morphogenesis - oogenesis - regulation of R7 cell differentiation - compound eye photoreceptor cell differentiation - protein ubiquitination</t>
  </si>
  <si>
    <t>UQ_con 5e-061| COG5078 2e-060| UBCc 2e-059| UBCc 4e-055| UEV 0.045|</t>
  </si>
  <si>
    <t>sp|P02976|SPA_STAA8</t>
  </si>
  <si>
    <t xml:space="preserve"> Staphylococcus aureus (strain NCTC 8325)</t>
  </si>
  <si>
    <t>P02976 SPA_STAA8 8325 1 3 A7EDF3 IRS4_SCLS1 4 18683 1980 IRS4 Q8MTI2 BSL1_TRIVA BSPAL1 P48025 2 Q9Y4I5 MTL5_HUMAN MTL5 Q21TN7 15236 621 T118 Q1D2K0 1622 Q92C29 IF2_LISIN Q6BJD4 EDC1_DEBHA EDC1 Q91ZY1 HRH4_RAT H4 HRH4</t>
  </si>
  <si>
    <t xml:space="preserve">IMMUNOGLOBULIN G BINDING A STAPHYLOCOCCUS AUREUS STRAIN NCTC SPA PE INCREASED RDNA SILENCING SCLEROTINIA SCLEROTIORUM ATCC SS SURFACE BSPA LIKE TRICHOMONAS VAGINALIS KSYK_MOUSE TYROSINE KINASE SYK MUS MUSCULUS TESMIN HOMO SAPIENS KDSB_RHOFD DEOXY MANNO OCTULOSONATE CYTIDYLYLTRANSFERASE RHODOFERAX FERRIREDUCENS DSM BAA KDSB LPXC_MYXXD UDP O N ACETYLGLUCOSAMINE DEACETYLASE MYXOCOCCUS XANTHUS DK LPXC TRANSLATION INITIATION FACTOR IF LISTERIA INNOCUA INFB ENHANCER MRNA DECAPPING DEBARYOMYCES HANSENII HISTAMINE RECEPTOR RATTUS NORVEGICUS </t>
  </si>
  <si>
    <t>Contig17927_21</t>
  </si>
  <si>
    <t xml:space="preserve"> CONTIG17927_21 GENEID_V1 3_PREDICTED_PROTEIN_21 279_AA CONTIG15973_8 3_PREDICTED_PROTEIN_8 208_AA CONTIG17918_3 3_PREDICTED_PROTEIN_3 261_AA CONTIG17808_35 3_PREDICTED_PROTEIN_35 177_AA CONTIG5757_4 3_PREDICTED_PROTEIN_4 472_AA CONTIG17934_62 3_PREDICTED_PROTEIN_62 494_AA CONTIG17533_22 3_PREDICTED_PROTEIN_22 221_AA CONTIG17219_1 3_PREDICTED_PROTEIN_1 591_AA CONTIG17086_14 3_PREDICTED_PROTEIN_14 174_AA CONTIG16842_5 3_PREDICTED_PROTEIN_5 271_AA</t>
  </si>
  <si>
    <t>Contig18035_43</t>
  </si>
  <si>
    <t>CG2219 - Drosophila melanogaster - GTPase activity</t>
  </si>
  <si>
    <t>B cell receptor complex||thylakoid membrane||photosynthetic membrane||membrane||cell part</t>
  </si>
  <si>
    <t>GO:0019815</t>
  </si>
  <si>
    <t>enzyme linked receptor protein signaling pathway||cell surface receptor linked signal transduction||signal transduction||regulation of cellular process||regulation of biological process||biological regulation</t>
  </si>
  <si>
    <t>GO:0007167</t>
  </si>
  <si>
    <t>GT1_Glycogen_Phosphorylase_like 0.078|</t>
  </si>
  <si>
    <t>sp|P50903|LIPP_CAVPO</t>
  </si>
  <si>
    <t xml:space="preserve"> Cavia porcellus</t>
  </si>
  <si>
    <t>P50903 2 1 P54318 LIPR2_RAT PNLIPRP2 Q5XGE9 P17892 LIPR2_MOUSE Q641F6 P06857 LIPR1_CANFA PNLIPRP1 A5PK46 LIPR2_BOVIN P00591 P54315 LIPR1_HUMAN Q6XZB0</t>
  </si>
  <si>
    <t xml:space="preserve">LIPP_CAVPO PANCREATIC TRIACYLGLYCEROL LIPASE CAVIA PORCELLUS PNLIP PE RELATED RATTUS NORVEGICUS LIPH_XENTR MEMBER H XENOPUS TROPICALIS LIPH MUS MUSCULUS LIPHB_XENLA B LAEVIS CANIS FAMILIARIS BOS TAURUS LIPP_PIG SUS SCROFA HOMO SAPIENS LIPI_HUMAN I LIPI </t>
  </si>
  <si>
    <t>Contig15864_4</t>
  </si>
  <si>
    <t xml:space="preserve"> CONTIG15864_4 GENEID_V1 3_PREDICTED_PROTEIN_4 908_AA CONTIG15864_3 3_PREDICTED_PROTEIN_3 348_AA CONTIG17955_210 3_PREDICTED_PROTEIN_210 143_AA CONTIG17801_59 3_PREDICTED_PROTEIN_59 387_AA CONTIG17530_10 3_PREDICTED_PROTEIN_10 282_AA CONTIG16324_1 3_PREDICTED_PROTEIN_1 328_AA CONTIG17869_2 3_PREDICTED_PROTEIN_2 341_AA CONTIG17588_7 3_PREDICTED_PROTEIN_7 508_AA CONTIG18070_192 3_PREDICTED_PROTEIN_192 458_AA CONTIG17955_214 3_PREDICTED_PROTEIN_214 351_AA</t>
  </si>
  <si>
    <t>CG17292 - Drosophila melanogaster - triacylglycerol lipase activity</t>
  </si>
  <si>
    <t>phospholipase activity||lipase activity||hydrolase activity\, acting on ester bonds||hydrolase activity||catalytic activity</t>
  </si>
  <si>
    <t>GO:0004620</t>
  </si>
  <si>
    <t>cellular defense response||defense response||response to stress||response to stimulus</t>
  </si>
  <si>
    <t>GO:0006968</t>
  </si>
  <si>
    <t>Pancreat_lipase_like 8e-028| Lipase 1e-020| ND5 1e-007| lipo_lipase 1e-007| ND4 1e-005| PRK11192 1e-004| ND2 2e-004| Med19 3e-004| ND2 5e-004| RNA_polI_A34 7e-004|</t>
  </si>
  <si>
    <t>sp|O76190|RL5_BOMMO</t>
  </si>
  <si>
    <t>O76190 RL5_BOMMO 60S L5 RPL5 2 1 Q56FG6 RL5_LYSTE Q1HQU2 RL5_AEDAE O65353 RL5_HELAN RPL5A O44248 RL5_ANOGA 3 Q9W5R8 RL5_DROME Q5XUC7 RL5_TOXCI P15125 RL5A_XENLA P46777 RL5_HUMAN P22451 RL5_CHICK</t>
  </si>
  <si>
    <t xml:space="preserve">RIBOSOMAL BOMBYX MORI PE LYSIPHLEBUS TESTACEIPES AEDES AEGYPTI HELIANTHUS ANNUUS ANOPHELES GAMBIAE DROSOPHILA MELANOGASTER TOXOPTERA CITRICIDA A XENOPUS LAEVIS HOMO SAPIENS GALLUS </t>
  </si>
  <si>
    <t>Contig17959_111</t>
  </si>
  <si>
    <t xml:space="preserve"> CONTIG17959_111 GENEID_V1 3_PREDICTED_PROTEIN_111 663_AA CONTIG18070_105 3_PREDICTED_PROTEIN_105 273_AA CONTIG17600_18 3_PREDICTED_PROTEIN_18 128_AA</t>
  </si>
  <si>
    <t>Ribosomal protein L5 - Drosophila melanogaster - cytosolic large ribosomal subunit - translation - structural constituent of ribosome - 5S rRNA binding - protein binding</t>
  </si>
  <si>
    <t>PTZ00069 3e-098| Ribosomal_L18p 3e-036| rpl18p 1e-034| Ribosomal_L18_L5e 6e-023| RplR 9e-023|</t>
  </si>
  <si>
    <t>sp|P49867|FTZF1_BOMMO</t>
  </si>
  <si>
    <t>P49867 FTZF1_BOMMO F1 1 2 P33244 FTZF1_DROME O42101 NR5A2_CHICK 5 NR5A2 O00482 NR5A2_HUMAN Q9QWM1 NR5A2_RAT P45448 NR5A2_MOUSE 3 Q95L87 STF1_MACEU NR5A1 P33242 STF1_MOUSE P50569 STF1_RAT Q04752 STF1_BOVIN</t>
  </si>
  <si>
    <t xml:space="preserve">NUCLEAR HORMONE RECEPTOR FTZ BOMBYX MORI PE DROSOPHILA MELANOGASTER SUBFAMILY GROUP A MEMBER GALLUS HOMO SAPIENS RATTUS NORVEGICUS MUS MUSCULUS STEROIDOGENIC FACTOR MACROPUS EUGENII BOS TAURUS </t>
  </si>
  <si>
    <t>Contig17978_37</t>
  </si>
  <si>
    <t xml:space="preserve"> CONTIG17978_37 GENEID_V1 3_PREDICTED_PROTEIN_37 235_AA CONTIG17852_83 3_PREDICTED_PROTEIN_83 482_AA CONTIG17851_36 3_PREDICTED_PROTEIN_36 703_AA CONTIG17705_34 3_PREDICTED_PROTEIN_34 151_AA CONTIG17128_2 3_PREDICTED_PROTEIN_2 366_AA CONTIG17402_9 3_PREDICTED_PROTEIN_9 257_AA CONTIG17871_23 3_PREDICTED_PROTEIN_23 384_AA CONTIG17547_4 3_PREDICTED_PROTEIN_4 326_AA CONTIG17959_72 3_PREDICTED_PROTEIN_72 687_AA CONTIG17488_25 3_PREDICTED_PROTEIN_25 395_AA</t>
  </si>
  <si>
    <t>ftz transcription factor 1 - Drosophila melanogaster - DNA binding - nucleus - periodic partitioning - ligand-dependent nuclear receptor activity - transcription factor activity - salivary gland cell autophagic cell death - response to ecdysone - cell death - response to hormone stimulus - metamorphosis - regulation of development, heterochronic - regulation of transcription, DNA-dependent - transcription cofactor activity - cytoplasm - instar larval or pupal development - olfactory behavior</t>
  </si>
  <si>
    <t>&lt;periodic partitioning||somite specification||uterine wall growth||dorsal convergence||gonad morphogenesis||leg segmentation||fin morphogenesis||cytokine secretion||pollen hydration||pollen adhesion||diapedesis||seed growth||cornification||innervation</t>
  </si>
  <si>
    <t>GO:0007365</t>
  </si>
  <si>
    <t>Hormone_recep 2e-025| HOLI 1e-018| ArnT 7e-004| 7TMR-DISM_7TM 8e-004| VanZ 0.001| CAP_N 0.001| matK 0.004| PRK09874 0.006| DUF729 0.007| YfhO 0.008|</t>
  </si>
  <si>
    <t>sp|Q94972|H13_DROVI</t>
  </si>
  <si>
    <t>Q94972 H13_DROVI H1 3 HIS1 1 Q94555 H12_DROVI 2 Q24704 H11_DROVI P02255 H1_DROME P17268 H1_DROHY P40276 H1B_CHITE H1B P21895 H1_CHITH P40277 H1C_CHITE H1C P40265 H13_GLYBA P40275 H1A_CHITE H1A</t>
  </si>
  <si>
    <t xml:space="preserve">HISTONE DROSOPHILA VIRILIS PE MELANOGASTER HYDEI CHIRONOMUS TENTANS THUMMI III GLYPTOTENDIPES BARBIPES </t>
  </si>
  <si>
    <t xml:space="preserve"> CONTIG18070_21 GENEID_V1 3_PREDICTED_PROTEIN_21 209_AA CONTIG17816_29 3_PREDICTED_PROTEIN_29 213_AA CONTIG17651_14 3_PREDICTED_PROTEIN_14 207_AA CONTIG17651_15 3_PREDICTED_PROTEIN_15 189_AA CONTIG17917_53 3_PREDICTED_PROTEIN_53 164_AA CONTIG17651_7 3_PREDICTED_PROTEIN_7 211_AA CONTIG4159_7 881_AA CONTIG18033_112 3_PREDICTED_PROTEIN_112 392_AA CONTIG17883_68 3_PREDICTED_PROTEIN_68 CONTIG17773_33 3_PREDICTED_PROTEIN_33 1099_AA</t>
  </si>
  <si>
    <t>H15 2e-028| Linker_histone 2e-025| H15 2e-022| PRK13808 7e-012| tolA 7e-009| tolA_full 2e-008| PRK09138 4e-008| COG1754 4e-008| MIP-T3 8e-008| infB 1e-007|</t>
  </si>
  <si>
    <t>&lt;brain development||pons maturation||system development||eclosion rhythm||pollen adhesion||diapedesis||seed growth||cornification||innervation</t>
  </si>
  <si>
    <t>GO:0007420</t>
  </si>
  <si>
    <t>sp|Q8D342|ARNC_WIGBR</t>
  </si>
  <si>
    <t xml:space="preserve"> Wigglesworthia glossinidia brevipalpis</t>
  </si>
  <si>
    <t>Q8D342 4 3 1 B2XTT2 CCS1_HETA4 CCS1 CCMP452 B2XTC6 CCS1_HETA2 293 Q2EEX2 Q99MT2 MSH4_MOUSE MSH4 2 O15457 MSH4_HUMAN O44017 ERD2_ENTHI ERD2 P47597 Q7VQQ9</t>
  </si>
  <si>
    <t xml:space="preserve">ARNC_WIGBR UNDECAPRENYL PHOSPHATE DEOXY FORMAMIDO L ARABINOSE TRANSFERASE WIGGLESWORTHIA GLOSSINIDIA BREVIPALPIS ARNC PE CYTOCHROME C BIOGENESIS HETEROSIGMA AKASHIWO STRAIN NIES RPOB_HELSJ DNA DIRECTED RNA POLYMERASE SUBUNIT BETA HELICOSPORIDIUM SUBSP SIMULIUM JONESII RPOB MUTS HOMOLOG MUS MUSCULUS HOMO SAPIENS ER LUMEN RETAINING RECEPTOR ENTAMOEBA HISTOLYTICA CLPB_MYCGE CHAPERONE CLPB MYCOPLASMA GENITALIUM GCP_BLOFL PROBABLE O SIALOGLYCOPROTEIN ENDOPEPTIDASE BLOCHMANNIA FLORIDANUS GCP </t>
  </si>
  <si>
    <t>Contig17962_118</t>
  </si>
  <si>
    <t xml:space="preserve"> CONTIG17962_118 GENEID_V1 3_PREDICTED_PROTEIN_118 314_AA CONTIG17549_2 3_PREDICTED_PROTEIN_2 494_AA CONTIG17793_30 3_PREDICTED_PROTEIN_30 309_AA CONTIG16238_2 306_AA CONTIG17926_194 3_PREDICTED_PROTEIN_194 203_AA CONTIG12800_4 3_PREDICTED_PROTEIN_4 301_AA CONTIG8931_2 211_AA CONTIG17805_14 3_PREDICTED_PROTEIN_14 391_AA CONTIG17643_10 3_PREDICTED_PROTEIN_10 547_AA CONTIG17953_160 3_PREDICTED_PROTEIN_160 1518_AA</t>
  </si>
  <si>
    <t>Contig18003_17</t>
  </si>
  <si>
    <t>phosphatidate cytidylyltransferase - Carboxydothermus hydrogenoformans Z-2901 - phosphatidate cytidylyltransferase activity - phospholipid biosynthetic process - membrane</t>
  </si>
  <si>
    <t>phosphatidate cytidylyltransferase activity||cytidylyltransferase activity||nucleotidyltransferase activity||transferase activity\, transferring phosphorus\-containing groups||transferase activity||catalytic activity</t>
  </si>
  <si>
    <t>GO:0004605</t>
  </si>
  <si>
    <t>phospholipid biosynthetic process||phospholipid metabolic process||cellular lipid metabolic process||lipid metabolic process||primary metabolic process||metabolic process</t>
  </si>
  <si>
    <t>GO:0008654</t>
  </si>
  <si>
    <t>7TMR-DISM_7TM 0.012|</t>
  </si>
  <si>
    <t>transcription factor activity||DNA binding||nucleic acid binding||binding</t>
  </si>
  <si>
    <t>GO:0003700</t>
  </si>
  <si>
    <t>sp|Q6BJ94|SHE9_DEBHA</t>
  </si>
  <si>
    <t xml:space="preserve"> Debaryomyces hansenii</t>
  </si>
  <si>
    <t>Q6BJ94 SHE9_DEBHA 9 SHE9 3 2 Q6UXV0 P36525 RM24_YEAST 54S L24 MRPL24 1</t>
  </si>
  <si>
    <t xml:space="preserve">SENSITIVE TO HIGH EXPRESSION HOMOLOG MITOCHONDRIAL DEBARYOMYCES HANSENII PE GFRAL_HUMAN GDNF FAMILY RECEPTOR ALPHA LIKE HOMO SAPIENS GFRAL RIBOSOMAL SACCHAROMYCES CEREVISIAE </t>
  </si>
  <si>
    <t>Contig18015_32</t>
  </si>
  <si>
    <t xml:space="preserve"> CONTIG18015_32 GENEID_V1 3_PREDICTED_PROTEIN_32 286_AA CONTIG18015_38 3_PREDICTED_PROTEIN_38 440_AA CONTIG18015_31 3_PREDICTED_PROTEIN_31 70_AA CONTIG17968_78 3_PREDICTED_PROTEIN_78 490_AA</t>
  </si>
  <si>
    <t>Mitochondrial ribosomal protein of the large subunit - Saccharomyces cerevisiae - structural constituent of ribosome - mitochondrion - mitochondrial large ribosomal subunit - mitochondrial translation</t>
  </si>
  <si>
    <t>mitochondrial translation||translation||cellular biopolymer biosynthetic process||cellular macromolecule biosynthetic process||cellular macromolecule metabolic process||macromolecule metabolic process||metabolic process</t>
  </si>
  <si>
    <t>GO:0032543</t>
  </si>
  <si>
    <t>RNA_polI_A34 2e-005| TatC 5e-005| DltB 1e-004| Serpentine_recp 1e-004| PRK11192 2e-004| 7tm_4 4e-004| DUF443 6e-004| DUF1754 7e-004| COG4758 0.001| YMF19 0.001|</t>
  </si>
  <si>
    <t>sp|P92982|JP630_ARATH</t>
  </si>
  <si>
    <t>P92982 JP630_ARATH JP630 2 O81742 1</t>
  </si>
  <si>
    <t xml:space="preserve">PROBABLE POLYGALACTURONASE NON CATALYTIC SUBUNIT ARABIDOPSIS THALIANA PE APBLC_ARATH BETA ADAPTIN LIKE C BETAC AD </t>
  </si>
  <si>
    <t>Contig7606_3</t>
  </si>
  <si>
    <t>Contig17821_87</t>
  </si>
  <si>
    <t xml:space="preserve"> CONTIG17821_87 GENEID_V1 3_PREDICTED_PROTEIN_87 995_AA CONTIG16997_3 3_PREDICTED_PROTEIN_3 389_AA</t>
  </si>
  <si>
    <t>Contig17607_32</t>
  </si>
  <si>
    <t>sequence orphan - Schizosaccharomyces pombe - molecular_function - cellular_component - induction of conjugation upon nitrogen starvation - meiosis</t>
  </si>
  <si>
    <t>induction of conjugation upon nitrogen starvation||induction of conjugation upon nutrient starvation||positive regulation of conjugation with cellular fusion||positive regulation of conjugation||positive regulation of multi\-organism process||positive regulation of biological process||regulation of biological process||biological regulation</t>
  </si>
  <si>
    <t>GO:0031142</t>
  </si>
  <si>
    <t>Contig17968_87</t>
  </si>
  <si>
    <t>MopB_Res-Cmplx1_Nad11-M 0.003| IncFII_repA 0.006| DNA_pol_B_2 0.035|</t>
  </si>
  <si>
    <t>sp|Q9U639|HSP7D_MANSE</t>
  </si>
  <si>
    <t xml:space="preserve"> Manduca sexta</t>
  </si>
  <si>
    <t>Q9U639 HSP7D_MANSE 70 4 2 1 Q90473 HSP7C_DANRE 71 HSPA8 P27541 HSP70_BRUMA HSP70 3 P16627 HS71L_MOUSE HSPA1L P47773 HSP7C_ICTPU HSC70 P55063 HS71L_RAT P11147 HSP7D_DROME Q71U34 HSP7C_SAGOE Q5NVM9 HSP7C_PONAB P11142 HSP7C_HUMAN</t>
  </si>
  <si>
    <t xml:space="preserve">HEAT SHOCK KDA COGNATE MANDUCA SEXTA PE DANIO RERIO BRUGIA MALAYI LIKE MUS MUSCULUS ICTALURUS PUNCTATUS RATTUS NORVEGICUS DROSOPHILA MELANOGASTER SAGUINUS OEDIPUS PONGO ABELII HOMO SAPIENS </t>
  </si>
  <si>
    <t>Contig17326_44</t>
  </si>
  <si>
    <t xml:space="preserve"> CONTIG17326_44 GENEID_V1 3_PREDICTED_PROTEIN_44 653_AA CONTIG18047_31 3_PREDICTED_PROTEIN_31 693_AA CONTIG13576_6 3_PREDICTED_PROTEIN_6 260_AA CONTIG17836_46 3_PREDICTED_PROTEIN_46 230_AA CONTIG17836_32 3_PREDICTED_PROTEIN_32 637_AA CONTIG17891_90 3_PREDICTED_PROTEIN_90 652_AA CONTIG17153_14 3_PREDICTED_PROTEIN_14 CONTIG10360_1 3_PREDICTED_PROTEIN_1 80_AA CONTIG17329_18 3_PREDICTED_PROTEIN_18 1601_AA CONTIG17967_224 3_PREDICTED_PROTEIN_224 423_AA</t>
  </si>
  <si>
    <t>heat shock protein 1-like - Mus musculus - protein binding</t>
  </si>
  <si>
    <t>embryonic development via the syncytial blastoderm||embryonic development ending in birth or egg hatching||plantlet formation on parent plant||multicellular organism reproduction||multicellular organismal process</t>
  </si>
  <si>
    <t>GO:0001700</t>
  </si>
  <si>
    <t>HSP70 3e-010| FAP 6e-005| DEC-1_N 5e-004| PRK12323 6e-004| PRK06975 7e-004| dnaK 9e-004| DnaK 9e-004| PRK12438 0.004| PRK07764 0.005| Drf_FH1 0.009|</t>
  </si>
  <si>
    <t>Contig17930_65</t>
  </si>
  <si>
    <t xml:space="preserve"> CONTIG17930_65 GENEID_V1 3_PREDICTED_PROTEIN_65 1292_AA CONTIG258_4 3_PREDICTED_PROTEIN_4 887_AA CONTIG17922_120 3_PREDICTED_PROTEIN_120 242_AA CONTIG17916_39 3_PREDICTED_PROTEIN_39 1258_AA CONTIG17847_96 3_PREDICTED_PROTEIN_96 529_AA</t>
  </si>
  <si>
    <t>Contig17906_86</t>
  </si>
  <si>
    <t>ND4 0.041|</t>
  </si>
  <si>
    <t>sp|Q5FVQ4|MLEC_RAT</t>
  </si>
  <si>
    <t>Q5FVQ4 2 1 Q6ZQI3 Q14165 A9C3P0 3 Q6INX3 Q8AVF4 Q9AWS7 Y1407_ORYSJ AP2 B3 OS01G0140700 P47170 IML1_YEAST IML1 Q96DT5 DYH11_HUMAN 11 DNAH11</t>
  </si>
  <si>
    <t xml:space="preserve">MLEC_RAT MALECTIN RATTUS NORVEGICUS MLEC PE MLEC_MOUSE MUS MUSCULUS MLEC_HUMAN HOMO SAPIENS MLEC_DANRE DANIO RERIO MLECA_XENLA A XENOPUS LAEVIS MLECB_XENLA B ERF DOMAIN CONTAINING ORYZA SATIVA SUBSP JAPONICA VACUOLAR MEMBRANE ASSOCIATED SACCHAROMYCES CEREVISIAE DYNEIN HEAVY CHAIN AXONEMAL </t>
  </si>
  <si>
    <t>Contig17767_9</t>
  </si>
  <si>
    <t>1CONTIG17767_9 GENEID_V1 3_PREDICTED_PROTEIN_9 269_AA CONTIG17888_7 3_PREDICTED_PROTEIN_7 2201_AA CONTIG17864_53 3_PREDICTED_PROTEIN_53 452_AA CONTIG17527_25 3_PREDICTED_PROTEIN_25 1277_AA</t>
  </si>
  <si>
    <t>malectin - Rattus norvegicus - endoplasmic reticulum - carbohydrate binding</t>
  </si>
  <si>
    <t>&lt;fungal\-type vacuole membrane||fungal\-type vacuole membrane||plasma membrane\-derived thylakoid membrane||plasma membrane\-derived thylakoid photosystem II||plasma membrane\-derived thylakoid photosystem II||chloroplast small ribosomal subunit||chloroplast small ribosomal subunit||nuclear envelope lumen||X chromosome located dosage compensation complex\, transcription activating||plasma membrane\-derived thylakoid lumen</t>
  </si>
  <si>
    <t>plasma membrane\-derived thylakoid lumen</t>
  </si>
  <si>
    <t>X chromosome located dosage compensation complex\, transcription activating</t>
  </si>
  <si>
    <t>GO:0000329</t>
  </si>
  <si>
    <t>ND5 0.068| PRK05559 0.080|</t>
  </si>
  <si>
    <t>sp|B1VYN5|IF2_STRGG</t>
  </si>
  <si>
    <t xml:space="preserve"> Streptomyces griseus subsp. griseus (strain JCM 4626 / NBRC 13350)</t>
  </si>
  <si>
    <t>B1VYN5 IF2_STRGG 2 4626 13350 3 1 Q9YIB4 CO1A1_CYNPY COL1A1 Q9C0J8 WDR33_HUMAN 33 WDR33 P12105 CO3A1_CHICK COL3A1 P05143 PRP2_MOUSE PRP2 A0PQC4 IF2_MYCUA AGY99 B2HKS2 IF2_MYCMM 535 P10164 PRP2_RAT PRP25 Q96A83 EMID2_HUMAN EMID2 P27393 CO4A2_ASCSU</t>
  </si>
  <si>
    <t xml:space="preserve">TRANSLATION INITIATION FACTOR IF STREPTOMYCES GRISEUS SUBSP STRAIN JCM NBRC INFB PE COLLAGEN ALPHA I CHAIN CYNOPS PYRRHOGASTER WD REPEAT CONTAINING HOMO SAPIENS III FRAGMENTS GALLUS PROLINE RICH MUS MUSCULUS MYCOBACTERIUM ULCERANS MARINUM ATCC BAA M ACIDIC FRAGMENT RATTUS NORVEGICUS XXVI IV ASCARIS SUUM </t>
  </si>
  <si>
    <t>Contig17947_2</t>
  </si>
  <si>
    <t xml:space="preserve"> CONTIG17947_2 GENEID_V1 3_PREDICTED_PROTEIN_2 693_AA CONTIG18047_236 3_PREDICTED_PROTEIN_236 1288_AA CONTIG17364_7 3_PREDICTED_PROTEIN_7 1077_AA CONTIG17871_20 3_PREDICTED_PROTEIN_20 233_AA CONTIG12228_4 3_PREDICTED_PROTEIN_4 620_AA CONTIG18032_94 3_PREDICTED_PROTEIN_94 2003_AA CONTIG17916_101 3_PREDICTED_PROTEIN_101 674_AA CONTIG17865_85 3_PREDICTED_PROTEIN_85 1492_AA CONTIG18047_229 3_PREDICTED_PROTEIN_229 952_AA CONTIG17864_69 3_PREDICTED_PROTEIN_69 599_AA</t>
  </si>
  <si>
    <t>proline-rich protein MP5 - Mus musculus - biological_process - cellular_component - molecular_function</t>
  </si>
  <si>
    <t>PRK11192 4e-006| PRK04950 7e-006| RNA_polI_A34 1e-005| eIF3_subunit 6e-005| YL1 8e-005| Oxidored_q4 2e-004| Sec62 2e-004| TatC 2e-004| DUF1754 2e-004| SURF6 3e-004|</t>
  </si>
  <si>
    <t>sp|P55745|RAB21_CANFA</t>
  </si>
  <si>
    <t xml:space="preserve"> Canis familiaris</t>
  </si>
  <si>
    <t>P55745 RAB21_CANFA 21 RAB21 3 Q17R06 RAB21_BOVIN 2 1 Q9UL25 RAB21_HUMAN Q6AXT5 RAB21_RAT P35282 RAB21_MOUSE 4 Q8WQ53 RAB21_GEOCY P34142 RAB21_DICDI Q921E2 RAB31_MOUSE 31 RAB31 Q13636 RAB31_HUMAN Q6GQP4 RAB31_RAT</t>
  </si>
  <si>
    <t xml:space="preserve">RAS RELATED RAB CANIS FAMILIARIS PE BOS TAURUS HOMO SAPIENS RATTUS NORVEGICUS MUS MUSCULUS GEODIA CYDONIUM DICTYOSTELIUM DISCOIDEUM </t>
  </si>
  <si>
    <t>Contig17936_8</t>
  </si>
  <si>
    <t>1CONTIG17936_8 GENEID_V1 3_PREDICTED_PROTEIN_8 219_AA CONTIG17943_12 3_PREDICTED_PROTEIN_12 214_AA CONTIG17801_65 3_PREDICTED_PROTEIN_65 CONTIG17634_54 3_PREDICTED_PROTEIN_54 215_AA CONTIG17545_19 3_PREDICTED_PROTEIN_19 208_AA CONTIG18057_235 3_PREDICTED_PROTEIN_235 258_AA CONTIG17769_2 3_PREDICTED_PROTEIN_2 201_AA CONTIG17071_16 3_PREDICTED_PROTEIN_16 238_AA CONTIG17942_41 3_PREDICTED_PROTEIN_41 216_AA CONTIG17912_27 3_PREDICTED_PROTEIN_27 203_AA</t>
  </si>
  <si>
    <t>RAB21, member RAS oncogene family - Rattus norvegicus - protein binding</t>
  </si>
  <si>
    <t>intracellular organelle||outer membrane\-bounded periplasmic space||external encapsulating structure part||cell part</t>
  </si>
  <si>
    <t>GO:0043229</t>
  </si>
  <si>
    <t>+positive regulation of phagocytosis||negative regulation of cytokine secretion||negative regulation of cytokine secretion||negative regulation of histamine uptake||positive regulation of bipolar cell growth||extracellular matrix\-granule cell signaling i</t>
  </si>
  <si>
    <t>GO:0050766</t>
  </si>
  <si>
    <t>Rab21 3e-072| Rab 5e-053| Rab5_related 1e-052| Ras 2e-051| RAB 3e-049| Rab6 2e-042| Rab8_Rab10_Rab13_like 5e-042| Rab11_like 6e-039| Rab4 3e-038| Rab18 7e-038|</t>
  </si>
  <si>
    <t xml:space="preserve"> Harpegnathos saltator</t>
  </si>
  <si>
    <t>sp|Q7KRI2|LOLAL_DROME</t>
  </si>
  <si>
    <t>Q7KRI2 1 Q9W0K7 BAB1_DROME BAB1 2 Q24206 BRC4_DROME 6 Q01295 BRC1_DROME 3 4 5 Q24174 Q9W0K4 BAB2_DROME BAB2 P17789 P42282 Q9V5M3 LOLA6_DROME Q9V5M6 LOLA5_DROME</t>
  </si>
  <si>
    <t xml:space="preserve">LOLAL_DROME LONGITUDINALS LACKING LIKE DROSOPHILA MELANOGASTER LOLAL PE BRIC A BRAC BROAD COMPLEX CORE ISOFORM BR ISOFORMS ABRU_DROME ABRUPT AB TTKB_DROME TRAMTRACK BETA TTK TTKA_DROME ALPHA N O W X Y LOLA J P Q S Z </t>
  </si>
  <si>
    <t>Contig17830_41</t>
  </si>
  <si>
    <t>1CONTIG17830_41 GENEID_V1 3_PREDICTED_PROTEIN_41 125_AA CONTIG17933_32 3_PREDICTED_PROTEIN_32 573_AA CONTIG17896_133 3_PREDICTED_PROTEIN_133 771_AA CONTIG17934_101 3_PREDICTED_PROTEIN_101 184_AA CONTIG17883_66 3_PREDICTED_PROTEIN_66 298_AA CONTIG7027_4 3_PREDICTED_PROTEIN_4 954_AA CONTIG17961_56 3_PREDICTED_PROTEIN_56 893_AA CONTIG17881_51 3_PREDICTED_PROTEIN_51 261_AA CONTIG7027_7 3_PREDICTED_PROTEIN_7 303_AA CONTIG17950_8 3_PREDICTED_PROTEIN_8 1495_AA</t>
  </si>
  <si>
    <t>lola like - Drosophila melanogaster - regulation of transcription from RNA polymerase II promoter - specific RNA polymerase II transcription factor activity - nucleus - chromatin silencing - protein binding</t>
  </si>
  <si>
    <t>&amp;regulation of transcription from RNA polymerase II promoter||endonucleolytic cleavage between SSU\-rRNA and LSU\-rRNA of tricistronic rRNA transcript (SSU\-rRNA\, LSU\-rRNA\, 5S)||regulation of transcription from RNA polymerase I promoter||regulation of transcription from RNA polymerase I promoter||transcription initiation from RNA polymerase III promoter||exonucleolytic nuclear\-transcribed mRNA catabolic process involved in endonucleolytic cleavage\-dependent decay||regulation of DNA replication initiation||T\-helper 2 cell lineage commitment||establishment of imaginal disc\-derived wing hair orientation||lateral sprouting involved in mammary gland duct morphogenesis||imaginal disc\-derived wing hair outgrowth||embryonic anterior midgut (ectodermal) morphogenesis||regulation of ectodermal cell fate specification||second mitotic wave during compound eye morphogenesis||regulation of salivary gland boundary specification||regulation of salivary gland boundary specification||regulation of mammary gland cord elongation by mammary fat precursor cell\-epithelial cell signaling||medulla oblongata morphogenesis||midbrain\-hindbrain boundary morphogenesis||inferior olivary nucleus structural organization||neuroblast division in the subpallium||neuroblast division in the subpallium||somatic diversification of T cell receptor genes||midbrain\-hindbrain boundary maturation during brain development||medulla oblongata development||interneuron sorting involved in substrate\-independent cerebral cortex tangential migration||cell\-substrate adhesion involved in tangential migration using cell\-cell interactions||cell\-substrate adhesion involved in tangential migration using cell\-cell interactions||regulation of vulval development||fibroblast growth factor receptor signaling pathway involved in mammary gland specification||regulation of transcription from RNA polymerase II promoter involved in lung bud formation||rostrocaudal neural tube patterning||trophectodermal cellular morphogenesis||imaginal disc\-derived wing expansion||cerebellar granular layer maturation||gonadotrophin\-releasing hormone neuronal migration to the hypothalamus||auditory receptor cell fate commitment||erythrocyte maturation||atrial cardiac myofibril development||anterior lateral line nerve glial cell morphogenesis involved in differentiation||mesenchymal to epithelial transition||auditory receptor cell development||auditory receptor cell development||epithelial cell differentiation involved in mammary gland bud morphogenesis||epithelial cell differentiation involved in mammary gland bud morphogenesis||activation of prostate induction by androgen receptor signaling pathway||activation of prostate induction by androgen receptor signaling pathway||epithelial cell proliferation involved in mammary gland bud elongation||neural rod cavitation||mesodermal cell differentiation||mesenchymal\-epithelial cell signaling involved in prostate induction||imaginal disc\-derived wing morphogenesis||R3/R4 development||embryonic gut morphogenesis||epithelial cell proliferation involved in prostatic bud elongation||neural fold hinge point formation||corticospinal neuron axon guidance through the basilar pons||corticospinal neuron axon guidance through the spinal cord||corticospinal neuron axon guidance through the basilar pons||endochondral ossification||regulation of paraxial mesodermal cell fate specification||mesodermal cell migration||positive regulation of symbiont penetration peg initiation||viral genome packaging||cell\-cell adhesion involved in sealing an epithelial fold||positive regulation of symbiont penetration peg initiation||cell\-cell adhesion involved in neural tube closure||dorsal closure\, leading edge cell fate commitment||dorsal closure\, leading edge cell differentiation||dorsal closure\, elongation of leading edge cells||regulation of striated muscle cell differentiation||dorsal closure\, spreading of leading edge cells||regulation of atrichoblast fate specification||regulation of atrichoblast fate specification||cell movement involved in somal translocation||posterior lateral line neuromast deposition||glial cell migration in a lateral line nerve||peripheral nervous system neuron development||aorta smooth muscle tissue morphogenesis||regulation of prostatic bud formation||regulation of prostatic bud formation||mammary duct terminal end bud growth||initiation of neural tube closure||neural fold elevation formation||leading edge cell fate commitment||atrichoblast fate specification||muscle thin filament assembly||myoblast cell fate commitment||paraxial mesoderm morphogenesis||neural crest cell development||neural crest cell migration||mesenchymal cell development||hair follicle morphogenesis||root hair initiation||guard cell development||vegetative meristem growth||guard cell development||R8 cell development||ommatidial rotation||inner ear development||otolith formation||root meristem growth||lung induction||trachea formation||cornification||bract formation||organ maturation||seed maturation||pons formation||enucleation||diapedesis</t>
  </si>
  <si>
    <t>GO:0006357</t>
  </si>
  <si>
    <t>BTB 9e-025| BTB 4e-020|</t>
  </si>
  <si>
    <t>sp|Q53CF6|CX7A1_SAISC</t>
  </si>
  <si>
    <t xml:space="preserve"> Saimiri sciureus</t>
  </si>
  <si>
    <t>Q53CF6 CX7A1_SAISC 7A1 COX7A1 3 1 Q9VHS2 COX7A_DROME 7A CG9603 P07470 CX7A1_BOVIN 2 Q8SPJ9 CX7A1_PIG Q9N234 CX7A1_TRACR P24310 CX7A1_HUMAN O14548 COX7R_HUMAN COX7A2L Q3T061 COX7R_BOVIN P35171 CX7A2_RAT 7A2 COX7A2 P48771 CX7A2_MOUSE</t>
  </si>
  <si>
    <t xml:space="preserve">CYTOCHROME C OXIDASE SUBUNIT MITOCHONDRIAL SAIMIRI SCIUREUS PE PROBABLE DROSOPHILA MELANOGASTER BOS TAURUS SUS SCROFA TRACHYPITHECUS CRISTATUS HOMO SAPIENS RELATED RATTUS NORVEGICUS MUS MUSCULUS </t>
  </si>
  <si>
    <t>Contig3225_5</t>
  </si>
  <si>
    <t xml:space="preserve"> CONTIG3225_5 GENEID_V1 3_PREDICTED_PROTEIN_5 228_AA CONTIG6820_7 3_PREDICTED_PROTEIN_7 101_AA CONTIG17851_7 271_AA CONTIG17950_61 3_PREDICTED_PROTEIN_61 558_AA CONTIG16086_3 3_PREDICTED_PROTEIN_3 300_AA CONTIG18034_54 3_PREDICTED_PROTEIN_54 1773_AA</t>
  </si>
  <si>
    <t>CG18193 - Drosophila melanogaster - mitochondrial electron transport, cytochrome c to oxygen - cytochrome-c oxidase activity - mitochondrial respiratory chain complex IV</t>
  </si>
  <si>
    <t>&lt;mitochondrial respiratory chain complex IV||mitochondrial respiratory chain complex I||Golgi cisterna membrane||Golgi cisterna membrane||clathrin sculpted monoamine transport vesicle lumen||chloroplast membrane||mitochondrial crista||ER proteasome regulatory particle\, base subcomplex||ER proteasome core complex\, beta\-subunit complex||COPI vesicle coat||mitochondrial glutamate synthase complex (NADH)||mitochondrial glutamate synthase complex (NADH)||UDP\-N\-acetylglucosamine transferase complex||Sec complex\-associated translocon complex||intrinsic to endoplasmic reticulum membrane||cytoplasmic part||UDP\-N\-acetylglucosamine transferase complex||Sec complex\-associated translocon complex||intrinsic to endoplasmic reticulum membrane||nuclear lamina||glycine\-gated chloride channel complex||Cdc48p\-Npl4p\-Ufd1p AAA ATPase complex||ionotropic glutamate receptor complex||clathrin coat of synaptic vesicle||intrinsic to plastid outer membrane||integral to plastid outer membrane||intrinsic to peroxisomal membrane||plasmodesmatal plasma membrane||oncostatin\-M receptor complex||integral to thylakoid membrane||succinate dehydrogenase complex||cyanelle thylakoid membrane||mitochondrial membrane part||Mdm10/Mdm12/Mmm1 complex||flagellar pocket membrane||signal peptidase complex||spindle pole centrosome||perichromatin fibrils||proplastid nucleoid||plastid chromosome||plastid chromosome||nucleoplasm part||nuclear membrane||RITS complex||Golgi cisterna||vesicle coat||CBF3 complex||stereocilium||snRNP U6||yolk plasma||C zone||C zone||aster||aster||mononeme||cell part</t>
  </si>
  <si>
    <t>GO:0005751</t>
  </si>
  <si>
    <t>Cyt_c_Oxidase_VIIa 1e-010| COX7a 0.078|</t>
  </si>
  <si>
    <t>Contig6611_1</t>
  </si>
  <si>
    <t xml:space="preserve"> CONTIG6611_1 GENEID_V1 3_PREDICTED_PROTEIN_1 82_AA CONTIG17794_34 3_PREDICTED_PROTEIN_34 CONTIG8007_1</t>
  </si>
  <si>
    <t>Contig8007_1</t>
  </si>
  <si>
    <t>sp|Q9S777|4CL3_ARATH</t>
  </si>
  <si>
    <t>Q9S777 4CL3_ARATH 4 3 4CL3 1 Q54XI9 Y0124_DICDI DDB_G0278909</t>
  </si>
  <si>
    <t xml:space="preserve">COUMARATE COA LIGASE ARABIDOPSIS THALIANA PE PROBABLE INACTIVE SERINE THREONINE KINASE DICTYOSTELIUM DISCOIDEUM </t>
  </si>
  <si>
    <t>Contig17920_34</t>
  </si>
  <si>
    <t xml:space="preserve"> CONTIG17920_34 GENEID_V1 3_PREDICTED_PROTEIN_34 75_AA CONTIG17918_74 3_PREDICTED_PROTEIN_74 850_AA CONTIG17894_34 254_AA CONTIG17651_28 3_PREDICTED_PROTEIN_28 1532_AA CONTIG17928_5 3_PREDICTED_PROTEIN_5 641_AA CONTIG17878_38 3_PREDICTED_PROTEIN_38 294_AA CONTIG7238_1 3_PREDICTED_PROTEIN_1 150_AA CONTIG17970_590 3_PREDICTED_PROTEIN_590 1659_AA CONTIG17619_56 3_PREDICTED_PROTEIN_56 258_AA</t>
  </si>
  <si>
    <t>leucine-rich repeat-containing protein (LRR), armadillo repeat-containing protein, protein kinase, TKL group, tyrosine kinase-like protein, ARMK family protein kinase - Dictyostelium discoideum - molecular_function - biological_process - cellular_component</t>
  </si>
  <si>
    <t>CAP_N 0.024| ND5 0.038| DUF226 0.041|</t>
  </si>
  <si>
    <t>sp|Q0P5J1|FACR2_BOVIN</t>
  </si>
  <si>
    <t>Q0P5J1 FACR2_BOVIN 2 FAR2 1 Q7TNT2 FACR2_MOUSE Q5R834 FACR1_PONAB FAR1 Q922J9 FACR1_MOUSE Q8WVX9 FACR1_HUMAN Q5ZM72 FACR1_CHICK</t>
  </si>
  <si>
    <t xml:space="preserve">FATTY ACYL COA REDUCTASE BOS TAURUS PE MUS MUSCULUS PONGO ABELII HOMO SAPIENS GALLUS </t>
  </si>
  <si>
    <t>Contig17683_5</t>
  </si>
  <si>
    <t xml:space="preserve"> CONTIG17683_5 GENEID_V1 3_PREDICTED_PROTEIN_5 285_AA</t>
  </si>
  <si>
    <t>Contig8990_1</t>
  </si>
  <si>
    <t>fatty acyl CoA reductase 2 - Rattus norvegicus - peroxisome - long-chain-fatty-acyl-CoA reductase activity</t>
  </si>
  <si>
    <t>long\-chain\-fatty\-acyl\-CoA reductase activity||oxidoreductase activity\, acting on the aldehyde or oxo group of donors\, NAD or NADP as acceptor||oxidoreductase activity\, acting on the aldehyde or oxo group of donors||oxidoreductase activity||catalytic activity</t>
  </si>
  <si>
    <t>GO:0050062</t>
  </si>
  <si>
    <t>peroxisome||microbody||nuclear cyclin\-dependent protein kinase holoenzyme complex||cyclin\-dependent protein kinase holoenzyme complex||outer membrane\-bounded periplasmic space||external encapsulating structure part||cell part</t>
  </si>
  <si>
    <t>GO:0005777</t>
  </si>
  <si>
    <t>wax biosynthetic process||fatty acid biosynthetic process||fatty acid metabolic process||monocarboxylic acid metabolic process||carboxylic acid metabolic process||oxoacid metabolic process||cellular ketone metabolic process||cellular metabolic process||metabolic process</t>
  </si>
  <si>
    <t>GO:0010025</t>
  </si>
  <si>
    <t>ND5 0.006| COX3 0.036|</t>
  </si>
  <si>
    <t>sp|P13418|POLS_CRPV</t>
  </si>
  <si>
    <t xml:space="preserve"> Cricket paralysis virus</t>
  </si>
  <si>
    <t>P13418 1 2 P10242 P46200 Q9Y238 DLEC1_HUMAN DLEC1 Q66578 POLG_EC22H 22 A8GM80 3 Q9DWR1 21 4 Q02381 GA76 Q9YID8 POLG_EC23C 23 CT86 6760 A8EXI4</t>
  </si>
  <si>
    <t xml:space="preserve">POLS_CRPV STRUCTURAL POLYPROTEIN CRICKET PARALYSIS VIRUS PE MYB_HUMAN TRANSCRIPTIONAL ACTIVATOR MYB HOMO SAPIENS MYB_BOVIN BOS TAURUS DELETED IN LUNG ESOPHAGEAL CANCER GENOME ECHOVIRUS STRAIN HARRIS ERA_RICAH GTP BINDING ERA HOMOLOG RICKETTSIA AKARI HARTFORD POLG_HAVNO HUMAN HEPATITIS A GENOTYPE IIIA ISOLATE NOR POLG_HAVGA FRAGMENT ERA_RICCK CANADENSIS MCKIEL </t>
  </si>
  <si>
    <t>Contig16257_4</t>
  </si>
  <si>
    <t xml:space="preserve"> CONTIG16257_4 GENEID_V1 3_PREDICTED_PROTEIN_4 313_AA CONTIG14686_2 3_PREDICTED_PROTEIN_2 145_AA CONTIG17905_44 3_PREDICTED_PROTEIN_44 67_AA CONTIG17906_82 3_PREDICTED_PROTEIN_82 442_AA CONTIG17946_155 3_PREDICTED_PROTEIN_155 280_AA</t>
  </si>
  <si>
    <t>Contig17854_88</t>
  </si>
  <si>
    <t>CG16833 - Drosophila melanogaster - tubulin-tyrosine ligase activity</t>
  </si>
  <si>
    <t>tubulin\-tyrosine ligase activity||acid\-amino acid ligase activity||ligase activity\, forming carbon\-nitrogen bonds||ligase activity||catalytic activity</t>
  </si>
  <si>
    <t>GO:0004835</t>
  </si>
  <si>
    <t>rhv_like 3e-014| Rhv 6e-005| Nab6_mRNP_bdg 0.075|</t>
  </si>
  <si>
    <t>sp|Q4FM35|LIPA_PELUB</t>
  </si>
  <si>
    <t xml:space="preserve"> Pelagibacter ubique</t>
  </si>
  <si>
    <t>Q4FM35 3 1</t>
  </si>
  <si>
    <t xml:space="preserve">LIPA_PELUB LIPOYL SYNTHASE PELAGIBACTER UBIQUE LIPA PE </t>
  </si>
  <si>
    <t>Contig6561_2</t>
  </si>
  <si>
    <t>conserved hypothetical protein - Shewanella oneidensis MR-1 - biological_process - molecular_function - cellular_component</t>
  </si>
  <si>
    <t>TatC 0.013|</t>
  </si>
  <si>
    <t xml:space="preserve"> Streptococcus mutans NN2025</t>
  </si>
  <si>
    <t>Contig4455_5</t>
  </si>
  <si>
    <t xml:space="preserve"> CONTIG4455_5 GENEID_V1 3_PREDICTED_PROTEIN_5 150_AA CONTIG833_1 3_PREDICTED_PROTEIN_1 3463_AA CONTIG16645_2 3_PREDICTED_PROTEIN_2 161_AA CONTIG17942_3 3_PREDICTED_PROTEIN_3 365_AA</t>
  </si>
  <si>
    <t>Contig6940_1</t>
  </si>
  <si>
    <t>CG5366 - Drosophila melanogaster - transcription factor binding</t>
  </si>
  <si>
    <t>microtubule motor activity||motor activity||nucleoside\-triphosphatase activity||pyrophosphatase activity||hydrolase activity\, acting on acid anhydrides\, in phosphorus\-containing anhydrides||hydrolase activity\, acting on acid anhydrides||hydrolase activity||catalytic activity</t>
  </si>
  <si>
    <t>GO:0003777</t>
  </si>
  <si>
    <t>chromosome\, centromeric region||autosome||chromosome||intracellular non\-membrane\-bounded organelle||intracellular organelle||outer membrane\-bounded periplasmic space||external encapsulating structure part||cell part</t>
  </si>
  <si>
    <t>GO:0000775</t>
  </si>
  <si>
    <t>&lt;mitotic metaphase plate congression||mitotic metaphase plate congression||regulation of ecdysteroid secretion||regulation of chromosome segregation||regulation of T cell chemotaxis||regulation of dephosphorylation||regulation of DNA methylation||regulation of mRNA cleavage||DNA replication termination||regulation of DNA ligation||cyclooxygenase pathway||cyclooxygenase pathway||lipoxygenase pathway||lipoxygenase pathway||equator specification||cell fate specification||stem cell development||Nebenkern formation||cell fate commitment||neuron maturation||neuron maturation||cell wall assembly||male meiosis I||pollen adhesion||oocyte growth</t>
  </si>
  <si>
    <t>GO:0007080</t>
  </si>
  <si>
    <t>sp|Q9ZDE9|Y382_RICPR</t>
  </si>
  <si>
    <t xml:space="preserve"> Rickettsia prowazekii</t>
  </si>
  <si>
    <t>Q9ZDE9 Y382_RICPR RP382 4 1</t>
  </si>
  <si>
    <t xml:space="preserve">UNCHARACTERIZED RICKETTSIA PROWAZEKII PE </t>
  </si>
  <si>
    <t>Contig18061_85</t>
  </si>
  <si>
    <t xml:space="preserve"> CONTIG18061_85 GENEID_V1 3_PREDICTED_PROTEIN_85 63_AA CONTIG18032_73 3_PREDICTED_PROTEIN_73 2545_AA CONTIG17943_124 3_PREDICTED_PROTEIN_124 454_AA CONTIG17909_25 3_PREDICTED_PROTEIN_25 845_AA CONTIG15926_2 3_PREDICTED_PROTEIN_2 1400_AA</t>
  </si>
  <si>
    <t>Contig17942_189</t>
  </si>
  <si>
    <t>olfactory receptor 1163 - Rattus norvegicus - olfactory receptor activity - G-protein coupled receptor protein signaling pathway - integral to membrane - detection of chemical stimulus involved in sensory perception of smell</t>
  </si>
  <si>
    <t>ND5 1e-004| Ufd2P_core 0.024| HRD1 0.060| Ion_trans 0.100|</t>
  </si>
  <si>
    <t>Contig17832_69</t>
  </si>
  <si>
    <t>COBW domain-containing protein, cobalamin (vitamin B12) biosynthesis family protein, cobalamin synthesis protein/P47K family protein - Dictyostelium discoideum - cellular_component - biological_process - molecular_function</t>
  </si>
  <si>
    <t>sp|Q5RKI7|S7A13_RAT</t>
  </si>
  <si>
    <t>Q5RKI7 S7A13_RAT 7 13 SLC7A13 2 1 Q91WN3 S7A13_MOUSE P82251 BAT1_HUMAN 0 SLC7A9 P82252 BAT1_RAT Q9QXA6 BAT1_MOUSE Q8TCU3 S7A13_HUMAN Q9N1R6 BAT1_RABIT</t>
  </si>
  <si>
    <t xml:space="preserve">SOLUTE CARRIER FAMILY MEMBER RATTUS NORVEGICUS PE MUS MUSCULUS B TYPE AMINO ACID TRANSPORTER HOMO SAPIENS ORYCTOLAGUS CUNICULUS </t>
  </si>
  <si>
    <t>Contig17851_6</t>
  </si>
  <si>
    <t xml:space="preserve"> CONTIG17851_6 GENEID_V1 3_PREDICTED_PROTEIN_6 424_AA CONTIG17725_21 3_PREDICTED_PROTEIN_21 203_AA CONTIG18055_275 0 1 3 422998 CONTIG17800_14 3_PREDICTED_PROTEIN_14 324_AA CONTIG18059_150 3_PREDICTED_PROTEIN_150 148_AA</t>
  </si>
  <si>
    <t xml:space="preserve">B TYPE AMINO ACID TRANSPORTER MEMBRANE HELICES TR SWISSP </t>
  </si>
  <si>
    <t>CG9413 - Drosophila melanogaster - amino acid transmembrane transporter activity - amino acid transport</t>
  </si>
  <si>
    <t>amino acid transmembrane transporter activity||carboxylic acid transmembrane transporter activity||organic acid transmembrane transporter activity||substrate\-specific transmembrane transporter activity||substrate\-specific transporter activity||transporter activity</t>
  </si>
  <si>
    <t>GO:0015171</t>
  </si>
  <si>
    <t>PotC 0.034|</t>
  </si>
  <si>
    <t>sp|P17336|CATA_DROME</t>
  </si>
  <si>
    <t>P17336 1 2 P90682 P04040 3 Q5RF10 Q2I6W4 P00432 Q27487 CATA1_CAEEL O97492 O62839 4 P24270</t>
  </si>
  <si>
    <t xml:space="preserve">CATA_DROME CATALASE DROSOPHILA MELANOGASTER CAT PE CATA_ASCSU ASCARIS SUUM CATA_HUMAN HOMO SAPIENS CATA_PONAB PONGO ABELII CATA_CALJA CALLITHRIX JACCHUS CATA_BOVIN BOS TAURUS PEROXISOMAL CAENORHABDITIS ELEGANS CTL CATA_CANFA CANIS FAMILIARIS CATA_PIG SUS SCROFA CATA_MOUSE MUS MUSCULUS </t>
  </si>
  <si>
    <t>Contig17575_33</t>
  </si>
  <si>
    <t xml:space="preserve"> CONTIG17575_33 GENEID_V1 3_PREDICTED_PROTEIN_33 440_AA CONTIG4862_3 3_PREDICTED_PROTEIN_3 441_AA CONTIG17972_96 3_PREDICTED_PROTEIN_96 501_AA CONTIG17972_95 3_PREDICTED_PROTEIN_95 158_AA CONTIG17972_103 3_PREDICTED_PROTEIN_103 431_AA CONTIG11091_1 3_PREDICTED_PROTEIN_1 60_AA CONTIG17972_93 3_PREDICTED_PROTEIN_93 338_AA CONTIG17635_38 3_PREDICTED_PROTEIN_38 1007_AA CONTIG17971_310 3_PREDICTED_PROTEIN_310 1184_AA CONTIG17909_46 3_PREDICTED_PROTEIN_46 2267_AA</t>
  </si>
  <si>
    <t>Catalase - Drosophila melanogaster - catalase activity - response to hydrogen peroxide - calcium-dependent cell-cell adhesion - response to oxidative stress - heme binding - peroxisome - plasma membrane - determination of adult life span - antioxidant activity - aging</t>
  </si>
  <si>
    <t>catalase activity||peroxidase activity||oxidoreductase activity\, acting on peroxide as acceptor||oxidoreductase activity||catalytic activity</t>
  </si>
  <si>
    <t>GO:0004096</t>
  </si>
  <si>
    <t>response to hydrogen peroxide||response to reactive oxygen species||response to oxidative stress||response to chemical stimulus||response to stimulus</t>
  </si>
  <si>
    <t>GO:0042542</t>
  </si>
  <si>
    <t>catalase e-100| Catalase 1e-093| KatE 9e-090| katE 4e-064| COG2932 0.005|</t>
  </si>
  <si>
    <t>Candida albicans - response to drug</t>
  </si>
  <si>
    <t>Q83034 1 Q91PP5 VT6 Q8B8X3 POL1_TBRVM RNA1 3 P13025 POL1_GCMV Q6NXA8 CE024_DANRE UPF0461 C5ORF24 77058 2 Q6C414 SEC31_YARLI SEC31 Q2JV13 3AB A6NHR9 SMHD1_HUMAN SMCHD1 Q3UVC0 KSR2_MOUSE KSR2 P12755</t>
  </si>
  <si>
    <t xml:space="preserve">POLG_RTSVA GENOME POLYPROTEIN RICE TUNGRO SPHERICAL VIRUS STRAIN A PE POLG_RTSVT TOMATO BLACK RING MJ GRAPEVINE CHROME MOSAIC HOMOLOG DANIO RERIO ZGC TRANSPORT YARROWIA LIPOLYTICA SYL_SYNJA LEUCYL TRNA SYNTHETASE SYNECHOCOCCUS JA LEUS STRUCTURAL MAINTENANCE CHROMOSOMES FLEXIBLE HINGE DOMAIN CONTAINING HOMO SAPIENS KINASE SUPPRESSOR RAS MUS MUSCULUS SKI_HUMAN SKI ONCOGENE </t>
  </si>
  <si>
    <t>Contig17931_67</t>
  </si>
  <si>
    <t xml:space="preserve"> CONTIG17931_67 GENEID_V1 3_PREDICTED_PROTEIN_67 405_AA CONTIG17963_16 3_PREDICTED_PROTEIN_16 748_AA CONTIG17851_105 3_PREDICTED_PROTEIN_105 472_AA CONTIG17894_33 3_PREDICTED_PROTEIN_33 860_AA CONTIG17945_20 3_PREDICTED_PROTEIN_20 365_AA CONTIG17827_64 3_PREDICTED_PROTEIN_64 376_AA CONTIG17970_558 3_PREDICTED_PROTEIN_558 946_AA CONTIG17889_34 3_PREDICTED_PROTEIN_34 327_AA CONTIG2020_6 3_PREDICTED_PROTEIN_6 526_AA CONTIG18035_19 3_PREDICTED_PROTEIN_19 541_AA</t>
  </si>
  <si>
    <t>Contig16442_1</t>
  </si>
  <si>
    <t>Dorsocross1 - Drosophila melanogaster - regulation of transcription, DNA-dependent - transcription factor activity - nucleus - heart development - embryonic development via the syncytial blastoderm - cardiac cell differentiation</t>
  </si>
  <si>
    <t>Peptidase_C3 0.011|</t>
  </si>
  <si>
    <t xml:space="preserve"> Arabidopsis lyrata subsp. lyrata</t>
  </si>
  <si>
    <t>sp|Q08844|YO365_YEAST</t>
  </si>
  <si>
    <t>Q08844 YO365_YEAST YOR365C 1</t>
  </si>
  <si>
    <t xml:space="preserve">UNCHARACTERIZED MEMBRANE SACCHAROMYCES CEREVISIAE PE </t>
  </si>
  <si>
    <t>Contig17956_263</t>
  </si>
  <si>
    <t>Serpentine_recp 0.039| ubiA 0.072|</t>
  </si>
  <si>
    <t>sp|Q9VMU4|RL37A_DROME</t>
  </si>
  <si>
    <t>Q9VMU4 RL37A_DROME 60S L37A RPL37A 1 3 O61462 RL37A_CRYST P61515 RL37A_RAT 2 Q5RBF9 RL37A_PONAB P61514 RL37A_MOUSE P61513 RL37A_HUMAN P32046 RL37A_CHICK Q3MIC0 RL37A_BOVIN Q90YT0 RL37A_ICTPU O61598 RL37A_OSTOS 37A</t>
  </si>
  <si>
    <t xml:space="preserve">RIBOSOMAL DROSOPHILA MELANOGASTER PE CRYPTOCHITON STELLERI RATTUS NORVEGICUS PONGO ABELII MUS MUSCULUS HOMO SAPIENS GALLUS BOS TAURUS ICTALURUS PUNCTATUS OSTERTAGIA OSTERTAGI RPL </t>
  </si>
  <si>
    <t>Contig17488_2</t>
  </si>
  <si>
    <t xml:space="preserve"> CONTIG17488_2 GENEID_V1 3_PREDICTED_PROTEIN_2 69_AA CONTIG17853_54 3_PREDICTED_PROTEIN_54 1778_AA CONTIG16691_2 240_AA CONTIG3086_4 3_PREDICTED_PROTEIN_4 243_AA CONTIG17955_247 3_PREDICTED_PROTEIN_247 1263_AA CONTIG17857_67 3_PREDICTED_PROTEIN_67 398_AA CONTIG16473_1 3_PREDICTED_PROTEIN_1 780_AA CONTIG18038_47 3_PREDICTED_PROTEIN_47 939_AA CONTIG8804_9 3_PREDICTED_PROTEIN_9 1544_AA CONTIG17511_10 3_PREDICTED_PROTEIN_10 612_AA</t>
  </si>
  <si>
    <t>Ribosomal protein L37A - Drosophila melanogaster - translation - structural constituent of ribosome - cytosolic large ribosomal subunit - mitotic spindle elongation - mitotic spindle organization</t>
  </si>
  <si>
    <t>Ribosomal_L37ae 1e-039| RPL43A 4e-028| rpl37ae 7e-023|</t>
  </si>
  <si>
    <t xml:space="preserve"> Bombyx mori densovirus Zhenjiang</t>
  </si>
  <si>
    <t>sp|P15423|SPIKE_CVH22</t>
  </si>
  <si>
    <t xml:space="preserve"> Human coronavirus 229E</t>
  </si>
  <si>
    <t>P15423 SPIKE_CVH22 229E 1 P17142 IR03_HCMVA IRL3 AD169 4 P44516 3 2 Q4QP81 HTPG_HAEI8 86 028NP Q55D99 A5UB42</t>
  </si>
  <si>
    <t xml:space="preserve">SPIKE GLYCOPROTEIN HUMAN CORONAVIRUS S PE UNCHARACTERIZED CYTOMEGALOVIRUS STRAIN HTPG_HAEIN CHAPERONE HTPG HAEMOPHILUS INFLUENZAE PAKA_DICDI SERINE THREONINE KINASE PAKA DICTYOSTELIUM DISCOIDEUM HTPG_HAEIE PITTEE </t>
  </si>
  <si>
    <t>Contig17945_36</t>
  </si>
  <si>
    <t xml:space="preserve"> CONTIG17945_36 GENEID_V1 3_PREDICTED_PROTEIN_36 202_AA CONTIG17213_1 3_PREDICTED_PROTEIN_1 244_AA CONTIG17945_46 3_PREDICTED_PROTEIN_46 308_AA CONTIG17945_41 3_PREDICTED_PROTEIN_41 1544_AA CONTIG17982_32 3_PREDICTED_PROTEIN_32 164_AA CONTIG17982_35 3_PREDICTED_PROTEIN_35 173_AA CONTIG17982_30 3_PREDICTED_PROTEIN_30 254_AA CONTIG17982_34 3_PREDICTED_PROTEIN_34 148_AA CONTIG18028_31 3_PREDICTED_PROTEIN_31 172_AA CONTIG17971_406 3_PREDICTED_PROTEIN_406 908_AA</t>
  </si>
  <si>
    <t>Contig17945_46</t>
  </si>
  <si>
    <t>Caenorhabditis elegans - positive regulation of growth rate</t>
  </si>
  <si>
    <t>Ras GTPase activator activity||small GTPase regulator activity||GTPase regulator activity||nucleoside\-triphosphatase regulator activity||enzyme regulator activity</t>
  </si>
  <si>
    <t>GO:0005099</t>
  </si>
  <si>
    <t>negative regulation of cAMP biosynthetic process||dUMP catabolic process||pyrimidine deoxyribonucleoside monophosphate catabolic process||pyrimidine deoxyribonucleoside monophosphate metabolic process||deoxyribonucleoside monophosphate metabolic process||nucleoside monophosphate metabolic process||nucleotide metabolic process||nucleoside phosphate metabolic process||nucleobase\, nucleoside and nucleotide metabolic process||nucleobase\, nucleoside\, nucleotide and nucleic acid metabolic process||nitrogen compound metabolic process||metabolic process</t>
  </si>
  <si>
    <t>GO:0030818</t>
  </si>
  <si>
    <t>CYTB 0.030|</t>
  </si>
  <si>
    <t>sp|O26640|RAD50_METTH</t>
  </si>
  <si>
    <t xml:space="preserve"> Methanobacterium thermoautotrophicum</t>
  </si>
  <si>
    <t>O26640 RAD50_METTH RAD50 3 1 Q54NC8 INT1_DICDI INTS1 Q59PZ7 CPD1_CANAL 2 CPD1 Q86IG9 Q55DW9 Q8NXJ1 MW2 Q6GB45 MSSA476 Q54VV5 APC5_DICDI 5 ANAPC5 P30884 BMP2B_XENLA BMP2 Q54I83 Y9392_DICDI DDB_G0288959 4</t>
  </si>
  <si>
    <t xml:space="preserve">DNA DOUBLE STRAND BREAK REPAIR ATPASE METHANOBACTERIUM THERMOAUTOTROPHICUM PE INTEGRATOR COMPLEX SUBUNIT HOMOLOG DICTYOSTELIUM DISCOIDEUM CYCLIC NUCLEOTIDE PHOSPHODIESTERASE CANDIDA ALBICANS GACH_DICDI RHO GTPASE ACTIVATING GACH GACZ_DICDI GACZ CLFA_STAAW CLUMPING FACTOR A STAPHYLOCOCCUS AUREUS STRAIN CLFA CLFA_STAAS ANAPHASE PROMOTING BONE MORPHOGENETIC B XENOPUS LAEVIS UNCHARACTERIZED </t>
  </si>
  <si>
    <t>Contig17543_20</t>
  </si>
  <si>
    <t xml:space="preserve"> CONTIG17543_20 GENEID_V1 3_PREDICTED_PROTEIN_20 294_AA CONTIG17907_102 3_PREDICTED_PROTEIN_102 306_AA CONTIG17708_51 3_PREDICTED_PROTEIN_51 578_AA CONTIG17268_23 3_PREDICTED_PROTEIN_23 351_AA CONTIG17817_36 3_PREDICTED_PROTEIN_36 2429_AA CONTIG17967_276 3_PREDICTED_PROTEIN_276 1361_AA CONTIG17823_38 3_PREDICTED_PROTEIN_38 1829_AA CONTIG17916_114 3_PREDICTED_PROTEIN_114 748_AA CONTIG6820_1 3_PREDICTED_PROTEIN_1 3000_AA CONTIG20060_1 94_AA</t>
  </si>
  <si>
    <t>tRNA/rRNA methyltransferase SpoU family protein - Dictyostelium discoideum - cellular_component - RNA methyltransferase activity - RNA binding - RNA processing</t>
  </si>
  <si>
    <t>RNA methyltransferase activity||methyltransferase activity||transferase activity\, transferring one\-carbon groups||transferase activity||catalytic activity</t>
  </si>
  <si>
    <t>GO:0008173</t>
  </si>
  <si>
    <t>&lt;RNA processing||regulation of eIF2 alpha phosphorylation by amino acid starvation||isopeptide cross\-linking via N6\-glycyl\-L\-lysine||cyclization of glutamine\, during protein splicing||regulation of peptidyl\-serine phosphorylation of STAT protein||regulation of pathway\-restricted SMAD protein phosphorylation||regulation of ascospore wall beta\-glucan biosynthetic process||regulation of pathway\-restricted SMAD protein phosphorylation||maintenance of fidelity during DNA\-dependent DNA replication||gene conversion at mating\-type locus\, DNA repair synthesis||meiotic strand invasion involved in meiotic gene conversion||positive regulation of mitochondrial RNA catabolic process||tRNA aminoacylation for mitochondrial protein translation||regulation of phosphatidylinositol biosynthetic process||regulation of phosphatidylinositol biosynthetic process||regulation of antimicrobial peptide biosynthetic process||positive regulation of macromolecule biosynthetic process||positive regulation of vitamin D biosynthetic process||regulation of eIF2 alpha phosphorylation by heme||regulation of chromatin silencing by small RNA||regulation of chromatin silencing by small RNA||regulation of glucosinolate biosynthetic process||regulation of salicylic acid biosynthetic process||regulation of polysaccharide biosynthetic process||substrate\-bound cell migration\, cell extension||regulation of intracellular protein transport||regulation of intracellular protein transport||regulation of smooth muscle cell migration||outward migration of deep nuclear neurons||inward migration of deep nuclear neurons||regulation of phagocytosis\, engulfment||negative regulation of leucine import||regulation of acetylcholine secretion||regulation of catecholamine secretion||regulation of gastric acid secretion||regulation of L\-arginine import||regulation of adenosine transport||neurotransmitter secretory pathway||regulation of cortisol secretion||regulation of activin secretion||regulation of protein secretion||protein secretion by platelet||regulation of lymphocyte anergy||leukocyte tethering or rolling||myeloid cell differentiation||detection of dietary excess||diet induced thermogenesis||response to dietary excess||synaptic vesicle budding||regulation of excretion||uterine wall growth||seed coat development||style development||style development||nectary development||head segmentation||lung development||eclosion rhythm||eclosion rhythm||enucleation||tube fusion||seed growth||innervation</t>
  </si>
  <si>
    <t>GO:0006396</t>
  </si>
  <si>
    <t>sp|P01042|KNG1_HUMAN</t>
  </si>
  <si>
    <t>P01042 KNG1_HUMAN 1 KNG1 2 O08677 KNG1_MOUSE P22085 P08934 KNG1_RAT P08932 KNT2_RAT P35481 P01048 KNT1_RAT MAP1 O35817 AKA14_RAT 14 AKAP14 Q15828 CST6 P31726 CYT1_MAIZE RAMDAZC7</t>
  </si>
  <si>
    <t xml:space="preserve">KININOGEN HOMO SAPIENS PE MUS MUSCULUS CYTX_ONCVO ONCHOCYSTATIN ONCHOCERCA VOLVULUS RATTUS NORVEGICUS T CYT_CYPCA CYSTATIN CYPRINUS CARPIO A KINASE ANCHOR CYTM_HUMAN M ZEA MAYS </t>
  </si>
  <si>
    <t>Contig18034_95</t>
  </si>
  <si>
    <t xml:space="preserve"> CONTIG18034_95 GENEID_V1 3_PREDICTED_PROTEIN_95 471_AA CONTIG9598_1 3_PREDICTED_PROTEIN_1 61_AA</t>
  </si>
  <si>
    <t>kininogen 1 - Rattus norvegicus - positive regulation of endothelial cell proliferation - protease binding - cysteine-type endopeptidase inhibitor activity - receptor binding - extracellular space - microsome - negative regulation of cell adhesion - elevation of cytosolic calcium ion concentration - negative regulation of blood coagulation - negative regulation of T cell proliferation - perikaryon - negative regulation of MAP kinase activity - positive regulation of MAPKKK cascade - negative regulation of proteolysis - positive regulation of fibroblast proliferation - negative regulation of lymphocyte proliferation - regulation of endopeptidase activity</t>
  </si>
  <si>
    <t>protease binding||enzyme binding||protein binding||binding</t>
  </si>
  <si>
    <t>GO:0002020</t>
  </si>
  <si>
    <t>+positive regulation of endothelial cell proliferation||negative regulation of axon extension involved in regeneration||negative regulation of blood vessel endothelial cell migration||positive regulation of thymocyte apoptosis||positive regulation of mito</t>
  </si>
  <si>
    <t>GO:0001938</t>
  </si>
  <si>
    <t>CY 9e-009| Cystatin 5e-008| CY 7e-008| TatC 4e-007| Peptidase_M50 4e-005| 7TMR-DISM_7TM 6e-005| PIG-U 5e-004| ComEC 0.010| DUF1404 0.016| NolL 0.039|</t>
  </si>
  <si>
    <t>sp|P58145|ROAA_ASTLO</t>
  </si>
  <si>
    <t xml:space="preserve"> Astasia longa</t>
  </si>
  <si>
    <t>P58145 3 1</t>
  </si>
  <si>
    <t xml:space="preserve">ROAA_ASTLO RIBOSOMAL OPERON ASSOCIATED A ASTASIA LONGA ROAA PE </t>
  </si>
  <si>
    <t>Contig17134_18</t>
  </si>
  <si>
    <t xml:space="preserve"> CONTIG17134_18 GENEID_V1 3_PREDICTED_PROTEIN_18 546_AA</t>
  </si>
  <si>
    <t>Contig17945_72</t>
  </si>
  <si>
    <t>sp|Q9LUW0|LOX5_ARATH</t>
  </si>
  <si>
    <t>Q9LUW0 LOX5_ARATH 5 LOX5 1 2 Q58984 Y1589_METJA MJ1589 4</t>
  </si>
  <si>
    <t xml:space="preserve">LIPOXYGENASE CHLOROPLASTIC ARABIDOPSIS THALIANA PE UNCHARACTERIZED METHANOCALDOCOCCUS JANNASCHII </t>
  </si>
  <si>
    <t>Contig18031_39</t>
  </si>
  <si>
    <t xml:space="preserve"> CONTIG18031_39 GENEID_V1 3_PREDICTED_PROTEIN_39 213_AA CONTIG17914_46 3_PREDICTED_PROTEIN_46 277_AA CONTIG17942_4 3_PREDICTED_PROTEIN_4 1433_AA CONTIG17446_27 3_PREDICTED_PROTEIN_27 878_AA</t>
  </si>
  <si>
    <t>glycosyl transferase, group 2 family protein/polysaccharide deacetylase family protein - Bacillus anthracis str. Ames - polysaccharide biosynthetic process - transferase activity, transferring glycosyl groups - deacetylase activity</t>
  </si>
  <si>
    <t>transferase activity\, transferring glycosyl groups||transferase activity||catalytic activity</t>
  </si>
  <si>
    <t>GO:0016757</t>
  </si>
  <si>
    <t>polysaccharide biosynthetic process||biopolymer biosynthetic process||macromolecule biosynthetic process||macromolecule metabolic process||metabolic process</t>
  </si>
  <si>
    <t>GO:0000271</t>
  </si>
  <si>
    <t>TT_ORF1 0.006| Oxidored_q1 0.069| YMF19 0.077| BSP_II 0.090|</t>
  </si>
  <si>
    <t>Contig5396_2</t>
  </si>
  <si>
    <t xml:space="preserve"> CONTIG5396_2 GENEID_V1 3_PREDICTED_PROTEIN_2 237_AA CONTIG16135_3 3_PREDICTED_PROTEIN_3 401_AA</t>
  </si>
  <si>
    <t>Contig17773_33</t>
  </si>
  <si>
    <t>Contig8335_10</t>
  </si>
  <si>
    <t xml:space="preserve"> CONTIG8335_10 GENEID_V1 3_PREDICTED_PROTEIN_10 614_AA CONTIG18064_27 3_PREDICTED_PROTEIN_27 805_AA</t>
  </si>
  <si>
    <t>Contig17821_131</t>
  </si>
  <si>
    <t>hypothetical protein - Colwellia psychrerythraea 34H - molecular_function - cellular_component - biological_process</t>
  </si>
  <si>
    <t>ND5 2e-008| ND2 3e-005| ATP6 2e-004| ND5 3e-004| ND6 8e-004| PRK09609 0.001| PRANC 0.001| ND4 0.002| 7TM_GPCR_Srz 0.004| STT3 0.008|</t>
  </si>
  <si>
    <t>Q05744 1 D4DEN7 0517 PEP2 3 O42630 2 D4B385 112371 P07267 PEP4 C5FS55 113480 Q01294 4 Q03168 AAEL006169 O93428 P10977 APR1</t>
  </si>
  <si>
    <t xml:space="preserve">CATD_CHICK CATHEPSIN D GALLUS CTSD PE CARP_TRIVH PROBABLE VACUOLAR PROTEASE A TRICHOPHYTON VERRUCOSUM STRAIN HKI CARP_ASPFU ASPERGILLUS FUMIGATUS CARP_ARTBC ARTHRODERMA BENHAMIAE CBS CARP_YEAST SACCHAROPEPSIN SACCHAROMYCES CEREVISIAE CARP_NANOT NANNIZZIA OTAE CARP_NEUCR NEUROSPORA CRASSA PEP ASPP_AEDAE LYSOSOMAL ASPARTIC AEDES AEGYPTI CATD_CHIHA CHIONODRACO HAMATUS CARPV_CANAL CANDIDA ALBICANS </t>
  </si>
  <si>
    <t xml:space="preserve"> CONTIG17955_3 GENEID_V1 3_PREDICTED_PROTEIN_3 372_AA CONTIG808_2 3_PREDICTED_PROTEIN_2 629_AA CONTIG808_3 384_AA CONTIG17697_6 3_PREDICTED_PROTEIN_6 399_AA CONTIG808_4 3_PREDICTED_PROTEIN_4 389_AA CONTIG17955_2 375_AA CONTIG17572_34 3_PREDICTED_PROTEIN_34 514_AA CONTIG16543_1 3_PREDICTED_PROTEIN_1 147_AA CONTIG16285_5 3_PREDICTED_PROTEIN_5 400_AA CONTIG5279_3 152_AA</t>
  </si>
  <si>
    <t>CG17134 - Drosophila melanogaster - aspartic-type endopeptidase activity</t>
  </si>
  <si>
    <t>Proteinase_A_fungi 5e-056| Asp 2e-053| pepsin_A 5e-053| phytepsin 5e-052| Cathepsin_D_like 3e-048| Cathepsin_D2 1e-047| pepsin_like 2e-046| Cathespin_E 5e-044| renin_like 1e-042| gastricsin 5e-041|</t>
  </si>
  <si>
    <t>sp|Q52KN7|CPE1B_XENLA</t>
  </si>
  <si>
    <t>Q52KN7 CPE1B_XENLA 1 CPEB1 2 Q91572 CPE1A_XENLA P0C279 CPEB1_RAT P70166 CPEB1_MOUSE Q9BZB8 CPEB1_HUMAN Q5R733 CPEB1_PONAB Q9DED5 CPEB1_CARAU Q9YGX5 CPEB1_DANRE Q6E3D2 CPB3_CAEJA 3 O01835 CPB3_CAEEL</t>
  </si>
  <si>
    <t xml:space="preserve">CYTOPLASMIC POLYADENYLATION ELEMENT BINDING B XENOPUS LAEVIS PE A RATTUS NORVEGICUS MUS MUSCULUS HOMO SAPIENS PONGO ABELII CARASSIUS AURATUS DANIO RERIO CAENORHABDITIS JAPONICA CPB ELEGANS </t>
  </si>
  <si>
    <t>Contig8391_3</t>
  </si>
  <si>
    <t xml:space="preserve"> CONTIG8391_3 GENEID_V1 3_PREDICTED_PROTEIN_3 580_AA CONTIG17479_18 3_PREDICTED_PROTEIN_18 252_AA CONTIG7959_2 3_PREDICTED_PROTEIN_2 326_AA CONTIG17782_80 3_PREDICTED_PROTEIN_80 811_AA CONTIG17211_3 969_AA</t>
  </si>
  <si>
    <t>oo18 RNA-binding protein - Drosophila melanogaster - oocyte anterior/posterior axis specification - oocyte dorsal/ventral axis specification - pole plasm oskar mRNA localization - pole plasm assembly - intracellular mRNA localization - positive regulation of translation - mRNA polyadenylation - uridine-rich cytoplasmic polyadenylylation element binding - cytoplasm - mRNA binding - oogenesis - regulation of oskar mRNA translation - germ-line cyst formation - germarium-derived oocyte fate determination - embryonic axis specification - oocyte axis specification - germ cell development - protein binding - positive regulation of oskar mRNA translation</t>
  </si>
  <si>
    <t>uridine\-rich cytoplasmic polyadenylylation element binding||poly\-pyrimidine tract binding||single\-stranded RNA binding||RNA binding||nucleic acid binding||binding</t>
  </si>
  <si>
    <t>GO:0017131</t>
  </si>
  <si>
    <t>oocyte anterior/posterior axis specification||positive regulation of cumulus cell differentiation||positive regulation of cumulus cell differentiation||positive regulation of cumulus cell differentiation||positive regulation of aggregate size involved in sorocarp development||regulation of aggregate size involved in sorocarp development||regulation of aggregation involved in sorocarp development||bipolar cellular bud site selection||cell budding||asexual reproduction||reproduction</t>
  </si>
  <si>
    <t>GO:0007314</t>
  </si>
  <si>
    <t>ND5 2e-005| ND4 1e-004| ATP6 3e-004| DUF443 0.001| Borrelia_orfA 0.002| 7TM_GPCR_Srbc 0.003| ND2 0.006| ND5 0.009| ND4L 0.014| ND2 0.014|</t>
  </si>
  <si>
    <t>Contig17965_33</t>
  </si>
  <si>
    <t>7TM_GPCR_Srz 7e-008| ND4 2e-007| ND6 1e-006| ND5 7e-006| DUF2101 3e-005| ND2 3e-005| ND5 3e-005| ND2 7e-005| ATP6 1e-004| 7TMR-DISM_7TM 2e-004|</t>
  </si>
  <si>
    <t>sp|P55088|AQP4_MOUSE</t>
  </si>
  <si>
    <t>P55088 AQP4_MOUSE 4 AQP4 2 Q9LWR2 TIP43_ORYSJ TIP4 3 1 P47863 AQP4_RAT Q5I4F9 AQP4_NOTAL Q9ATL3 TIP44_MAIZE Q923J4 AQP4_DIPME O77750 AQP4_BOVIN Q25074 Q9ATL6 TIP41_MAIZE O82316 TIP41_ARATH</t>
  </si>
  <si>
    <t xml:space="preserve">AQUAPORIN MUS MUSCULUS PE PROBABLE ORYZA SATIVA SUBSP JAPONICA RATTUS NORVEGICUS NOTOMYS ALEXIS ZEA MAYS DIPODOMYS MERRIAMI BOS TAURUS AQP_HAEIX HAEMATOBIA IRRITANS EXIGUA ARABIDOPSIS THALIANA </t>
  </si>
  <si>
    <t>Contig4234_4</t>
  </si>
  <si>
    <t xml:space="preserve"> CONTIG4234_4 GENEID_V1 3_PREDICTED_PROTEIN_4 327_AA CONTIG6632_2 3_PREDICTED_PROTEIN_2 533_AA CONTIG16870_3 3_PREDICTED_PROTEIN_3 246_AA CONTIG18057_243 3_PREDICTED_PROTEIN_243 430_AA CONTIG18057_246 3_PREDICTED_PROTEIN_246 177_AA CONTIG17372_8 3_PREDICTED_PROTEIN_8 373_AA CONTIG17540_9 3_PREDICTED_PROTEIN_9 4992_AA CONTIG17961_169 3_PREDICTED_PROTEIN_169 409_AA CONTIG17773_33 3_PREDICTED_PROTEIN_33 1099_AA CONTIG17848_65 3_PREDICTED_PROTEIN_65 51_AA</t>
  </si>
  <si>
    <t>CG7777 - Drosophila melanogaster - water transporter activity</t>
  </si>
  <si>
    <t>water channel activity||substrate specific channel activity||channel activity||passive transmembrane transporter activity||transmembrane transporter activity||transporter activity</t>
  </si>
  <si>
    <t>GO:0015250</t>
  </si>
  <si>
    <t>MIP 7e-014| MIP 2e-011| PRK05420 2e-008| GlpF 8e-008| PRK11539 0.011| COG4478 0.072|</t>
  </si>
  <si>
    <t>sp|Q2JL75|RS11_SYNJB</t>
  </si>
  <si>
    <t xml:space="preserve"> Synechococcus sp.</t>
  </si>
  <si>
    <t>Q2JL75 RS11_SYNJB 30S S11 3 1 Q2JUJ4 RS11_SYNJA 3AB P39597</t>
  </si>
  <si>
    <t xml:space="preserve">RIBOSOMAL SYNECHOCOCCUS RPSK PE STRAIN JA YWBN_BACSU PEROXIDASE YWBN BACILLUS SUBTILIS </t>
  </si>
  <si>
    <t>Contig17900_121</t>
  </si>
  <si>
    <t xml:space="preserve"> CONTIG17900_121 GENEID_V1 3_PREDICTED_PROTEIN_121 251_AA CONTIG17976_55 3_PREDICTED_PROTEIN_55 882_AA CONTIG17852_71 3_PREDICTED_PROTEIN_71 1510_AA</t>
  </si>
  <si>
    <t>Contig1978_6</t>
  </si>
  <si>
    <t>sp|Q9V3B6|CWC15_DROME</t>
  </si>
  <si>
    <t>Q9V3B6 CWC15_DROME CWC15 C12 1 Q6IQU4 CWC15_DANRE 2 Q0VFP5 CWC15_XENTR Q6DKE6 CW15B_XENLA Q5BJP2 CWC15_RAT Q5RE65 CWC15_PONAB Q9JHS9 CWC15_MOUSE Q9P013 CWC15_HUMAN Q2KJD3 CWC15_BOVIN Q6NUB2 CW15A_XENLA</t>
  </si>
  <si>
    <t xml:space="preserve">HOMOLOG DROSOPHILA MELANOGASTER PE DANIO RERIO XENOPUS TROPICALIS B LAEVIS RATTUS NORVEGICUS PONGO ABELII MUS MUSCULUS HOMO SAPIENS BOS TAURUS A </t>
  </si>
  <si>
    <t>Contig17852_77</t>
  </si>
  <si>
    <t xml:space="preserve"> CONTIG17852_77 GENEID_V1 3_PREDICTED_PROTEIN_77 216_AA CONTIG9386_2 3_PREDICTED_PROTEIN_2 292_AA CONTIG17961_113 3_PREDICTED_PROTEIN_113 917_AA CONTIG17851_82 3_PREDICTED_PROTEIN_82 334_AA CONTIG18055_294 3_PREDICTED_PROTEIN_294 741_AA CONTIG17928_102 3_PREDICTED_PROTEIN_102 73_AA CONTIG17797_57 3_PREDICTED_PROTEIN_57 303_AA CONTIG18057_319 3_PREDICTED_PROTEIN_319 208_AA CONTIG18047_18 3_PREDICTED_PROTEIN_18 1225_AA CONTIG17942_147 3_PREDICTED_PROTEIN_147 306_AA</t>
  </si>
  <si>
    <t>c12.1 - Drosophila melanogaster - molecular_function - mitotic spindle organization</t>
  </si>
  <si>
    <t>Cwf_Cwc_15 3e-046| Nop25 1e-004| SRP1 0.015| DUF737 0.073|</t>
  </si>
  <si>
    <t>sp|P98157|LRP1_CHICK</t>
  </si>
  <si>
    <t>P98157 LRP1_CHICK 1 LRP1 2 Q91ZX7 LRP1_MOUSE Q07954 LRP1_HUMAN Q9NZR2 LRP1B_HUMAN 1B LRP1B Q9JI18 LRP1B_MOUSE P98164 LRP2_HUMAN LRP2 3 P98158 LRP2_RAT A2ARV4 LRP2_MOUSE O88572 LRP6_MOUSE 6 LRP6 O75581 LRP6_HUMAN</t>
  </si>
  <si>
    <t xml:space="preserve">LOW DENSITY LIPOPROTEIN RECEPTOR RELATED GALLUS PE PROLOW MUS MUSCULUS HOMO SAPIENS RATTUS NORVEGICUS </t>
  </si>
  <si>
    <t>Contig17836_23</t>
  </si>
  <si>
    <t xml:space="preserve"> CONTIG17836_23 GENEID_V1 3_PREDICTED_PROTEIN_23 4849_AA CONTIG17677_24 3_PREDICTED_PROTEIN_24 881_AA CONTIG17906_12 3_PREDICTED_PROTEIN_12 1247_AA CONTIG16215_1 3_PREDICTED_PROTEIN_1 2807_AA CONTIG18006_5 3_PREDICTED_PROTEIN_5 1543_AA CONTIG17545_13 3_PREDICTED_PROTEIN_13 525_AA CONTIG17605_46 3_PREDICTED_PROTEIN_46 1529_AA CONTIG17901_122 3_PREDICTED_PROTEIN_122 1833_AA CONTIG17545_12 720_AA CONTIG14042_1 421_AA</t>
  </si>
  <si>
    <t>low density lipoprotein receptor-related protein 1 - Mus musculus - apoptotic cell clearance - protein binding - membrane fraction - negative regulation of Wnt receptor signaling pathway</t>
  </si>
  <si>
    <t>apoptotic cell clearance||phagocytosis||endocytosis||membrane invagination||membrane organization||cellular component organization</t>
  </si>
  <si>
    <t>GO:0043277</t>
  </si>
  <si>
    <t>LY 3e-008| VWD 0.089|</t>
  </si>
  <si>
    <t>sp|Q8SPI0|APOD_MACFA</t>
  </si>
  <si>
    <t xml:space="preserve"> Macaca fascicularis</t>
  </si>
  <si>
    <t>Q8SPI0 2 1 P05090 P51910 Q32KY0 Q6PQK2 NP7_RHOPR 7 P49291 Q00630 P37153 Q94733 NP3_RHOPR 3 P51909</t>
  </si>
  <si>
    <t xml:space="preserve">APOD_MACFA APOLIPOPROTEIN D MACACA FASCICULARIS APOD PE APOD_HUMAN HOMO SAPIENS APOD_MOUSE MUS MUSCULUS APOD_BOVIN BOS TAURUS NITROPHORIN RHODNIUS PROLIXUS LAZA_SCHAM LAZARILLO SCHISTOCERCA AMERICANA ICYB_MANSE INSECTICYANIN B MANDUCA SEXTA INSB APOD_RABIT ORYCTOLAGUS CUNICULUS APOD_CAVPO CAVIA PORCELLUS </t>
  </si>
  <si>
    <t>Contig17512_3</t>
  </si>
  <si>
    <t xml:space="preserve"> CONTIG17512_3 GENEID_V1 3_PREDICTED_PROTEIN_3 207_AA CONTIG17106_8 3_PREDICTED_PROTEIN_8 213_AA CONTIG17106_7 3_PREDICTED_PROTEIN_7 CONTIG17089_8 189_AA CONTIG17733_29 3_PREDICTED_PROTEIN_29 116_AA CONTIG17106_6 3_PREDICTED_PROTEIN_6 175_AA CONTIG17911_31 3_PREDICTED_PROTEIN_31 325_AA CONTIG1709_2 3_PREDICTED_PROTEIN_2 370_AA CONTIG1489_6 183_AA CONTIG16394_1 3_PREDICTED_PROTEIN_1 93_AA</t>
  </si>
  <si>
    <t>apolipoprotein D - Mus musculus - intracellular</t>
  </si>
  <si>
    <t>GO:0005488</t>
  </si>
  <si>
    <t>Lipocalin 1e-005| ND5 0.002| Triabin 0.002| 7TM_GPCR_Srbc 0.006| ND4L 0.012| PRK05771 0.020| 7TM_GPCR_Srsx 0.030| Nitrophorin 0.031| ND3 0.043| ND4 0.045|</t>
  </si>
  <si>
    <t>replicative cell aging||cell aging||aging||developmental process</t>
  </si>
  <si>
    <t>GO:0001302</t>
  </si>
  <si>
    <t>sp|P05552|ADF1_DROME</t>
  </si>
  <si>
    <t>P05552 ADF1_DROME 1 ADF1 2 Q0A2I0 PA_I83A5 1983 H5N2 3 O89750 PA_I97A0 220 1997 H5N1 Q6DNX6 PA_I02A6 YU22 2002 Q6J835 PA_I02A5 96 O89752 PA_I97A1 156 Q0A2G9 PA_I59A0 1959 Q9Q0U9 PA_I96A0 1996 B3EUR3 PA_I61A1 1961 H1N1 Q6J844 PA_I03A0 212 2003</t>
  </si>
  <si>
    <t xml:space="preserve">TRANSCRIPTION FACTOR ADF DROSOPHILA MELANOGASTER PE POLYMERASE ACIDIC INFLUENZA A VIRUS STRAIN CHICKEN PENNSYLVANIA PA HONG KONG GENOTYPE GS GD Z Y SCOTLAND GOOSE GUANGDONG SWINE WISCONSIN FRAGMENT </t>
  </si>
  <si>
    <t>Contig2539_5</t>
  </si>
  <si>
    <t xml:space="preserve"> CONTIG2539_5 GENEID_V1 3_PREDICTED_PROTEIN_5 220_AA CONTIG18047_166 3_PREDICTED_PROTEIN_166 236_AA CONTIG2201_4 3_PREDICTED_PROTEIN_4 244_AA CONTIG17441_11 3_PREDICTED_PROTEIN_11 CONTIG17907_82 3_PREDICTED_PROTEIN_82 301_AA CONTIG2201_2 3_PREDICTED_PROTEIN_2 282_AA CONTIG17441_9 3_PREDICTED_PROTEIN_9 CONTIG17771_13 3_PREDICTED_PROTEIN_13 245_AA CONTIG17928_115 3_PREDICTED_PROTEIN_115 458_AA CONTIG6709_6 3_PREDICTED_PROTEIN_6 327_AA</t>
  </si>
  <si>
    <t>Protein C01G12.1, confirmed by transcript evidence - Caenorhabditis elegans - protein binding</t>
  </si>
  <si>
    <t>MADF 1e-019|</t>
  </si>
  <si>
    <t xml:space="preserve"> Escherichia sp. 3_2_53FAA</t>
  </si>
  <si>
    <t>sp|Q15596|NCOA2_HUMAN</t>
  </si>
  <si>
    <t>Q15596 NCOA2_HUMAN 2 NCOA2 1 Q6C3U1 OS9_YARLI 9 YOS9 3</t>
  </si>
  <si>
    <t xml:space="preserve">NUCLEAR RECEPTOR COACTIVATOR HOMO SAPIENS PE HOMOLOG YARROWIA LIPOLYTICA </t>
  </si>
  <si>
    <t>Contig17380_71</t>
  </si>
  <si>
    <t xml:space="preserve"> CONTIG17380_71 GENEID_V1 3_PREDICTED_PROTEIN_71 400_AA CONTIG17797_77 3_PREDICTED_PROTEIN_77 412_AA CONTIG7166_1 3_PREDICTED_PROTEIN_1 228_AA CONTIG17970_636 3_PREDICTED_PROTEIN_636 CONTIG17958_146 3_PREDICTED_PROTEIN_146 398_AA CONTIG17875_98 3_PREDICTED_PROTEIN_98 399_AA CONTIG17575_24 3_PREDICTED_PROTEIN_24 209_AA CONTIG16114_2 3_PREDICTED_PROTEIN_2 CONTIG18051_97 3_PREDICTED_PROTEIN_97 1162_AA CONTIG17971_415 3_PREDICTED_PROTEIN_415 603_AA</t>
  </si>
  <si>
    <t>Contig17982_5</t>
  </si>
  <si>
    <t>conserved hypothetical protein - Geobacter sulfurreducens PCA - molecular_function - cellular_component - biological_process</t>
  </si>
  <si>
    <t>sp|O74738|YH9D_SCHPO</t>
  </si>
  <si>
    <t>O74738 YH9D_SCHPO C1709 13C SPBC1709 2 1</t>
  </si>
  <si>
    <t xml:space="preserve">SET DOMAIN CONTAINING SCHIZOSACCHAROMYCES POMBE PE </t>
  </si>
  <si>
    <t>Contig6716_7</t>
  </si>
  <si>
    <t>lysine methyltransferase - Schizosaccharomyces pombe - protein-lysine N-methyltransferase activity - protein amino acid methylation - nucleus - cytosol</t>
  </si>
  <si>
    <t>protein\-lysine N\-methyltransferase activity||lysine N\-methyltransferase activity||S\-adenosylmethionine\-dependent methyltransferase activity||methyltransferase activity||transferase activity\, transferring one\-carbon groups||transferase activity||catalytic activity</t>
  </si>
  <si>
    <t>GO:0016279</t>
  </si>
  <si>
    <t>protein amino acid methylation||protein amino acid alkylation||post\-translational protein modification||protein modification process||cellular protein metabolic process||cellular biopolymer metabolic process||cellular macromolecule metabolic process||macromolecule metabolic process||metabolic process</t>
  </si>
  <si>
    <t>GO:0006479</t>
  </si>
  <si>
    <t>COG5523 0.090|</t>
  </si>
  <si>
    <t>sp|Q86SZ2|TPC6B_HUMAN</t>
  </si>
  <si>
    <t>Q86SZ2 TPC6B_HUMAN 6B TRAPPC6B 1 Q32L78 TPC6B_BOVIN 2 Q9D289 TPC6B_MOUSE O75865 TPC6A_HUMAN 6A TRAPPC6A Q78XR0 TPC6A_MOUSE Q3T086 TPC6A_BOVIN Q09784 YA95_SCHPO C13G6 05C SPAC13G6 Q99394 TRS33_YEAST 33 TRS33 Q54YG5 TPPC5_DICDI 5 TRAPPC5 3 A6MHQ4</t>
  </si>
  <si>
    <t xml:space="preserve">TRAFFICKING PARTICLE COMPLEX SUBUNIT HOMO SAPIENS PE BOS TAURUS MUS MUSCULUS UNCHARACTERIZED SCHIZOSACCHAROMYCES POMBE TRANSPORT KDA SACCHAROMYCES CEREVISIAE DICTYOSTELIUM DISCOIDEUM NKAIN_DROME SODIUM POTASSIUM TRANSPORTING ATPASE BETA INTERACTING DROSOPHILA MELANOGASTER NKAIN </t>
  </si>
  <si>
    <t>Contig17272_21</t>
  </si>
  <si>
    <t xml:space="preserve"> CONTIG17272_21 GENEID_V1 3_PREDICTED_PROTEIN_21 703_AA CONTIG17910_129 3_PREDICTED_PROTEIN_129 707_AA CONTIG17392_5 3_PREDICTED_PROTEIN_5 801_AA CONTIG17333_1 3_PREDICTED_PROTEIN_1 375_AA CONTIG17971_221 3_PREDICTED_PROTEIN_221 164_AA CONTIG17730_16 3_PREDICTED_PROTEIN_16 1093_AA CONTIG17272_10 3_PREDICTED_PROTEIN_10 302_AA</t>
  </si>
  <si>
    <t>Contig7959_1</t>
  </si>
  <si>
    <t>TRAPP complex subunit Bet3 (predicted) - Schizosaccharomyces pombe - molecular_function - ER to Golgi vesicle-mediated transport - intracellular protein transport - TRAPP complex</t>
  </si>
  <si>
    <t>&lt;TRAPP complex||ESCRT II complex||ESCRT I complex||gamma\-tubulin small complex\, spindle pole body||gamma\-tubulin small complex\, spindle pole body||cytoplasmic replisome||PSII associated light\-harvesting complex II\, peripheral complex||PSII associated light\-harvesting complex II\, peripheral complex||PSII associated light\-harvesting complex II\, peripheral complex||mitochondrial proton\-transporting ATP synthase\, central stalk||mitochondrial proton\-transporting ATP synthase\, stator stalk||mitochondrial proton\-transporting ATP synthase\, central stalk||mitochondrial ribosome||mitochondrial ribosome||mitochondrial ribosome||macropinocytic cup cytoskeleton||amyloplast starch grain||mitochondrial respiratory chain complex III||mitochondrial respiratory chain complex IV||mitochondrial respiratory chain complex I||mitochondrial crista||mitochondrial respiratory chain complex I||mitochondrial crista||ER proteasome regulatory particle\, base subcomplex||ER proteasome core complex\, beta\-subunit complex||COPI vesicle coat||ER proteasome regulatory particle\, lid subcomplex||proteasome regulatory particle\, base subcomplex||proteasome regulatory particle\, base subcomplex||nucleolar part||Sec complex\-associated translocon complex||intrinsic to endoplasmic reticulum membrane||actin capping protein of dynactin complex||condensed nuclear chromosome kinetochore||intermediate layer of spindle pole body||chiasma||platelet dense tubular network membrane||intrinsic to plastid outer membrane||integral to plastid outer membrane||plastid biotin carboxylase complex||chloroplast ATP synthase complex||snRNP U2||nuclear proteasome core complex||Swr1 complex||gamma DNA polymerase complex||mitochondrial membrane part||intrinsic to Golgi membrane||recycling endosome membrane||tertiary granule membrane||chromaffin granule lumen||peribacteroid membrane||clathrin vesicle coat||acidocalcisome membrane||peribacteroid fluid||COPII vesicle coat||melanosome membrane||chitosome membrane||plastid chromosome||proplastid stroma||etioplast stroma||cyanelle stroma||Toc complex||microbody part||yolk granule||pectic matrix||Golgi membrane||axoneme part||cilium part||polarisome||aster||aster||conoid||conoid</t>
  </si>
  <si>
    <t>GO:0030008</t>
  </si>
  <si>
    <t>TRAPP 4e-039| ND4 2e-004| ND5 0.002| ND6 0.005| COG5128 0.005| DUF221 0.006| ND2 0.017| ATP6 0.019| 7TM_GPCR_Srz 0.054| DltB 0.059|</t>
  </si>
  <si>
    <t xml:space="preserve"> Cimex lectularius</t>
  </si>
  <si>
    <t>sp|Q9U3U0|RLA0_CERCA</t>
  </si>
  <si>
    <t>Q9U3U0 RLA0_CERCA 60S P0 RPLP0 3 1 P19889 RLA0_DROME Q9DG68 RLA0_RANSY 2 P19945 RLA0_RAT Q90YX1 RLA0_ICTPU P05388 RLA0_HUMAN P47826 RLA0_CHICK Q95140 RLA0_BOVIN Q29214 RLA0_PIG P14869 RLA0_MOUSE</t>
  </si>
  <si>
    <t xml:space="preserve">ACIDIC RIBOSOMAL CERATITIS CAPITATA PE DROSOPHILA MELANOGASTER RANA SYLVATICA RATTUS NORVEGICUS ICTALURUS PUNCTATUS HOMO SAPIENS GALLUS BOS TAURUS SUS SCROFA MUS MUSCULUS </t>
  </si>
  <si>
    <t xml:space="preserve"> CONTIG4545_2 GENEID_V1 3_PREDICTED_PROTEIN_2 729_AA CONTIG17897_6 3_PREDICTED_PROTEIN_6 255_AA CONTIG16576_9 3_PREDICTED_PROTEIN_9 539_AA CONTIG17916_89 3_PREDICTED_PROTEIN_89 1114_AA CONTIG17821_132 3_PREDICTED_PROTEIN_132 306_AA CONTIG17364_31 3_PREDICTED_PROTEIN_31 690_AA CONTIG18070_103 3_PREDICTED_PROTEIN_103 1137_AA CONTIG17759_21 3_PREDICTED_PROTEIN_21 499_AA CONTIG17823_39 3_PREDICTED_PROTEIN_39 1197_AA CONTIG17814_10 3_PREDICTED_PROTEIN_10 219_AA</t>
  </si>
  <si>
    <t>Ribosomal_P0_L10e 2e-066| PTZ00135 1e-060| PTZ00240 9e-044| rplP0 6e-033| Ribosomal_L10 1e-021| Ribosomal_L10_P0 2e-018| RplJ 4e-016| Ribosomal_P0_like 5e-013| Ribosomal_L10 0.003| rplJ 0.022|</t>
  </si>
  <si>
    <t>sp|Q9Y2W2|WBP11_HUMAN</t>
  </si>
  <si>
    <t>Q9Y2W2 WBP11_HUMAN 11 WBP11 1 Q5PQQ2 WBP11_RAT 2 Q923D5 WBP11_MOUSE A7Z019 SMCA4_BOVIN BRG1 SMARCA4 Q8K1P7 SMCA4_RAT Q3TKT4 SMCA4_MOUSE P51532 SMCA4_HUMAN Q9AKP3 ARP2 3 Q95JC9 Q6DDW4 CPSF6_XENLA 6 CPSF6</t>
  </si>
  <si>
    <t xml:space="preserve">WW DOMAIN BINDING HOMO SAPIENS PE RATTUS NORVEGICUS MUS MUSCULUS TRANSCRIPTION ACTIVATOR BOS TAURUS RICKA_RICMO COMPLEX ACTIVATING RICKA RICKETTSIA MONTANA PRP_PIG BASIC PROLINE RICH SUS SCROFA CLEAVAGE POLYADENYLATION SPECIFICITY FACTOR SUBUNIT XENOPUS LAEVIS </t>
  </si>
  <si>
    <t>Contig17830_128</t>
  </si>
  <si>
    <t xml:space="preserve"> CONTIG17830_128 GENEID_V1 3_PREDICTED_PROTEIN_128 425_AA CONTIG17830_129 3_PREDICTED_PROTEIN_129 254_AA CONTIG17948_205 3_PREDICTED_PROTEIN_205 684_AA CONTIG17364_7 3_PREDICTED_PROTEIN_7 1077_AA CONTIG12228_4 3_PREDICTED_PROTEIN_4 620_AA CONTIG17569_39 3_PREDICTED_PROTEIN_39 604_AA CONTIG17380_45 3_PREDICTED_PROTEIN_45 343_AA CONTIG18057_175 3_PREDICTED_PROTEIN_175 897_AA CONTIG17909_32 3_PREDICTED_PROTEIN_32 995_AA CONTIG17947_2 3_PREDICTED_PROTEIN_2 693_AA</t>
  </si>
  <si>
    <t>WW domain binding protein 11 - Rattus norvegicus - protein binding - nucleus - nucleolus - cytoplasm - RNA splicing - protein phosphatase type 1 regulator activity - nuclear speck</t>
  </si>
  <si>
    <t>RNA splicing||RNA processing||RNA metabolic process||cellular biopolymer metabolic process||cellular macromolecule metabolic process||macromolecule metabolic process||metabolic process</t>
  </si>
  <si>
    <t>GO:0008380</t>
  </si>
  <si>
    <t>Extensin_2 1e-007| Atrophin-1 1e-006| Drf_FH1 1e-005| DUF1421 4e-005| SMN 5e-005| Cytadhesin_P30 2e-004| DUF1210 3e-004| PRP8 5e-004| FAP 0.001| GRASP55_65 0.002|</t>
  </si>
  <si>
    <t>sp|Q8IBP1|YPF16_PLAF7</t>
  </si>
  <si>
    <t>Q8IBP1 YPF16_PLAF7 PF07_0086 3D7 4 1</t>
  </si>
  <si>
    <t xml:space="preserve">UNCHARACTERIZED PLASMODIUM FALCIPARUM ISOLATE PE </t>
  </si>
  <si>
    <t>Contig17972_119</t>
  </si>
  <si>
    <t>DUF1461 0.010| Alg6_Alg8 0.033|</t>
  </si>
  <si>
    <t>sp|Q30S94|HEM1_SULDN</t>
  </si>
  <si>
    <t xml:space="preserve"> Sulfurimonas denitrificans (strain ATCC 33889 / DSM 1251)</t>
  </si>
  <si>
    <t>Q30S94 HEM1_SULDN 33889 1251 3 1 Q8RXT9 GDL8_ARATH AT1G28590 2 Q869L3 MDN1_DICDI MDN1 Q85WV5 YCF2_PINKO YCF2 Q9FME8 OPT4_ARATH 4 OPT4 Q5RAY7 FTSJ1_PONAB FTSJD1</t>
  </si>
  <si>
    <t xml:space="preserve">GLUTAMYL TRNA REDUCTASE SULFURIMONAS DENITRIFICANS STRAIN ATCC DSM HEMA PE GDSL ESTERASE LIPASE ARABIDOPSIS THALIANA MIDASIN DICTYOSTELIUM DISCOIDEUM PINUS KORAIENSIS OLIGOPEPTIDE TRANSPORTER FTSJ METHYLTRANSFERASE DOMAIN CONTAINING PONGO ABELII </t>
  </si>
  <si>
    <t>Contig17965_144</t>
  </si>
  <si>
    <t xml:space="preserve"> CONTIG17965_144 GENEID_V1 3_PREDICTED_PROTEIN_144 393_AA CONTIG18041_19 3_PREDICTED_PROTEIN_19 401_AA CONTIG17836_24 3_PREDICTED_PROTEIN_24 525_AA CONTIG17981_9 3_PREDICTED_PROTEIN_9 538_AA CONTIG17071_18 3_PREDICTED_PROTEIN_18 404_AA CONTIG18051_71 3_PREDICTED_PROTEIN_71 168_AA CONTIG18051_70 3_PREDICTED_PROTEIN_70 CONTIG17965_42 3_PREDICTED_PROTEIN_42 2675_AA CONTIG17588_27 3_PREDICTED_PROTEIN_27 501_AA CONTIG17955_262 3_PREDICTED_PROTEIN_262 459_AA</t>
  </si>
  <si>
    <t>Contig17868_36</t>
  </si>
  <si>
    <t>CG8353 - Drosophila melanogaster - cytidine deaminase activity</t>
  </si>
  <si>
    <t>NADH dehydrogenase (quinone) activity||oxidoreductase activity\, acting on NADH or NADPH\, quinone or similar compound as acceptor||oxidoreductase activity\, acting on NADH or NADPH||oxidoreductase activity||catalytic activity</t>
  </si>
  <si>
    <t>GO:0050136</t>
  </si>
  <si>
    <t>DnaG_DnaB_bind 0.087|</t>
  </si>
  <si>
    <t>Q03168 AAEL006169 1 2 O93428 P40782 CYPR1_CYNCA CYPRO1 O09043 Q42456 ASPR1_ORYSJ OS05G0567100 O04057 Q05744 P42210 O42630 PEP2 Q9XFX4</t>
  </si>
  <si>
    <t xml:space="preserve">ASPP_AEDAE LYSOSOMAL ASPARTIC PROTEASE AEDES AEGYPTI PE CATD_CHIHA CATHEPSIN D CHIONODRACO HAMATUS CTSD CYPROSIN FRAGMENT CYNARA CARDUNCULUS NAPSA_MOUSE NAPSIN A MUS MUSCULUS NAPSA PROTEINASE ORYZASIN ORYZA SATIVA SUBSP JAPONICA ASPR_CUCPE CUCURBITA PEPO CATD_CHICK GALLUS ASPR_HORVU PHYTEPSIN HORDEUM VULGARE CARP_ASPFU VACUOLAR ASPERGILLUS FUMIGATUS CARDB_CYNCA PROCARDOSIN B CARDB </t>
  </si>
  <si>
    <t xml:space="preserve"> CONTIG808_3 GENEID_V1 3_PREDICTED_PROTEIN_3 384_AA CONTIG808_2 3_PREDICTED_PROTEIN_2 629_AA CONTIG808_4 3_PREDICTED_PROTEIN_4 389_AA CONTIG17955_3 372_AA CONTIG5279_3 152_AA CONTIG16543_1 3_PREDICTED_PROTEIN_1 147_AA CONTIG17572_34 3_PREDICTED_PROTEIN_34 514_AA CONTIG17697_6 3_PREDICTED_PROTEIN_6 399_AA CONTIG16285_5 3_PREDICTED_PROTEIN_5 400_AA CONTIG17955_2 375_AA</t>
  </si>
  <si>
    <t>cathD - Drosophila melanogaster - aspartic-type endopeptidase activity - autophagic cell death - salivary gland cell autophagic cell death</t>
  </si>
  <si>
    <t>Asp 1e-053|</t>
  </si>
  <si>
    <t>sp|B0JFB8|FPI1_ANTMY</t>
  </si>
  <si>
    <t xml:space="preserve"> Antheraea mylitta</t>
  </si>
  <si>
    <t>B0JFB8 FPI1_ANTMY 1 O88799 2 Q86KC7 Y4171_DICDI DDB_G0274171 Q54N81 DIA1_DICDI DIA1 Q8N2E2 3 Q8VDP3 MICA1_MOUSE NEDD9 MICAL1 P26012 ITB8_HUMAN 8 ITGB8 Q6IN38 WIF1_RAT WIF1 Q9WUA1 WIF1_MOUSE Q5SCW3 YCF2_HUPLU YCF2</t>
  </si>
  <si>
    <t xml:space="preserve">FUNGAL PROTEASE INHIBITOR ANTHERAEA MYLITTA FPI PE ZAN_MOUSE ZONADHESIN MUS MUSCULUS ZAN UNCHARACTERIZED DICTYOSTELIUM DISCOIDEUM DIFFERENTIATION ASSOCIATED VWDE_HUMAN VON WILLEBRAND FACTOR D EGF DOMAIN CONTAINING HOMO SAPIENS VWDE INTERACTING WITH CALPONIN HOMOLOGY LIM DOMAINS INTEGRIN BETA WNT INHIBITORY RATTUS NORVEGICUS HUPERZIA LUCIDULA </t>
  </si>
  <si>
    <t>Contig17970_431</t>
  </si>
  <si>
    <t xml:space="preserve"> CONTIG17970_431 GENEID_V1 3_PREDICTED_PROTEIN_431 103_AA CONTIG17918_71 3_PREDICTED_PROTEIN_71 293_AA CONTIG17605_46 3_PREDICTED_PROTEIN_46 1529_AA CONTIG13030_2 3_PREDICTED_PROTEIN_2 795_AA CONTIG5200_1 3_PREDICTED_PROTEIN_1 873_AA CONTIG10116_1 204_AA</t>
  </si>
  <si>
    <t>Contig16317_1</t>
  </si>
  <si>
    <t>microtubule associated monoxygenase, calponin and LIM domain containing 1 - Rattus norvegicus - monooxygenase activity - protein binding - cytoplasm - SH3 domain binding</t>
  </si>
  <si>
    <t>sp|Q54WH2|FORA_DICDI</t>
  </si>
  <si>
    <t>Q54WH2 1 Q8NXI6 MW2 P00644 Q6GB41 MSSA476 3 Q6GIK1 MRSA252 Q5HHM4 A6QCD0 NBC37 2 Q9UKJ8 ADA21_HUMAN 21 ADAM21 Q5RB35 MKLN1_PONAB MKLN1 Q9UL63 MKLN1_HUMAN</t>
  </si>
  <si>
    <t xml:space="preserve">FORA_DICDI FORMIN A DICTYOSTELIUM DISCOIDEUM FORA PE NUC_STAAW THERMONUCLEASE STAPHYLOCOCCUS AUREUS STRAIN NUC NUC_STAAU NUC_STAAS NUC_STAAR NUC_STAAC COL MIAB_SULNB DIMETHYLALLYL ADENOSINE TRNA METHYLTHIOTRANSFERASE MIAB SULFUROVUM DISINTEGRIN METALLOPROTEINASE DOMAIN CONTAINING HOMO SAPIENS MUSKELIN PONGO ABELII </t>
  </si>
  <si>
    <t xml:space="preserve"> CONTIG7471_2 GENEID_V1 3_PREDICTED_PROTEIN_2 411_AA CONTIG1850_2 57 CONTIG7471_3 3_PREDICTED_PROTEIN_3 195_AA CONTIG1850_5 3_PREDICTED_PROTEIN_5 285_AA CONTIG1850_4 3_PREDICTED_PROTEIN_4 198_AA CONTIG18044_9 3_PREDICTED_PROTEIN_9 189_AA CONTIG6246_5 760_AA CONTIG12842_3 371_AA CONTIG12842_1 3_PREDICTED_PROTEIN_1 224_AA CONTIG6246_3 170_AA</t>
  </si>
  <si>
    <t>actin binding protein, formin homology domain-containing protein - Dictyostelium discoideum - profilin binding - actin cytoskeleton</t>
  </si>
  <si>
    <t>filamentous growth||growth</t>
  </si>
  <si>
    <t>GO:0030447</t>
  </si>
  <si>
    <t>Band_7_HflK 0.021| 7TM_GPCR_Srab 0.047| ND5 0.060| ETRAMP 0.078| ND4 0.082| ND6 0.085|</t>
  </si>
  <si>
    <t>sp|Q0I740|UPPP_SYNS3</t>
  </si>
  <si>
    <t xml:space="preserve"> Synechococcus sp. (strain CC9311)</t>
  </si>
  <si>
    <t>Q0I740 UPPP_SYNS3 CC9311 3 1 Q8NXI6 MW2 P00644 Q6GB41 MSSA476 Q6GIK1 MRSA252 Q5HHM4 A6Q4S8 SB155 2 Q7A6P2 N315 Q99VJ0 MU50 700699 O42503 HXC8A_TAKRU C8A HOXC8A</t>
  </si>
  <si>
    <t xml:space="preserve">UNDECAPRENYL DIPHOSPHATASE SYNECHOCOCCUS STRAIN UPPP PE NUC_STAAW THERMONUCLEASE STAPHYLOCOCCUS AUREUS NUC NUC_STAAU NUC_STAAS NUC_STAAR NUC_STAAC COL SYS_NITSB SERYL TRNA SYNTHETASE NITRATIRUPTOR SERS NUC_STAAN NUC_STAAM ATCC HOMEOBOX HOX TAKIFUGU RUBRIPES </t>
  </si>
  <si>
    <t xml:space="preserve"> CONTIG7471_2 GENEID_V1 3_PREDICTED_PROTEIN_2 411_AA CONTIG7471_3 3_PREDICTED_PROTEIN_3 195_AA CONTIG1850_2 57 CONTIG1850_5 3_PREDICTED_PROTEIN_5 285_AA CONTIG18044_9 3_PREDICTED_PROTEIN_9 189_AA CONTIG17940_22 3_PREDICTED_PROTEIN_22 442_AA CONTIG17804_126 3_PREDICTED_PROTEIN_126 156_AA CONTIG17569_39 3_PREDICTED_PROTEIN_39 604_AA CONTIG16189_3 1834_AA CONTIG18052_1 3_PREDICTED_PROTEIN_1 300_AA</t>
  </si>
  <si>
    <t>pyridoxal kinase - Dictyostelium discoideum - pyridoxal kinase activity - vitamin B6 metabolic process - cell proliferation - aggregation involved in sorocarp development - cellular_component</t>
  </si>
  <si>
    <t>pyridoxal kinase activity||phosphotransferase activity\, alcohol group as acceptor||transferase activity\, transferring phosphorus\-containing groups||transferase activity||catalytic activity</t>
  </si>
  <si>
    <t>GO:0008478</t>
  </si>
  <si>
    <t>vitamin B6 metabolic process||water\-soluble vitamin metabolic process||vitamin metabolic process||cellular metabolic process||metabolic process</t>
  </si>
  <si>
    <t>GO:0042816</t>
  </si>
  <si>
    <t>ATP6 5e-004| 7TMR-DISM_7TM 0.002| PulO 0.006| HsdS 0.033| ND5 0.064|</t>
  </si>
  <si>
    <t>acyl-CoA oxidase - Dictyostelium discoideum - peroxisome - fatty acid metabolic process - acyl-CoA oxidase activity</t>
  </si>
  <si>
    <t>acyl\-CoA oxidase activity||oxidoreductase activity\, acting on the CH\-CH group of donors\, oxygen as acceptor||oxidoreductase activity\, acting on the CH\-CH group of donors||oxidoreductase activity||catalytic activity</t>
  </si>
  <si>
    <t>GO:0003997</t>
  </si>
  <si>
    <t>fatty acid metabolic process||monocarboxylic acid metabolic process||carboxylic acid metabolic process||oxoacid metabolic process||cellular ketone metabolic process||cellular metabolic process||metabolic process</t>
  </si>
  <si>
    <t>GO:0006631</t>
  </si>
  <si>
    <t>PAP2_like_1 0.091|</t>
  </si>
  <si>
    <t>P46222 RL11_DROME 60S L11 RPL11 1 2 P62914 RL11_RAT Q9CXW4 RL11_MOUSE 4 Q90YV7 RL11_ICTPU 3 P62913 RL11_HUMAN Q6QMZ8 RL11_CHILA Q3T087 RL11_BOVIN Q5RC11 RL11_PONAB Q29205 RL11_PIG P16168 RL11_DICDI</t>
  </si>
  <si>
    <t xml:space="preserve">RIBOSOMAL DROSOPHILA MELANOGASTER PE RATTUS NORVEGICUS MUS MUSCULUS ICTALURUS PUNCTATUS HOMO SAPIENS CHINCHILLA LANIGERA BOS TAURUS PONGO ABELII SUS SCROFA DICTYOSTELIUM DISCOIDEUM </t>
  </si>
  <si>
    <t xml:space="preserve"> CONTIG8007_1 GENEID_V1 3_PREDICTED_PROTEIN_1 82_AA CONTIG6611_1 CONTIG17794_34 3_PREDICTED_PROTEIN_34 CONTIG17914_59 3_PREDICTED_PROTEIN_59 490_AA CONTIG17855_105 3_PREDICTED_PROTEIN_105 993_AA CONTIG18040_14 3_PREDICTED_PROTEIN_14 569_AA CONTIG17537_11 3_PREDICTED_PROTEIN_11 647_AA</t>
  </si>
  <si>
    <t>Ribosomal_L5_C 0.062|</t>
  </si>
  <si>
    <t>sp|P33505|COX2_ANOQU</t>
  </si>
  <si>
    <t>P33505 COX2_ANOQU 2 3 1 P34840 COX2_ANOGA P98021 COX2_SIMVI P50692 COX2_AEDAE P50693 COX2_CULQU P29876 COX2_ONCFA P98048 COX2_YPOMA P00409 COX2_DROYA P50253 COX2_DROSI P00408 COX2_DROME</t>
  </si>
  <si>
    <t xml:space="preserve">CYTOCHROME C OXIDASE SUBUNIT ANOPHELES QUADRIMACULATUS COXII PE GAMBIAE COII SIMULIUM VITTATUM AEDES AEGYPTI CULEX QUINQUEFASCIATUS ONCOPELTUS FASCIATUS YPONOMEUTA MALINELLUS DROSOPHILA YAKUBA MT SIMULANS MELANOGASTER </t>
  </si>
  <si>
    <t>Contig8179_1</t>
  </si>
  <si>
    <t xml:space="preserve"> CONTIG8179_1 GENEID_V1 3_PREDICTED_PROTEIN_1 49_AA CONTIG8134_1 CONTIG7993_1 CONTIG7973_1 0 8 108108E 02 CONTIG7903_1 CONTIG7849_1 CONTIG28081_1 CONTIG28077_1 CONTIG28069_1 CONTIG22878_1</t>
  </si>
  <si>
    <t xml:space="preserve">RIBOSOMAL RNA SMALL SUBUNIT METHYLTRANSFERASE A PS SWISSP </t>
  </si>
  <si>
    <t>COX2 e-119| COX2 5e-093| COX2 4e-091| COX2 9e-089| COX2 2e-088| COX2 1e-087| COX2 1e-086| COX2 6e-085| COX2 7e-085| COX2 1e-084|</t>
  </si>
  <si>
    <t>P13418 1 2 P06441 A5LGW7 POLG_HAVJ8 HAJ85 3 A3FMB2 POLG_HAVH2 H2 Q8V0N6 POLG_HAV88 SLF88 P13901 P08617 HM175 Q67825 P06442 CR326 Q9DWR1 21 4</t>
  </si>
  <si>
    <t xml:space="preserve">POLS_CRPV STRUCTURAL POLYPROTEIN CRICKET PARALYSIS VIRUS PE POLG_HAVLA GENOME HUMAN HEPATITIS A GENOTYPE IA ISOLATE LA IIIB IIB POLG_HAVMB IB MBB POLG_HAVHM POLG_HAVGB GBM POLG_HAVCR FRAGMENT POLG_HAVNO IIIA NOR </t>
  </si>
  <si>
    <t>Contig8468_5</t>
  </si>
  <si>
    <t xml:space="preserve"> CONTIG8468_5 GENEID_V1 3_PREDICTED_PROTEIN_5 222_AA CONTIG17906_45 3_PREDICTED_PROTEIN_45 557_AA CONTIG9061_1 3_PREDICTED_PROTEIN_1 321_AA CONTIG18028_25 3_PREDICTED_PROTEIN_25 337_AA CONTIG18012_12 3_PREDICTED_PROTEIN_12 242_AA CONTIG17938_10 3_PREDICTED_PROTEIN_10 386_AA CONTIG17926_174 3_PREDICTED_PROTEIN_174 397_AA CONTIG17887_74 3_PREDICTED_PROTEIN_74 281_AA CONTIG17763_26 3_PREDICTED_PROTEIN_26 389_AA CONTIG17965_162 3_PREDICTED_PROTEIN_162 449_AA</t>
  </si>
  <si>
    <t>Contig7606_2</t>
  </si>
  <si>
    <t>strawberry notch homolog 2 (Drosophila) - Rattus norvegicus - macrophage activation during immune response - transcription repressor activity - negative regulation of transcription, DNA-dependent - regulation of inflammatory response</t>
  </si>
  <si>
    <t>rhv_like 1e-023| CRPV_capsid 2e-005| Rhv 6e-004| rpoC2 0.073|</t>
  </si>
  <si>
    <t>sp|P68203|RS27A_SPOFR</t>
  </si>
  <si>
    <t>P68203 RS27A_SPOFR 40S S27A 2 P68202 RS27A_PLUXY P29504 RS27A_MANSE P15357 RS27A_DROME RPS27A 1 P62982 RS27A_RAT P62983 RS27A_MOUSE P68200 RS27A_ICTPU P62979 RS27A_HUMAN P79781 RS27A_CHICK 3 P62978 RS27A_CAVPO</t>
  </si>
  <si>
    <t xml:space="preserve">UBIQUITIN RIBOSOMAL SPODOPTERA FRUGIPERDA PE PLUTELLA XYLOSTELLA MANDUCA SEXTA DROSOPHILA MELANOGASTER RATTUS NORVEGICUS MUS MUSCULUS ICTALURUS PUNCTATUS HOMO SAPIENS GALLUS CAVIA PORCELLUS </t>
  </si>
  <si>
    <t>Contig17921_30</t>
  </si>
  <si>
    <t xml:space="preserve"> CONTIG17921_30 GENEID_V1 3_PREDICTED_PROTEIN_30 157_AA CONTIG17907_89 3_PREDICTED_PROTEIN_89 1098_AA CONTIG18007_17 3_PREDICTED_PROTEIN_17 129_AA CONTIG17963_123 3_PREDICTED_PROTEIN_123 79_AA CONTIG17524_3 3_PREDICTED_PROTEIN_3 459_AA CONTIG17970_429 3_PREDICTED_PROTEIN_429 334_AA CONTIG11084_12 3_PREDICTED_PROTEIN_12 693_AA CONTIG18057_227 3_PREDICTED_PROTEIN_227 136_AA CONTIG17756_8 3_PREDICTED_PROTEIN_8 234_AA CONTIG17575_25 3_PREDICTED_PROTEIN_25 133_AA</t>
  </si>
  <si>
    <t>Ubiquitin-63E - Drosophila melanogaster - protein modification process - response to heat - ubiquitin-dependent protein catabolic process - protein binding - chromatin organization - regulation of transcription, DNA-dependent - response to stress - ribosome biogenesis - cytoplasm - nucleus - cellular process - phagocytosis, engulfment</t>
  </si>
  <si>
    <t>protein modification process||cellular protein metabolic process||cellular biopolymer metabolic process||cellular macromolecule metabolic process||macromolecule metabolic process||metabolic process</t>
  </si>
  <si>
    <t>GO:0006464</t>
  </si>
  <si>
    <t>Ubiquitin 2e-037| ubiquitin 5e-029| Nedd8 2e-022| UBL 4e-021| UBQ 3e-020| PTZ00044 1e-019| AN1_N 8e-014| Scythe_N 4e-013| RAD23_N 9e-013| UBQ 1e-011|</t>
  </si>
  <si>
    <t>sp|P07704|CYB_DROYA</t>
  </si>
  <si>
    <t>P07704 3 1 Q9MGL5 Q8M0K7 Q9MDZ9 Q9MGM4 B0FWD7 P34844 P18935 Q9MFN9 P33501</t>
  </si>
  <si>
    <t xml:space="preserve">CYB_DROYA CYTOCHROME B DROSOPHILA YAKUBA MT CYT PE CYB_DROSE SECHELLIA CYB_SAMCR SAMIA CYNTHIA RICINI CYB CYB_DROSI SIMULANS CYB_DROMA MAURITIANA CYB_AEDAE AEDES AEGYPTI CYB_ANOGA ANOPHELES GAMBIAE CYB_DROME MELANOGASTER CYB_COLHO COCHLIOMYIA HOMINIVORAX CYB_ANOQU QUADRIMACULATUS </t>
  </si>
  <si>
    <t>Contig15620_1</t>
  </si>
  <si>
    <t xml:space="preserve"> CONTIG15620_1 GENEID_V1 3_PREDICTED_PROTEIN_1 40_AA</t>
  </si>
  <si>
    <t>Contig0_3</t>
  </si>
  <si>
    <t>mitochondrial Cytochrome b - Drosophila melanogaster - ubiquinol-cytochrome-c reductase activity - mitochondrial respiratory chain complex III</t>
  </si>
  <si>
    <t>CYTB e-111| CYTB 7e-091| CYTB 5e-088| CYTB 1e-087| CYTB 8e-087| CYTB 3e-083| CYTB 3e-082| CYTB 5e-082| CYTB 3e-081| CYTB 1e-080|</t>
  </si>
  <si>
    <t>sp|P31695|NOTC4_MOUSE</t>
  </si>
  <si>
    <t>P31695 NOTC4_MOUSE 4 NOTCH4 1 2 P35556 FBN2_HUMAN FBN2 3 Q61555 FBN2_MOUSE B2V895 YO3AOP1 Q7HKW1 Q7Y8L4 Q1XII1 Q9G9J7 Q34409 Q36654</t>
  </si>
  <si>
    <t xml:space="preserve">NEUROGENIC LOCUS NOTCH HOMOLOG MUS MUSCULUS PE FIBRILLIN HOMO SAPIENS AROK_SULSY SHIKIMATE KINASE SULFURIHYDROGENIBIUM STRAIN AROK CYB_ODORR CYTOCHROME B ODOBENUS ROSMARUS MT CYB CYB_MYOFR MYOTIS FRATER CYB_MEGGG MEGASOREX GIGAS CYB_GALMA GALAGO MATSCHIEI CYB_ERIBA ERIGNATHUS BARBATUS CYB_PIPSU PIPISTRELLUS SUBFLAVUS </t>
  </si>
  <si>
    <t>Contig17540_9</t>
  </si>
  <si>
    <t xml:space="preserve"> CONTIG17540_9 GENEID_V1 3_PREDICTED_PROTEIN_9 4992_AA CONTIG17839_2 3_PREDICTED_PROTEIN_2 194_AA CONTIG17748_18 3_PREDICTED_PROTEIN_18 1579_AA CONTIG17540_12 3_PREDICTED_PROTEIN_12 9992_AA CONTIG17728_65 3_PREDICTED_PROTEIN_65 113_AA CONTIG16927_1 3_PREDICTED_PROTEIN_1 4553_AA CONTIG17540_10 3_PREDICTED_PROTEIN_10 2241_AA CONTIG18020_42 3_PREDICTED_PROTEIN_42 390_AA CONTIG17820_33 3_PREDICTED_PROTEIN_33 1357_AA CONTIG18021_50 3_PREDICTED_PROTEIN_50 853_AA</t>
  </si>
  <si>
    <t>Contig17728_65</t>
  </si>
  <si>
    <t>Notch gene homolog 4 (Drosophila) - Mus musculus - embryonic development - Notch signaling pathway - patterning of blood vessels - morphogenesis of a branching structure - negative regulation of endothelial cell differentiation</t>
  </si>
  <si>
    <t>microfibril||collagen and cuticulin\-based cuticle extracellular matrix||proteinaceous extracellular matrix||extracellular matrix||apoplast||extracellular region</t>
  </si>
  <si>
    <t>GO:0001527</t>
  </si>
  <si>
    <t>embryonic limb morphogenesis||imaginal disc\-derived appendage morphogenesis||imaginal disc\-derived appendage development||plantlet formation on parent plant||multicellular organism reproduction||multicellular organismal process</t>
  </si>
  <si>
    <t>GO:0030326</t>
  </si>
  <si>
    <t>EB 0.003| PRK09031 0.040|</t>
  </si>
  <si>
    <t>sp|P37364|DEFI_PYRAP</t>
  </si>
  <si>
    <t xml:space="preserve"> Pyrrhocoris apterus</t>
  </si>
  <si>
    <t>P37364 1 O96049 P80407 Q5MQL3 DEF2_APIME 2 Q27023 P10891 P18313 Q10745 P83668 P83669</t>
  </si>
  <si>
    <t xml:space="preserve">DEFI_PYRAP DEFENSIN PYRRHOCORIS APTERUS PE DEFI_ORYRH ORYCTES RHINOCEROS DEFI_PALPR PALOMENA PRASINA APIS MELLIFERA DEFI_TENMO TENECIN TENEBRIO MOLITOR DEFI_PROTE PHORMICIN PROTOPHORMIA TERRAENOVAE SAPE_SARPE SAPECIN SARCOPHAGA PEREGRINA DEFI_ALLDI ALLOMYRINA DICHOTOMA DEFB_ANOCP B ANOMALA CUPREA DEFA_ANOCP A </t>
  </si>
  <si>
    <t>Contig17966_77</t>
  </si>
  <si>
    <t xml:space="preserve"> CONTIG17966_77 GENEID_V1 3_PREDICTED_PROTEIN_77 95_AA CONTIG17966_73 3_PREDICTED_PROTEIN_73 416_AA CONTIG17966_69 3_PREDICTED_PROTEIN_69 CONTIG17966_78 3_PREDICTED_PROTEIN_78 CONTIG17966_82 3_PREDICTED_PROTEIN_82 CONTIG17966_84 3_PREDICTED_PROTEIN_84 CONTIG17966_85 3_PREDICTED_PROTEIN_85 CONTIG16965_2 3_PREDICTED_PROTEIN_2 94_AA CONTIG17966_81 3_PREDICTED_PROTEIN_81 125_AA CONTIG17966_89 3_PREDICTED_PROTEIN_89 89_AA</t>
  </si>
  <si>
    <t>Defensin - Drosophila melanogaster - antibacterial humoral response - defense response to Gram-positive bacterium - defense response to bacterium - positive regulation of biosynthetic process of antibacterial peptides active against Gram-positive bacteria - extracellular space</t>
  </si>
  <si>
    <t>RNA polymerase II transcription factor activity||transcription regulator activity</t>
  </si>
  <si>
    <t>GO:0003702</t>
  </si>
  <si>
    <t>&amp;regulation of transcription||synaptic vesicle targeting||synaptic vesicle coating||synaptic vesicle priming||regulation of exocytosis||regulation of excretion||basophil degranulation||regulation of secretion||regulation of transport||spore wall biogenesis||female pigmentation||seed morphogenesis||head segmentation||lung development||eclosion rhythm||eclosion rhythm||enucleation||tube fusion||seed growth||innervation</t>
  </si>
  <si>
    <t>GO:0045449</t>
  </si>
  <si>
    <t>Defensin_2 2e-010| Knot1 6e-005|</t>
  </si>
  <si>
    <t>sp|Q54S43|SPT16_DICDI</t>
  </si>
  <si>
    <t>Q54S43 SPT16_DICDI SPT16 3 1</t>
  </si>
  <si>
    <t xml:space="preserve">FACT COMPLEX SUBUNIT DICTYOSTELIUM DISCOIDEUM PE </t>
  </si>
  <si>
    <t xml:space="preserve"> CONTIG17932_114 GENEID_V1 3_PREDICTED_PROTEIN_114 1331_AA CONTIG17767_26 3_PREDICTED_PROTEIN_26 336_AA CONTIG17940_6 3_PREDICTED_PROTEIN_6 392_AA CONTIG17916_215 3_PREDICTED_PROTEIN_215 390_AA CONTIG17656_9 3_PREDICTED_PROTEIN_9 304_AA CONTIG17732_60 3_PREDICTED_PROTEIN_60 1490_AA CONTIG17875_1 3_PREDICTED_PROTEIN_1 712_AA CONTIG17937_8 3_PREDICTED_PROTEIN_8 546_AA CONTIG17966_192 3_PREDICTED_PROTEIN_192 311_AA CONTIG17867_43 3_PREDICTED_PROTEIN_43 223_AA</t>
  </si>
  <si>
    <t>Contig12256_1</t>
  </si>
  <si>
    <t>FACT complex subunit SPT16 - Dictyostelium discoideum - regulation of chromatin assembly or disassembly - FACT complex - RNA polymerase II transcription elongation factor activity</t>
  </si>
  <si>
    <t>RNA polymerase II transcription elongation factor activity||transcription elongation regulator activity||transcription regulator activity</t>
  </si>
  <si>
    <t>transcription elongation regulator activity</t>
  </si>
  <si>
    <t>GO:0016944</t>
  </si>
  <si>
    <t>FACT complex||transcription elongation factor complex||terminal cisterna lumen||sarcoplasmic reticulum lumen||endoplasmic reticulum lumen||intracellular organelle lumen||intracellular non\-membrane\-bounded organelle||intracellular organelle||outer membrane\-bounded periplasmic space||external encapsulating structure part||cell part</t>
  </si>
  <si>
    <t>GO:0035101</t>
  </si>
  <si>
    <t>&amp;regulation of chromatin assembly or disassembly||regulation of sulfur amino acid metabolic process||regulation of alternative nuclear mRNA splicing\, via spliceosome||regulation of pyrimidine base metabolic process||regulation of pyrimidine base metabolic process||activation of tryptophan 5\-monooxygenase activity||regulation of alpha\-glucan metabolic process||formation of translation initiation complex||establishment of chromatin silencing||establishment of chromatin silencing||establishment of chromatin silencing||establishment of chromatin silencing||maintenance of chromatin silencing||maintenance of chromatin silencing||regulation of chromatin silencing||regulation of chromatin silencing||regulation of pteridine metabolic process||regulation of arginine metabolic process||vesicle targeting\, inter\-Golgi cisterna||mitochondrial protein processing during import||trichome branching||fibroblast growth factor receptor signaling pathway involved in lung induction||trophectodermal cell fate commitment||ascospore\-type prospore formation||satellite cell asymmetric division involved in skeletal muscle regeneration||auditory receptor cell development||gene conversion at mating\-type locus\, DNA double\-strand break processing||gene conversion at mating\-type locus\, DNA double\-strand break formation||myoblast cell fate specification involved in skeletal muscle regeneration||mesenchymal\-epithelial cell signaling involved in prostate induction||auditory receptor cell morphogenesis||corticospinal neuron axon guidance through the medullary pyramid||corticospinal neuron axon guidance through the internal capsule||corticospinal neuron axon guidance through the medullary pyramid||corticospinal neuron axon guidance through the internal capsule||regulation of collateral sprouting in the absence of injury||corticospinal neuron axon guidance through the spinal cord||establishment of synaptic specificity at neuromuscular junction||positive regulation of sperm motility involved in capacitation||corticospinal neuron axon guidance through the spinal cord||ovarian follicle cell adhesion||microglia development||astrocyte development||embryonic olfactory bulb interneuron precursor migration||regulation of collateral sprouting of injured axon||regulation of collateral sprouting of injured axon||cerebral cortex GABAergic interneuron fate commitment||neuroblast division||regulation of collateral sprouting of injured axon||dorsal lateral ganglionic eminence cell proliferation||regulation of collateral sprouting of injured axon||spindle pole body maturation||establishment of mitotic sister chromatid cohesion||establishment of mitotic sister chromatid cohesion||regulation of mitotic sister chromatid separation||regulation of meiotic joint molecule formation||attachment of telomeres to spindle pole body||attachment of telomeres to nuclear envelope||meiotic DNA double\-strand break formation||spindle assembly involved in male meiosis||female meiosis sister chromatid cohesion||meiosis II||meiotic sister chromatid arm separation||meiotic metaphase I plate congression||female meiosis chromosome segregation||regulation of linear element formation||meiotic metaphase I plate congression||mitotic anaphase||regulation of Ras GTPase activity||SMAD protein signal transduction||regulation of inhibin secretion||regulation of cell\-cell adhesion||muscle thin filament assembly||regulation of nuclear division||viral capsid re\-envelopment||viral capsid re\-envelopment||R3/R4 cell fate commitment||axon target recognition||viral capsid envelopment||viral capsid envelopment||lateral element assembly||angiotensin maturation||renal water transport||neural keel formation||cerebellum formation||mesoderm migration</t>
  </si>
  <si>
    <t>GO:0001672</t>
  </si>
  <si>
    <t xml:space="preserve"> CONTIG17812_36 GENEID_V1 3_PREDICTED_PROTEIN_36 388_AA CONTIG17812_34 3_PREDICTED_PROTEIN_34 322_AA CONTIG2653_3 3_PREDICTED_PROTEIN_3 73_AA CONTIG2653_1 3_PREDICTED_PROTEIN_1 232_AA CONTIG17812_37 3_PREDICTED_PROTEIN_37 304_AA CONTIG17971_32 3_PREDICTED_PROTEIN_32 475_AA CONTIG17621_27 3_PREDICTED_PROTEIN_27 2058_AA CONTIG17566_38 3_PREDICTED_PROTEIN_38 122_AA CONTIG17683_16 3_PREDICTED_PROTEIN_16 281_AA CONTIG17728_13 3_PREDICTED_PROTEIN_13 670_AA</t>
  </si>
  <si>
    <t>obstructor-J - Drosophila melanogaster - structural constituent of peritrophic membrane - chitin binding</t>
  </si>
  <si>
    <t>integrin binding||protein complex binding||protein binding||binding</t>
  </si>
  <si>
    <t>GO:0005178</t>
  </si>
  <si>
    <t>cell\-matrix adhesion||cell\-substrate adhesion||cell adhesion||biological adhesion</t>
  </si>
  <si>
    <t>GO:0007160</t>
  </si>
  <si>
    <t>CBM_14 0.021| ChtBD2 0.038|</t>
  </si>
  <si>
    <t>P33505 COX2_ANOQU 2 3 1 P00409 COX2_DROYA P29876 COX2_ONCFA P98048 COX2_YPOMA P29874 COX2_GALME P50253 COX2_DROSI P34840 COX2_ANOGA P84290 COX2_CHOPI P84289 COX2_CHOOC P84288 COX2_CHOFU</t>
  </si>
  <si>
    <t xml:space="preserve">CYTOCHROME C OXIDASE SUBUNIT ANOPHELES QUADRIMACULATUS COXII PE DROSOPHILA YAKUBA MT COII ONCOPELTUS FASCIATUS YPONOMEUTA MALINELLUS GALLERIA MELLONELLA SIMULANS GAMBIAE CHORISTONEURA PINUS OCCIDENTALIS FUMIFERANA </t>
  </si>
  <si>
    <t>COX2 1e-051| CyoA 2e-027|</t>
  </si>
  <si>
    <t>sp|Q8WUY3|PRUN2_HUMAN</t>
  </si>
  <si>
    <t>Q8WUY3 PRUN2_HUMAN 2 PRUNE2 1 3 Q1DR06 SET1_COCIM H3 4 SET1</t>
  </si>
  <si>
    <t xml:space="preserve">PRUNE HOMOLOG HOMO SAPIENS PE HISTONE LYSINE N METHYLTRANSFERASE SPECIFIC COCCIDIOIDES IMMITIS </t>
  </si>
  <si>
    <t>Contig18051_49</t>
  </si>
  <si>
    <t xml:space="preserve"> CONTIG18051_49 GENEID_V1 3_PREDICTED_PROTEIN_49 1093_AA CONTIG17644_47 3_PREDICTED_PROTEIN_47 309_AA CONTIG17644_52 3_PREDICTED_PROTEIN_52 310_AA CONTIG17644_51 3_PREDICTED_PROTEIN_51 275_AA CONTIG17644_48 3_PREDICTED_PROTEIN_48 282_AA CONTIG17644_46 3_PREDICTED_PROTEIN_46 386_AA CONTIG17872_32 3_PREDICTED_PROTEIN_32 325_AA CONTIG17644_49 316_AA CONTIG17644_44 3_PREDICTED_PROTEIN_44 274_AA CONTIG17151_25 3_PREDICTED_PROTEIN_25 319_AA</t>
  </si>
  <si>
    <t>Contig17644_46</t>
  </si>
  <si>
    <t>CG2663 - Drosophila melanogaster - vitamin E binding</t>
  </si>
  <si>
    <t>response to acid||response to chemical stimulus||response to stimulus</t>
  </si>
  <si>
    <t>GO:0001101</t>
  </si>
  <si>
    <t>sp|P13080|MALT_AEDAE</t>
  </si>
  <si>
    <t>P13080 MAL1 2 1 Q17058 MAL1_APIME O16098 MAL1_DROVI MAV1 3 P07192 MAL3_DROME P07190 MAL2_DROME P07191 MAL1_DROME O16099 MAL2_DROVI MAV2 Q07837 SLC31_HUMAN SLC3A1 Q64319 SLC31_RAT Q9Z3R8</t>
  </si>
  <si>
    <t xml:space="preserve">MALT_AEDAE PROBABLE MALTASE AEDES AEGYPTI PE ALPHA GLUCOSIDASE APIS MELLIFERA DROSOPHILA VIRILIS L MELANOGASTER LVPL H LVPH D LVPD NEUTRAL BASIC AMINO ACID TRANSPORT RBAT HOMO SAPIENS RATTUS NORVEGICUS AGLA_RHIME RHIZOBIUM MELILOTI AGLA </t>
  </si>
  <si>
    <t>Contig17590_29</t>
  </si>
  <si>
    <t xml:space="preserve"> CONTIG17590_29 GENEID_V1 3_PREDICTED_PROTEIN_29 567_AA CONTIG17590_30 3_PREDICTED_PROTEIN_30 614_AA CONTIG17918_10 3_PREDICTED_PROTEIN_10 727_AA CONTIG17899_124 3_PREDICTED_PROTEIN_124 956_AA CONTIG11273_1 3_PREDICTED_PROTEIN_1 182_AA CONTIG18049_53 3_PREDICTED_PROTEIN_53 2176_AA CONTIG17916_82 3_PREDICTED_PROTEIN_82 125_AA CONTIG17160_1 366_AA CONTIG17955_243 3_PREDICTED_PROTEIN_243 7630_AA CONTIG17959_23 3_PREDICTED_PROTEIN_23 584_AA</t>
  </si>
  <si>
    <t>CG14934 - Drosophila melanogaster - alpha-glucosidase activity</t>
  </si>
  <si>
    <t>AmyA 3e-020| PRK10933 8e-020| Alpha-amylase 2e-015| Aamy 4e-005| PRK09441 7e-005| GlgB 0.003| PRK10785 0.015| PRK03705 0.023| PRK10426 0.027| PulA 0.085|</t>
  </si>
  <si>
    <t>sp|Q27562|PSA1_DICDI</t>
  </si>
  <si>
    <t>Q27562 PSA1_DICDI 1 PSMA1 3 Q9R1P4 PSA1_MOUSE P18420 PSA1_RAT 2 Q4R3H2 PSA1_MACFA P25786 PSA1_HUMAN Q3T0X5 PSA1_BOVIN Q5REN2 PSA1_PONAB P12881 PSA1_DROME PROS35 O42265 PSA1_CHICK O96788 PSA1_TRYBR</t>
  </si>
  <si>
    <t xml:space="preserve">PROTEASOME SUBUNIT ALPHA TYPE DICTYOSTELIUM DISCOIDEUM PE MUS MUSCULUS RATTUS NORVEGICUS MACACA FASCICULARIS HOMO SAPIENS BOS TAURUS PONGO ABELII DROSOPHILA MELANOGASTER GALLUS TRYPANOSOMA BRUCEI RHODESIENSE </t>
  </si>
  <si>
    <t>Contig4158_3</t>
  </si>
  <si>
    <t xml:space="preserve"> CONTIG4158_3 GENEID_V1 3_PREDICTED_PROTEIN_3 274_AA CONTIG18066_5 3_PREDICTED_PROTEIN_5 251_AA CONTIG17851_99 3_PREDICTED_PROTEIN_99 247_AA CONTIG17728_124 3_PREDICTED_PROTEIN_124 235_AA CONTIG8967_14 3_PREDICTED_PROTEIN_14 256_AA CONTIG18068_44 3_PREDICTED_PROTEIN_44 CONTIG6445_2 3_PREDICTED_PROTEIN_2 230_AA CONTIG17971_19 3_PREDICTED_PROTEIN_19 161_AA CONTIG18047_225 3_PREDICTED_PROTEIN_225 278_AA CONTIG6646_5 86_AA</t>
  </si>
  <si>
    <t>Prosalpha6T - Drosophila melanogaster - endopeptidase activity - proteasome core complex</t>
  </si>
  <si>
    <t>proteasome_alpha_type_1 3e-053| proteasome_alpha 5e-039| Proteasome 3e-033| PRE1 2e-029| proteasome_alpha_type_2 2e-028| proteasome_protease_HslV 1e-026| PRK03996 1e-024| arc_protsome_A 3e-022| proteasome_alpha_type_7 9e-022| proteasome_alpha_type_3 7e-021|</t>
  </si>
  <si>
    <t>sp|O36966|POLN_DCVEB</t>
  </si>
  <si>
    <t xml:space="preserve"> Drosophila C virus (strain EB)</t>
  </si>
  <si>
    <t>O36966 ORF1 4 1 Q9IJX4 Q83034 Q91PP5 VT6 P29150 POL1_TORVR RNA1 2 P03600 POL1_CPMV Q680R8 CRR42_ARATH 42 43 44 45 46 47 48 49 50 51 52 53 54 CRRSP42 Q9SVI0 CRR41_ARATH 41 CRRSP41 3 Q05057 POLG_PYFV1 121 Q9LRK8 CRR29_ARATH 29 CRRSP29</t>
  </si>
  <si>
    <t xml:space="preserve">POLN_DCVEB REPLICASE POLYPROTEIN DROSOPHILA C VIRUS STRAIN EB PE POLN_CRPV CRICKET PARALYSIS POLG_RTSVA GENOME RICE TUNGRO SPHERICAL A POLG_RTSVT TOMATO RINGSPOT ISOLATE RASPBERRY COWPEA MOSAIC CYSTEINE RICH REPEAT SECRETORY ARABIDOPSIS THALIANA PARSNIP YELLOW FLECK P </t>
  </si>
  <si>
    <t>Contig11633_4</t>
  </si>
  <si>
    <t xml:space="preserve"> CONTIG11633_4 GENEID_V1 3_PREDICTED_PROTEIN_4 236_AA CONTIG13227_3 3_PREDICTED_PROTEIN_3 419_AA CONTIG3727_1 3_PREDICTED_PROTEIN_1 342_AA CONTIG17255_6 3_PREDICTED_PROTEIN_6 86_AA CONTIG17947_17 3_PREDICTED_PROTEIN_17 258_AA CONTIG17900_61 3_PREDICTED_PROTEIN_61 493_AA CONTIG17883_26 3_PREDICTED_PROTEIN_26 213_AA CONTIG17599_30 3_PREDICTED_PROTEIN_30 584_AA CONTIG17513_5 3_PREDICTED_PROTEIN_5 114_AA</t>
  </si>
  <si>
    <t>Contig17374_19</t>
  </si>
  <si>
    <t>Glutaminyl-tRNA synthetase - Drosophila melanogaster - glutaminyl-tRNA aminoacylation - glutamine-tRNA ligase activity - ATP binding</t>
  </si>
  <si>
    <t>RNA_dep_RNAP 2e-004|</t>
  </si>
  <si>
    <t>Contig17904_42</t>
  </si>
  <si>
    <t xml:space="preserve"> CONTIG17904_42 GENEID_V1 3_PREDICTED_PROTEIN_42 62_AA CONTIG2233_1 3_PREDICTED_PROTEIN_1 174_AA</t>
  </si>
  <si>
    <t>ND5 0.083|</t>
  </si>
  <si>
    <t>sp|P00940|TPIS_CHICK</t>
  </si>
  <si>
    <t>P00940 TPI1 1 2 Q90XG0 TPI1B Q7ZWN5 P48500 P17751 3 B0BM40 P00939 Q1MTI4 TPI1A P54714 P82204</t>
  </si>
  <si>
    <t xml:space="preserve">TPIS_CHICK TRIOSEPHOSPHATE ISOMERASE GALLUS PE TPISB_DANRE B DANIO RERIO TPIS_XENLA XENOPUS LAEVIS TPIS_RAT RATTUS NORVEGICUS TPIS_MOUSE MUS MUSCULUS TPIS_XENTR TROPICALIS TPIS_RABIT ORYCTOLAGUS CUNICULUS TPISA_DANRE A TPIS_CANFA CANIS FAMILIARIS TPIS_BOMMO BOMBYX MORI TPI </t>
  </si>
  <si>
    <t>Contig18070_346</t>
  </si>
  <si>
    <t xml:space="preserve"> CONTIG18070_346 GENEID_V1 3_PREDICTED_PROTEIN_346 249_AA CONTIG17887_115 3_PREDICTED_PROTEIN_115 568_AA CONTIG5530_6 3_PREDICTED_PROTEIN_6 341_AA CONTIG17889_35 3_PREDICTED_PROTEIN_35 394_AA CONTIG17848_124 3_PREDICTED_PROTEIN_124 134_AA CONTIG17947_53 3_PREDICTED_PROTEIN_53 434_AA CONTIG17827_80 3_PREDICTED_PROTEIN_80 799_AA CONTIG17337_6 1834_AA CONTIG17821_74 3_PREDICTED_PROTEIN_74 1334_AA CONTIG17662_12 3_PREDICTED_PROTEIN_12 294_AA</t>
  </si>
  <si>
    <t>triosephosphate isomerase 1 - Rattus norvegicus - triose-phosphate isomerase activity - protein binding - soluble fraction - nucleus - cytosol - carbohydrate metabolic process - glucose metabolic process - glycolysis - multicellular organismal development - embryonic development - isomerase activity - glyceraldehyde-3-phosphate metabolic process</t>
  </si>
  <si>
    <t>triose\-phosphate isomerase activity||intramolecular oxidoreductase activity\, interconverting aldoses and ketoses||intramolecular oxidoreductase activity||isomerase activity||catalytic activity</t>
  </si>
  <si>
    <t>GO:0004807</t>
  </si>
  <si>
    <t>carbohydrate metabolic process||primary metabolic process||metabolic process</t>
  </si>
  <si>
    <t>GO:0005975</t>
  </si>
  <si>
    <t>tpiA 4e-064| TIM 7e-062| TIM 8e-062| PTZ00333 2e-059| TpiA 7e-054| PRK13962 2e-047| tim 4e-030| PRK04302 3e-008|</t>
  </si>
  <si>
    <t>sp|Q0JF03|ARP9_ORYSJ</t>
  </si>
  <si>
    <t xml:space="preserve"> Oryza sativa subsp. japonica</t>
  </si>
  <si>
    <t>Q0JF03 ARP9_ORYSJ 9 ARP9 2 1 A2XQX0 ARP9_ORYSI O35945 AL1A7_MOUSE ALDH1A7 Q8RFG1 3 P13601 AL1A7_RAT</t>
  </si>
  <si>
    <t xml:space="preserve">ACTIN RELATED ORYZA SATIVA SUBSP JAPONICA PE INDICA ALDEHYDE DEHYDROGENASE CYTOSOLIC MUS MUSCULUS HUTI_FUSNN IMIDAZOLONEPROPIONASE FUSOBACTERIUM NUCLEATUM HUTI RATTUS NORVEGICUS </t>
  </si>
  <si>
    <t>Contig17914_3</t>
  </si>
  <si>
    <t xml:space="preserve"> CONTIG17914_3 GENEID_V1 3_PREDICTED_PROTEIN_3 226_AA CONTIG17909_100 3_PREDICTED_PROTEIN_100 246_AA CONTIG17914_1 3_PREDICTED_PROTEIN_1 463_AA CONTIG17914_2 3_PREDICTED_PROTEIN_2 441_AA CONTIG17909_101 002 CONTIG17849_54 3_PREDICTED_PROTEIN_54 223_AA CONTIG17849_53 0000000000002 CONTIG17833_30 3_PREDICTED_PROTEIN_30 229_AA CONTIG5598_2 215_AA CONTIG1709_3 207_AA</t>
  </si>
  <si>
    <t>Contig17914_2</t>
  </si>
  <si>
    <t>aldehyde dehydrogenase family 1, subfamily A7 - Mus musculus - retinoic acid metabolic process - aldehyde dehydrogenase (NAD) activity - cellular_component - retinal metabolic process</t>
  </si>
  <si>
    <t>aldehyde dehydrogenase (NAD) activity||oxidoreductase activity\, acting on the aldehyde or oxo group of donors\, NAD or NADP as acceptor||oxidoreductase activity\, acting on the aldehyde or oxo group of donors||oxidoreductase activity||catalytic activity</t>
  </si>
  <si>
    <t>GO:0004029</t>
  </si>
  <si>
    <t>retinoic acid metabolic process||retinoid metabolic process||diterpenoid metabolic process||terpenoid metabolic process||isoprenoid metabolic process||cellular lipid metabolic process||lipid metabolic process||primary metabolic process||metabolic process</t>
  </si>
  <si>
    <t>GO:0042573</t>
  </si>
  <si>
    <t>sp|P16116|ALDR_BOVIN</t>
  </si>
  <si>
    <t>P16116 AKR1B1 1 P07943 3 P80276 2 P15122 O08782 ALD2_CRIGR AKR1B8 P15121 Q1XAA8 AK1CN_HORSE C23 AKR1C23 P50578 AK1A1_PIG AKR1A1 P51857 AK1D1_HUMAN 5 4 AKR1D1 P45376</t>
  </si>
  <si>
    <t xml:space="preserve">ALDR_BOVIN ALDOSE REDUCTASE BOS TAURUS PE ALDR_RAT RATTUS NORVEGICUS ALDR_PIG SUS SCROFA ALDR_RABIT ORYCTOLAGUS CUNICULUS RELATED CRICETULUS GRISEUS ALDR_HUMAN HOMO SAPIENS ALDO KETO FAMILY MEMBER EQUUS CABALLUS ALCOHOL DEHYDROGENASE OXO BETA STEROID ALDR_MOUSE MUS MUSCULUS </t>
  </si>
  <si>
    <t>Contig5015_1</t>
  </si>
  <si>
    <t xml:space="preserve"> CONTIG5015_1 GENEID_V1 3_PREDICTED_PROTEIN_1 314_AA CONTIG1628_1 338_AA CONTIG17586_17 3_PREDICTED_PROTEIN_17 330_AA CONTIG17689_51 3_PREDICTED_PROTEIN_51 363_AA CONTIG17779_29 3_PREDICTED_PROTEIN_29 308_AA CONTIG17948_124 3_PREDICTED_PROTEIN_124 1515_AA CONTIG17798_31 3_PREDICTED_PROTEIN_31 615_AA</t>
  </si>
  <si>
    <t>CG6084 - Drosophila melanogaster - aldehyde reductase activity</t>
  </si>
  <si>
    <t>aldehyde reductase activity||aldo\-keto reductase activity||oxidoreductase activity\, acting on the CH\-OH group of donors\, NAD or NADP as acceptor||oxidoreductase activity\, acting on CH\-OH group of donors||oxidoreductase activity||catalytic activity</t>
  </si>
  <si>
    <t>GO:0004032</t>
  </si>
  <si>
    <t>sorbitol biosynthetic process||hexitol biosynthetic process||alditol biosynthetic process||cellular carbohydrate biosynthetic process||cellular carbohydrate metabolic process||carbohydrate metabolic process||primary metabolic process||metabolic process</t>
  </si>
  <si>
    <t>GO:0006061</t>
  </si>
  <si>
    <t>Aldo_ket_red 2e-045| ARA1 4e-041| Aldo_ket_red 5e-035| dkgA 4e-023| dkgB 2e-020| Tas 8e-011| PRK10376 0.008| cas_Csn1 0.018| COG4989 0.028|</t>
  </si>
  <si>
    <t>sp|Q5R8K6|RL35A_PONAB</t>
  </si>
  <si>
    <t>Q5R8K6 RL35A_PONAB 60S L35A RPL35A 3 1 P61272 RL35A_MACFA P18077 RL35A_HUMAN 2 P04646 RL35A_RAT O55142 RL35A_MOUSE Q56JY1 RL35A_BOVIN Q90YT3 RL35A_ICTPU P02434 RL35A_XENLA P49180 RL35A_CAEEL 33 Q9C912 R35A3_ARATH RPL35AC</t>
  </si>
  <si>
    <t xml:space="preserve">RIBOSOMAL PONGO ABELII PE MACACA FASCICULARIS HOMO SAPIENS RATTUS NORVEGICUS MUS MUSCULUS BOS TAURUS ICTALURUS PUNCTATUS XENOPUS LAEVIS CAENORHABDITIS ELEGANS RPL ARABIDOPSIS THALIANA </t>
  </si>
  <si>
    <t>Contig18035_25</t>
  </si>
  <si>
    <t>1CONTIG18035_25 GENEID_V1 3_PREDICTED_PROTEIN_25 170_AA CONTIG17798_11 3_PREDICTED_PROTEIN_11 762_AA CONTIG17560_11 624_AA CONTIG17384_9 3_PREDICTED_PROTEIN_9 165_AA</t>
  </si>
  <si>
    <t>Ribosomal protein L35A - Drosophila melanogaster - translation - structural constituent of ribosome - cytosolic large ribosomal subunit</t>
  </si>
  <si>
    <t>PTZ00041 3e-043| Ribosomal_L35Ae 8e-036| COG2451 5e-025| PRK04337 8e-014| PRK09138 4e-004| PRK13808 0.007| PRK12279 0.012| Hc1 0.012| PRK00708 0.016| DcuC 0.021|</t>
  </si>
  <si>
    <t>sp|A2A884|ZEP3_MOUSE</t>
  </si>
  <si>
    <t>A2A884 ZEP3_MOUSE HIVEP3 1 Q6AYN9 CA114_RAT C1ORF114 2 Q6P549 SHIP2_MOUSE 3 4 5 INPPL1 Q9NSV4 DIAP3_HUMAN DIAPH3 Q9WVR3 SHIP2_RAT Q5RJR4 ZN467_RAT 467 ZNF467 Q7Z7K2 ZN467_HUMAN P33479 IE18_SUHVK IE180 Q8JZL0 ZN467_MOUSE Q18GH1 RL15_HALWD 50S L15P 16790 RPL15P</t>
  </si>
  <si>
    <t xml:space="preserve">TRANSCRIPTION FACTOR MUS MUSCULUS PE UNCHARACTERIZED HOMOLOG RATTUS NORVEGICUS PHOSPHATIDYLINOSITOL TRISPHOSPHATE PHOSPHATASE DIAPHANOUS HOMO SAPIENS ZINC FINGER IMMEDIATE EARLY SUID HERPESVIRUS STRAIN KAPLAN IE RIBOSOMAL HALOQUADRATUM WALSBYI DSM </t>
  </si>
  <si>
    <t>Contig17523_11</t>
  </si>
  <si>
    <t xml:space="preserve"> CONTIG17523_11 GENEID_V1 3_PREDICTED_PROTEIN_11 389_AA CONTIG16266_1 3_PREDICTED_PROTEIN_1 1142_AA CONTIG13063_1 114_AA CONTIG18028_37 3_PREDICTED_PROTEIN_37 487_AA CONTIG17899_142 3_PREDICTED_PROTEIN_142 176_AA CONTIG18070_184 3_PREDICTED_PROTEIN_184 594_AA CONTIG17167_7 3_PREDICTED_PROTEIN_7 1045_AA CONTIG16521_1 1024_AA CONTIG17516_1 5145_AA CONTIG11856_1 178_AA</t>
  </si>
  <si>
    <t>Contig17970_618</t>
  </si>
  <si>
    <t>human immunodeficiency virus type I enhancer binding protein 3 - Mus musculus - nucleus - DNA binding - transcription activator activity - positive regulation of transcription</t>
  </si>
  <si>
    <t>ND5 0.001| DUF1980 0.037| N6_N4_Mtase 0.042| ND2 0.048|</t>
  </si>
  <si>
    <t xml:space="preserve"> Argas monolakensis</t>
  </si>
  <si>
    <t>Contig8233_1</t>
  </si>
  <si>
    <t xml:space="preserve"> CONTIG8233_1 GENEID_V1 3_PREDICTED_PROTEIN_1 24_AA CONTIG8160_1 CONTIG28128_1 CONTIG22677_1 CONTIG17967_134 3_PREDICTED_PROTEIN_134 1162_AA CONTIG17971_396 3_PREDICTED_PROTEIN_396 445_AA</t>
  </si>
  <si>
    <t>2-oxoglutarate dehydrogenase, E1 component - Geobacter sulfurreducens PCA - oxoglutarate dehydrogenase (succinyl-transferring) activity - tricarboxylic acid cycle - cytosolic oxoglutarate dehydrogenase complex</t>
  </si>
  <si>
    <t>oxoglutarate dehydrogenase (succinyl\-transferring) activity||oxidoreductase activity\, acting on the aldehyde or oxo group of donors\, disulfide as acceptor||oxidoreductase activity\, acting on the aldehyde or oxo group of donors||oxidoreductase activity||catalytic activity</t>
  </si>
  <si>
    <t>GO:0004591</t>
  </si>
  <si>
    <t>cytosolic oxoglutarate dehydrogenase complex||nuclear cyclin\-dependent protein kinase holoenzyme complex||cyclin\-dependent protein kinase holoenzyme complex||outer membrane\-bounded periplasmic space||external encapsulating structure part||cell part</t>
  </si>
  <si>
    <t>GO:0045248</t>
  </si>
  <si>
    <t>&lt;tricarboxylic acid cycle||positive regulation of abscisic acid biosynthetic process||positive regulation of abscisic acid biosynthetic process||positive regulation of abscisic acid biosynthetic process||negative regulation of thiamin diphosphate biosynthetic process||positive regulation of gamma\-delta T cell differentiation||negative regulation of cellular pH reduction||negative regulation of cellular pH reduction</t>
  </si>
  <si>
    <t>GO:0006099</t>
  </si>
  <si>
    <t>lnt 0.002| Spore_YabQ 0.028|</t>
  </si>
  <si>
    <t>sp|A4QJ97|MATK_AETCO</t>
  </si>
  <si>
    <t xml:space="preserve"> Aethionema cordifolium</t>
  </si>
  <si>
    <t>A4QJ97 3 1 Q5VH41</t>
  </si>
  <si>
    <t xml:space="preserve">MATK_AETCO MATURASE K AETHIONEMA CORDIFOLIUM MATK PE MATK_CAPHA CAPPARIS HASTATA </t>
  </si>
  <si>
    <t>Contig17945_26</t>
  </si>
  <si>
    <t xml:space="preserve"> CONTIG17945_26 GENEID_V1 3_PREDICTED_PROTEIN_26 975_AA</t>
  </si>
  <si>
    <t>Contig17965_89</t>
  </si>
  <si>
    <t>ND5 2e-006| 7TM_GPCR_Srz 4e-006| ND4 1e-005| ATP6 2e-005| ND4 2e-005| ND2 8e-005| ND6 3e-004| ND6 4e-004| ND1 5e-004| 7TMR-DISM_7TM 0.001|</t>
  </si>
  <si>
    <t>sp|P41496|FABPM_SCHGR</t>
  </si>
  <si>
    <t xml:space="preserve"> Schistocerca gregaria</t>
  </si>
  <si>
    <t>P41496 1 2 P41509 Q9U5P1 Q17284 O13008 FABP3 3 Q05423 FABP7_CHICK FABP7 O15540 FABP7_HUMAN Q09139 FABP7_BOVIN Q99P61 P55051 FABP7_RAT</t>
  </si>
  <si>
    <t xml:space="preserve">FABPM_SCHGR FATTY ACID BINDING MUSCLE SCHISTOCERCA GREGARIA PE FABPM_LOCMI LOCUSTA MIGRATORIA FABP_LEPDS LEPIDOGLYPHUS DESTRUCTOR FABP_BLOTA BLOMIA TROPICALIS FABPH_ONCMY HEART ONCORHYNCHUS MYKISS BRAIN GALLUS HOMO SAPIENS BOS TAURUS FABPH_SPETR SPERMOPHILUS TRIDECEMLINEATUS RATTUS NORVEGICUS </t>
  </si>
  <si>
    <t>Contig18021_45</t>
  </si>
  <si>
    <t xml:space="preserve"> CONTIG18021_45 GENEID_V1 3_PREDICTED_PROTEIN_45 135_AA CONTIG17562_36 3_PREDICTED_PROTEIN_36 2540_AA CONTIG17918_49 3_PREDICTED_PROTEIN_49 70_AA CONTIG6325_1 3_PREDICTED_PROTEIN_1 57_AA CONTIG17993_60 3_PREDICTED_PROTEIN_60 753_AA CONTIG17668_27 3_PREDICTED_PROTEIN_27 805_AA CONTIG10482_1 CONTIG17970_390 3_PREDICTED_PROTEIN_390 11585_AA CONTIG17585_3 3_PREDICTED_PROTEIN_3 1203_AA CONTIG17965_23 3_PREDICTED_PROTEIN_23 150_AA</t>
  </si>
  <si>
    <t>CG6783 - Drosophila melanogaster - fatty acid binding</t>
  </si>
  <si>
    <t>fatty acid binding||monocarboxylic acid binding||carboxylic acid binding||binding</t>
  </si>
  <si>
    <t>carboxylic acid binding</t>
  </si>
  <si>
    <t>GO:0005504</t>
  </si>
  <si>
    <t>startle response||neuromuscular process||neurological system process||system process||multicellular organismal process</t>
  </si>
  <si>
    <t>GO:0001964</t>
  </si>
  <si>
    <t>Lipocalin 2e-011| COG1266 0.002| RNA_polI_A34 0.005| COG5409 0.006| 7tm_4 0.006| Serpentine_recp 0.018| TatC 0.026| PRK11192 0.027| 7TMR-DISM_7TM 0.029| DUF1754 0.036|</t>
  </si>
  <si>
    <t>sp|P84185|ACT5C_ANOGA</t>
  </si>
  <si>
    <t>P84185 ACT5C_ANOGA 5C ACT5C 2 1 P84183 ACT4_BOMMO A4 P84184 ACT3B_HELAM A3B ACTA3B P10987 ACT1_DROME 4 P02572 ACT2_DROME 42A ACT42A 3 P18603 ACT4_ARTSX 403 Q25010 ACT3A_HELAM A3A ACTA3A P04829 ACT3_BOMMO A3 P41340 ACT3_LIMPO P53505 ACT5_XENLA 5</t>
  </si>
  <si>
    <t xml:space="preserve">ACTIN ANOPHELES GAMBIAE PE CYTOPLASMIC BOMBYX MORI HELICOVERPA ARMIGERA DROSOPHILA MELANOGASTER CLONE ARTEMIA LIMULUS POLYPHEMUS TYPE XENOPUS LAEVIS </t>
  </si>
  <si>
    <t>Contig16250_1</t>
  </si>
  <si>
    <t>1CONTIG16250_1 GENEID_V1 3_PREDICTED_PROTEIN_1 377_AA CONTIG16083_20 3_PREDICTED_PROTEIN_20 CONTIG10613_1 CONTIG17779_20 352_AA CONTIG17901_60 3_PREDICTED_PROTEIN_60 386_AA CONTIG17877_29 3_PREDICTED_PROTEIN_29 395_AA CONTIG17071_9 3_PREDICTED_PROTEIN_9 182_AA CONTIG17071_10 3_PREDICTED_PROTEIN_10 150_AA CONTIG17971_110 3_PREDICTED_PROTEIN_110 442_AA CONTIG17970_370 3_PREDICTED_PROTEIN_370</t>
  </si>
  <si>
    <t>Contig17779_20</t>
  </si>
  <si>
    <t>Actin 5C - Drosophila melanogaster - structural constituent of cytoskeleton - actin filament - cytoskeleton organization - sperm individualization - cytokinesis - Ino80 complex - phagocytosis, engulfment - maintenance of protein location in cell - lipid particle</t>
  </si>
  <si>
    <t>structural constituent of cytoskeleton||structural molecule activity</t>
  </si>
  <si>
    <t>structural constituent of cytoskeleton</t>
  </si>
  <si>
    <t>GO:0005200</t>
  </si>
  <si>
    <t>&lt;actin filament||contractile vacuole pore||core TFIIH complex portion of holo TFIIH complex||rDNA protrusion||outer kinetochore of condensed nuclear chromosome||outer kinetochore of condensed nuclear chromosome||glyoxysomal membrane||glyoxysomal membrane||mitochondrial glutamate synthase complex (NADH)||mitochondrial glutamate synthase complex (NADH)||UDP\-N\-acetylglucosamine transferase complex||Sec complex\-associated translocon complex||intrinsic to endoplasmic reticulum membrane||cytoplasmic part||UDP\-N\-acetylglucosamine transferase complex||Sec complex\-associated translocon complex||intrinsic to endoplasmic reticulum membrane||nuclear lamina||glycine\-gated chloride channel complex||Cdc48p\-Npl4p\-Ufd1p AAA ATPase complex||ionotropic glutamate receptor complex||clathrin coat of synaptic vesicle||intrinsic to plastid outer membrane||integral to plastid outer membrane||intrinsic to peroxisomal membrane||plasmodesmatal plasma membrane||oncostatin\-M receptor complex||integral to thylakoid membrane||succinate dehydrogenase complex||cyanelle thylakoid membrane||mitochondrial membrane part||Mdm10/Mdm12/Mmm1 complex||flagellar pocket membrane||signal peptidase complex||spindle pole centrosome||perichromatin fibrils||proplastid nucleoid||plastid chromosome||plastid chromosome||nucleoplasm part||nuclear membrane||RITS complex||Golgi cisterna||vesicle coat||CBF3 complex||stereocilium||snRNP U6||yolk plasma||C zone||C zone||aster||aster||mononeme||cell part</t>
  </si>
  <si>
    <t>GO:0005884</t>
  </si>
  <si>
    <t>cytoskeleton organization||organelle organization||cellular component organization</t>
  </si>
  <si>
    <t>GO:0007010</t>
  </si>
  <si>
    <t>Actin e-172| ACTIN e-170| ACTIN e-169| COG5277 e-122|</t>
  </si>
  <si>
    <t>Contig17471_13</t>
  </si>
  <si>
    <t xml:space="preserve"> CONTIG17471_13 GENEID_V1 3_PREDICTED_PROTEIN_13 321_AA CONTIG1437_2 3_PREDICTED_PROTEIN_2 827_AA CONTIG1437_1 3_PREDICTED_PROTEIN_1 440_AA CONTIG17471_11 3_PREDICTED_PROTEIN_11 355_AA CONTIG17471_10 3_PREDICTED_PROTEIN_10 1016_AA CONTIG17774_18 3_PREDICTED_PROTEIN_18 426_AA</t>
  </si>
  <si>
    <t>Contig9925_8</t>
  </si>
  <si>
    <t>7TM_GPCR_Srz 0.003| DUF443 0.032| PalH 0.040| DUF1229 0.062|</t>
  </si>
  <si>
    <t>Contig17942_134</t>
  </si>
  <si>
    <t xml:space="preserve"> CONTIG17942_134 GENEID_V1 3_PREDICTED_PROTEIN_134 1317_AA CONTIG17942_136 3_PREDICTED_PROTEIN_136 399_AA CONTIG17928_84 3_PREDICTED_PROTEIN_84 1952_AA CONTIG17818_55 3_PREDICTED_PROTEIN_55 335_AA CONTIG11979_1 3_PREDICTED_PROTEIN_1 991_AA</t>
  </si>
  <si>
    <t>Contig89_1</t>
  </si>
  <si>
    <t>RNA-binding protein Mde7 - Schizosaccharomyces pombe - RNA binding - meiosis - cytoplasm</t>
  </si>
  <si>
    <t>&lt;meiosis||S phase||I\-kappaB phosphorylation||synaptic vesicle priming||lateral element assembly||nucleosome disassembly||lamin depolymerization||equator specification||nucleosome disassembly||receptor clustering||viral DNA cleavage||receptor recycling</t>
  </si>
  <si>
    <t>GO:0007126</t>
  </si>
  <si>
    <t>lacY 0.055| ND5 0.071| DUF1007 0.090| DUF1754 0.098|</t>
  </si>
  <si>
    <t xml:space="preserve"> Branchiostoma floridae</t>
  </si>
  <si>
    <t>sp|Q8BG94|COMD7_MOUSE</t>
  </si>
  <si>
    <t>Q8BG94 COMD7_MOUSE 7 COMMD7 2 1 Q86VX2 COMD7_HUMAN Q3MHX1 COMD7_BOVIN Q86I14 COMD7_DICDI 4 Q9CZG3 COMD8_MOUSE 8 COMMD8 Q9NX08 COMD8_HUMAN Q2YB22 25196 11849 3 Q54CU8 COMD8_DICDI Q9Y6G5 10 COMMD10</t>
  </si>
  <si>
    <t xml:space="preserve">COMM DOMAIN CONTAINING MUS MUSCULUS PE HOMO SAPIENS BOS TAURUS DICTYOSTELIUM DISCOIDEUM SYV_NITMU VALYL TRNA SYNTHETASE NITROSOSPIRA MULTIFORMIS STRAIN ATCC NCIMB VALS COMDA_HUMAN </t>
  </si>
  <si>
    <t>Contig17909_38</t>
  </si>
  <si>
    <t xml:space="preserve"> CONTIG17909_38 GENEID_V1 3_PREDICTED_PROTEIN_38 277_AA CONTIG17899_108 3_PREDICTED_PROTEIN_108 915_AA CONTIG17738_11 3_PREDICTED_PROTEIN_11 1000_AA CONTIG17881_50 3_PREDICTED_PROTEIN_50 1392_AA CONTIG17521_14 3_PREDICTED_PROTEIN_14 410_AA</t>
  </si>
  <si>
    <t>Contig10589_7</t>
  </si>
  <si>
    <t>COMM domain containing 7 - Mus musculus - cellular_component - molecular_function - biological_process</t>
  </si>
  <si>
    <t>Commd7 2e-016| HCaRG 3e-008| Commd 7e-005| Commd4 0.004| ND4L 0.041| Commd3 0.044| ND5 0.058| YMF19 0.089|</t>
  </si>
  <si>
    <t>sp|Q9S597|C27AA_BACUH</t>
  </si>
  <si>
    <t xml:space="preserve"> Bacillus thuringiensis subsp. higo</t>
  </si>
  <si>
    <t>Q9S597 C27AA_BACUH CRY27AA 2 1</t>
  </si>
  <si>
    <t xml:space="preserve">PESTICIDAL CRYSTAL BACILLUS THURINGIENSIS SUBSP HIGO PE </t>
  </si>
  <si>
    <t>Contig17943_3</t>
  </si>
  <si>
    <t xml:space="preserve"> CONTIG17943_3 GENEID_V1 3_PREDICTED_PROTEIN_3 1289_AA CONTIG17836_29 3_PREDICTED_PROTEIN_29 1072_AA</t>
  </si>
  <si>
    <t>Contig18042_215</t>
  </si>
  <si>
    <t>F-box-containing protein, RhoGAP domain-containing protein, pleckstrin homology (PH) domain-containing protein - Dictyostelium discoideum - regulation of Rac protein signal transduction - intracellular - Rac GTPase activator activity</t>
  </si>
  <si>
    <t>Rac GTPase activator activity||Rho GTPase activator activity||Ras GTPase activator activity||small GTPase regulator activity||GTPase regulator activity||nucleoside\-triphosphatase regulator activity||enzyme regulator activity</t>
  </si>
  <si>
    <t>GO:0030675</t>
  </si>
  <si>
    <t>&amp;regulation of Rac protein signal transduction||G\-protein coupled receptor internalization||G\-protein coupled receptor internalization||regulation of mitotic centrosome separation||regulation of myosin II filament assembly||positive regulation of mitochondrial fusion||synaptic vesicle docking during exocytosis||regulation of sister chromatid segregation||meiotic sister chromatid arm separation||axon extension involved in regeneration||regulation of actin phosphorylation||positive regulation of RNA splicing||regulation of mating type switching||regulation of cellular respiration||telomeric 3' overhang formation||regulation of DNA recombination||meiotic heteroduplex formation||regulation of DNA replication||DNA replication termination||cyclooxygenase pathway||cyclooxygenase pathway||autophagic vacuole docking||synaptic vesicle priming||regulation of exocytosis||myelin maintenance||equator specification||cell fate specification||stem cell development||Nebenkern formation||cell fate commitment||neuron maturation||neuron maturation||cell wall assembly||male meiosis I||pollen adhesion||oocyte growth</t>
  </si>
  <si>
    <t>GO:0035020</t>
  </si>
  <si>
    <t>Contig17848_61</t>
  </si>
  <si>
    <t xml:space="preserve"> CONTIG17848_61 GENEID_V1 3_PREDICTED_PROTEIN_61 1378_AA CONTIG18046_16 3_PREDICTED_PROTEIN_16 587_AA CONTIG17364_7 3_PREDICTED_PROTEIN_7 1077_AA</t>
  </si>
  <si>
    <t>Contig17919_48</t>
  </si>
  <si>
    <t>Cytoplasmic serine/threonine protein kinase - Saccharomyces cerevisiae - G1/S transition of mitotic cell cycle - protein kinase activity - protein serine/threonine kinase activity - cytoplasm - protein amino acid phosphorylation</t>
  </si>
  <si>
    <t>&lt;G1/S transition of mitotic cell cycle||positive regulation of isotype switching||negative regulation of B cell differentiation||positive regulation of collateral sprouting in the absence of injury||regulation of small GTPase mediated signal transduction</t>
  </si>
  <si>
    <t>GO:0000082</t>
  </si>
  <si>
    <t>Borrelia_orfA 0.002| TatC 0.003| ArsB_NhaD_permease 0.005| COG5409 0.007| PRK11192 0.010| YMF19 0.011| DltB 0.011| DUF947 0.017| 7tm_4 0.024| Serpentine_recp 0.034|</t>
  </si>
  <si>
    <t>sp|B4YNE8|V8_SPTNK</t>
  </si>
  <si>
    <t xml:space="preserve"> Sputnik virophage</t>
  </si>
  <si>
    <t>B4YNE8 V8_SPTNK V8 1 O94494 SIM4_SCHPO SIM4 Q5R8H0 DNJB6_PONAB 6 DNAJB6 2 O75190 DNJB6_HUMAN Q6GGX3 MRSA252 4 A3M0E6 DEM1_PICST DEM1 3 P47661 Y422_MYCGE MG422 Q5F3Z5 DNJB6_CHICK Q4R7Y5 DNJB6_MACFA Q9U0M8 YPF06_PLAF7 PFA0635C 3D7</t>
  </si>
  <si>
    <t xml:space="preserve">STRUCTURAL SPUTNIK VIROPHAGE PE CENTROMERE SCHIZOSACCHAROMYCES POMBE DNAJ HOMOLOG SUBFAMILY B MEMBER PONGO ABELII HOMO SAPIENS EBH_STAAR EXTRACELLULAR MATRIX BINDING EBH STAPHYLOCOCCUS AUREUS STRAIN DEFECTS IN MORPHOLOGY MITOCHONDRIAL PICHIA STIPITIS UNCHARACTERIZED MYCOPLASMA GENITALIUM GALLUS MACACA FASCICULARIS PLASMODIUM FALCIPARUM ISOLATE </t>
  </si>
  <si>
    <t>Contig7471_3</t>
  </si>
  <si>
    <t xml:space="preserve"> CONTIG7471_3 GENEID_V1 3_PREDICTED_PROTEIN_3 195_AA CONTIG1850_2 57 CONTIG1850_4 3_PREDICTED_PROTEIN_4 198_AA CONTIG7471_2 3_PREDICTED_PROTEIN_2 411_AA CONTIG1850_5 3_PREDICTED_PROTEIN_5 285_AA CONTIG6246_5 760_AA CONTIG17706_33 3_PREDICTED_PROTEIN_33 734_AA CONTIG16510_1 3_PREDICTED_PROTEIN_1 647_AA CONTIG17966_116 3_PREDICTED_PROTEIN_116 286_AA CONTIG17280_3 740_AA</t>
  </si>
  <si>
    <t>kinetochore protein Sim4 - Schizosaccharomyces pombe - inner kinetochore of condensed chromosome - chromosome segregation - nucleus - chromatin silencing at centromere - cellular protein localization - protein binding - Mis6-Sim4 complex - kinetochore assembly - condensed chromosome, centromeric region - CenH3-containing nucleosome assembly at centromere - cytosol</t>
  </si>
  <si>
    <t>&lt;inner kinetochore of condensed chromosome||vacuolar proton\-transporting V\-type ATPase complex||inner kinetochore of condensed chromosome||inner kinetochore of condensed chromosome||pyrophosphate\-dependent phosphofructokinase complex\, alpha\-subunit complex||proton\-transporting ATP synthase\, catalytic core||proton\-transporting ATP synthase\, catalytic core||proton\-transporting ATP synthase\, central stalk||proton\-transporting ATP synthase\, stator stalk||sodium ion\-transporting two\-sector ATPase complex||pore complex||proton\-transporting ATP synthase\, stator stalk||mediator complex||centromere\-specific nucleosome||nuclear DNA replication factor C complex||nuclear DNA replication factor C complex||mitochondrial chromosome||signal recognition particle receptor complex||mitochondrial chromosome||mitochondrial pyruvate dehydrogenase complex||mitochondrial pyruvate dehydrogenase complex||organellar chromatophore thylakoid lumen||protein C inhibitor\-acrosin complex||thylakoid light\-harvesting complex||mitochondrial intermembrane space protein transporter complex||mitochondrial intermembrane space protein transporter complex||trans\-Golgi network transport vesicle membrane||PSII associated light\-harvesting complex II\, peripheral complex\, LHCIIb subcomplex||PSII associated light\-harvesting complex II\, peripheral complex\, LHCIIb subcomplex||PSII associated light\-harvesting complex II\, peripheral complex\, LHCIIb subcomplex||mitochondrial large ribosomal subunit||clathrin coat of trans\-Golgi network vesicle||mitochondrial matrix||clathrin coat of endocytic vesicle||delta DNA polymerase complex||delta DNA polymerase complex||Mis6\-Sim4 complex||chromosome\, centromeric core region||outer kinetochore of condensed chromosome||parasitophorous vacuolar membrane network||chloroplast photosystem II||chloroplast photosystem II||chloroplast photosystem I||chloroplast photosystem I||Tic complex||subrhabdomeral cisterna||AP\-1 adaptor complex||AP\-1 adaptor complex||PSII associated light\-harvesting complex II\, peripheral complex||PSII associated light\-harvesting complex II\, peripheral complex||mitochondrial proton\-transporting ATP synthase\, catalytic core||mitochondrial proton\-transporting ATP synthase\, central stalk||mitochondrial proton\-transporting ATP synthase\, catalytic core||mitochondrial proton\-transporting ATP synthase\, stator stalk||striated muscle thin filament||macropinocytic cup cytoskeleton||autophagic vacuole membrane||amyloplast starch grain||mitochondrial respiratory chain complex III||mitochondrial respiratory chain complex IV||mitochondrial respiratory chain complex I||mitochondrial crista||mitochondrial respiratory chain complex I||mitochondrial crista||ER proteasome regulatory particle\, base subcomplex||ER proteasome core complex\, beta\-subunit complex||COPI vesicle coat||endoplasmic reticulum membrane||high molecular weight kininogen receptor complex||proteasome regulatory particle\, base subcomplex||proteasome regulatory particle\, base subcomplex||nucleolar part||Sec complex\-associated translocon complex||intrinsic to endoplasmic reticulum membrane||actin capping protein of dynactin complex||condensed nuclear chromosome kinetochore||intermediate layer of spindle pole body||chiasma||platelet dense tubular network membrane||intrinsic to plastid outer membrane||integral to plastid outer membrane||plastid biotin carboxylase complex||chloroplast ATP synthase complex||snRNP U2||nuclear proteasome core complex||Swr1 complex||gamma DNA polymerase complex||mitochondrial membrane part||intrinsic to Golgi membrane||recycling endosome membrane||tertiary granule membrane||chromaffin granule lumen||peribacteroid membrane||clathrin vesicle coat||acidocalcisome membrane||peribacteroid fluid||COPII vesicle coat||melanosome membrane||chitosome membrane||plastid chromosome||proplastid stroma||etioplast stroma||cyanelle stroma||Toc complex||microbody part||yolk granule||snRNP U12||C zone||C zone||axon part</t>
  </si>
  <si>
    <t>GO:0000939</t>
  </si>
  <si>
    <t xml:space="preserve"> Agrotis ipsilon multiple nucleopolyhedrovirus</t>
  </si>
  <si>
    <t>Contig17887_106</t>
  </si>
  <si>
    <t xml:space="preserve"> CONTIG17887_106 GENEID_V1 3_PREDICTED_PROTEIN_106 116_AA CONTIG18061_180 3_PREDICTED_PROTEIN_180 697_AA</t>
  </si>
  <si>
    <t>CD97 antigen - Mus musculus - integral to membrane - transmembrane receptor activity</t>
  </si>
  <si>
    <t>transmembrane receptor activity||receptor activity||signal transducer activity||molecular transducer activity</t>
  </si>
  <si>
    <t>GO:0004888</t>
  </si>
  <si>
    <t>RNA_polI_A34 2e-008| PRK11192 3e-008| Serpentine_recp 2e-007| DUF1754 6e-007| eIF3_subunit 9e-007| TatC 1e-006| SURF6 1e-006| YfhO 1e-006| PRK04950 2e-006| YL1 2e-006|</t>
  </si>
  <si>
    <t>sp|Q6XIP0|NHP2_DROYA</t>
  </si>
  <si>
    <t>Q6XIP0 NHP2_DROYA 2 NHP2 1 Q9V3U2 NHP2_DROME Q6P8C4 NHP2_XENTR Q6NTV9 NHP2_XENLA Q6PBV6 NHP2_DANRE Q9CRB2 NHP2_MOUSE Q5E950 NHP2_BOVIN Q5RC65 NHP2_PONAB Q9NX24 NHP2_HUMAN Q60YI3 NHP2_CAEBR CBG18231 3</t>
  </si>
  <si>
    <t xml:space="preserve">H ACA RIBONUCLEOPROTEIN COMPLEX SUBUNIT LIKE DROSOPHILA YAKUBA PE MELANOGASTER XENOPUS TROPICALIS LAEVIS DANIO RERIO MUS MUSCULUS BOS TAURUS PONGO ABELII HOMO SAPIENS CAENORHABDITIS BRIGGSAE </t>
  </si>
  <si>
    <t>Contig18001_14</t>
  </si>
  <si>
    <t xml:space="preserve"> CONTIG18001_14 GENEID_V1 3_PREDICTED_PROTEIN_14 162_AA CONTIG17964_3 3_PREDICTED_PROTEIN_3 130_AA CONTIG17888_27 3_PREDICTED_PROTEIN_27 1492_AA CONTIG18045_61 3_PREDICTED_PROTEIN_61 155_AA</t>
  </si>
  <si>
    <t>Contig2403_3</t>
  </si>
  <si>
    <t>NHP2 - Drosophila melanogaster - nucleolus - rRNA pseudouridylation guide activity - snoRNA binding - small nucleolar ribonucleoprotein complex - rRNA processing - rRNA pseudouridine synthesis</t>
  </si>
  <si>
    <t>rRNA pseudouridylation guide activity||RNA pseudouridylation guide activity||RNA modification guide activity||base pairing with RNA||base pairing||nucleic acid binding||binding</t>
  </si>
  <si>
    <t>GO:0030559</t>
  </si>
  <si>
    <t>RPL8A 3e-011| Ribosomal_L7Ae 2e-010| rpl7ae 1e-006|</t>
  </si>
  <si>
    <t>sp|Q498C7|CD034_RAT</t>
  </si>
  <si>
    <t>Q498C7 CD034_RAT C4ORF34 2 1 Q5RF07 CD034_PONAB 4 Q96QK8 CD034_HUMAN Q2KIK3 CD034_BOVIN Q91VT8 CD034_MOUSE</t>
  </si>
  <si>
    <t xml:space="preserve">UNCHARACTERIZED HOMOLOG RATTUS NORVEGICUS PE PONGO ABELII HOMO SAPIENS BOS TAURUS MUS MUSCULUS </t>
  </si>
  <si>
    <t>Contig16785_1</t>
  </si>
  <si>
    <t xml:space="preserve"> CONTIG16785_1 GENEID_V1 3_PREDICTED_PROTEIN_1 42_AA CONTIG1298_1 CONTIG17909_98 3_PREDICTED_PROTEIN_98 1212_AA CONTIG17868_16 3_PREDICTED_PROTEIN_16 354_AA CONTIG17474_5 3_PREDICTED_PROTEIN_5 807_AA CONTIG17954_128 3_PREDICTED_PROTEIN_128 151_AA</t>
  </si>
  <si>
    <t>zgc:77713 - Danio rerio - cellular_component - biological_process - molecular_function</t>
  </si>
  <si>
    <t>7TMR-DISM_7TM 5e-005| 7tm_4 6e-005| Serpentine_recp 0.004| COG2194 0.005| TatC 0.007| DltB 0.026| Sre 0.026| YfhO 0.028| VanZ 0.048| Oxidored_q3 0.056|</t>
  </si>
  <si>
    <t>Q8SPI0 2 1 P49291 P51910 P05090 P37153 P51909 Q32KY0 P23593 P80007 CRA2_HOMGA A2 Q5ECE3</t>
  </si>
  <si>
    <t xml:space="preserve">APOD_MACFA APOLIPOPROTEIN D MACACA FASCICULARIS APOD PE LAZA_SCHAM LAZARILLO SCHISTOCERCA AMERICANA APOD_MOUSE MUS MUSCULUS APOD_HUMAN HOMO SAPIENS APOD_RABIT ORYCTOLAGUS CUNICULUS APOD_CAVPO CAVIA PORCELLUS APOD_BOVIN BOS TAURUS APOD_RAT RATTUS NORVEGICUS CRUSTACYANIN SUBUNIT HOMARUS GAMMARUS LOPAP_LONON LOPAP LONOMIA OBLIQUA </t>
  </si>
  <si>
    <t>Contig17106_8</t>
  </si>
  <si>
    <t xml:space="preserve"> CONTIG17106_8 GENEID_V1 3_PREDICTED_PROTEIN_8 213_AA CONTIG17106_7 3_PREDICTED_PROTEIN_7 CONTIG17106_6 3_PREDICTED_PROTEIN_6 175_AA CONTIG17512_3 3_PREDICTED_PROTEIN_3 207_AA CONTIG17106_5 3_PREDICTED_PROTEIN_5 101_AA CONTIG17733_29 3_PREDICTED_PROTEIN_29 116_AA CONTIG17089_8 189_AA CONTIG17797_35 3_PREDICTED_PROTEIN_35 204_AA CONTIG17908_6 924_AA CONTIG16933_3 223_AA</t>
  </si>
  <si>
    <t>Contig17106_7</t>
  </si>
  <si>
    <t>Lipocalin 2e-005| Triabin 0.008|</t>
  </si>
  <si>
    <t>&lt;angiogenesis||midbrain\-hindbrain boundary morphogenesis||inferior olivary nucleus structural organization||neuroblast division in the subpallium||neuroblast division in the subpallium||somatic diversification of T cell receptor genes||midbrain\-hindbrain boundary maturation during brain development||medulla oblongata development||interneuron sorting involved in substrate\-independent cerebral cortex tangential migration||cell\-substrate adhesion involved in tangential migration using cell\-cell interactions||cell\-substrate adhesion involved in tangential migration using cell\-cell interactions||regulation of vulval development||fibroblast growth factor receptor signaling pathway involved in mammary gland specification||regulation of transcription from RNA polymerase II promoter involved in lung bud formation||rostrocaudal neural tube patterning||trophectodermal cellular morphogenesis||imaginal disc\-derived wing expansion||luteinizing hormone signaling pathway||regulation of type I interferon production||biosynthetic process of antibacterial peptides active against Gram\-positive bacteria||positive regulation of growth or development of symbiont during interaction with host||response to pheromone during conjugation with cellular fusion||positive regulation of transcription initiation from RNA polymerase II promoter||ncRNA polyadenylation during polyadenylation\-dependent ncRNA catabolic process||regulation of cGMP metabolic process||DNA replication\, removal of RNA primer||meiotic DNA recombinase assembly involved in reciprocal meiotic recombination||gene conversion at mating\-type locus\, DNA double\-strand break processing||gene conversion at mating\-type locus\, DNA double\-strand break formation||gene conversion at mating\-type locus\, DNA double\-strand break formation||meiotic DNA repair synthesis involved in reciprocal meiotic recombination||regulation of ascospore wall 1\,3\-beta\-glucan biosynthetic process||regulation of specific transcription from RNA polymerase II promoter||transcription termination||regulation of specific transcription from RNA polymerase II promoter||regulation of eIF2 alpha phosphorylation by amino acid starvation||cyclization of asparagine\, during protein splicing||positive regulation of protein maturation by peptide bond cleavage||regulation of ascospore wall beta\-glucan biosynthetic process||regulation of heparan sulfate proteoglycan biosynthetic process||regulation of ascospore wall beta\-glucan biosynthetic process||maintenance of fidelity during DNA\-dependent DNA replication||negative regulation of N\-terminal protein palmitoylation||negative regulation of N\-terminal protein palmitoylation||positive regulation of mitochondrial RNA catabolic process||tRNA aminoacylation for mitochondrial protein translation||alignment of 3' and 5' splice sites of nuclear mRNA||recruitment of helicase\-primase complex to DNA lesions||regulation of protein amino acid autophosphorylation||regulation of protein amino acid autophosphorylation||positive regulation of vitamin D biosynthetic process||positive regulation of ethylene biosynthetic process||regulation of salicylic acid biosynthetic process||regulation of jasmonic acid biosynthetic process||regulation of chromatin silencing by small RNA||regulation of chromatin silencing by small RNA||DNA replication\, Okazaki fragment processing||regulation of reciprocal meiotic recombination||regulation of ubiquinone biosynthetic process||RNA elongation from mitochondrial promoter||regulation of antisense RNA transcription||regulation of glucan biosynthetic process||regulation of transcription termination||regulation of translational termination||regulation of translational initiation||regulation of protein desumoylation||regulation of protein desumoylation||regulation of histone modification||regulation of macrophage chemotaxis||regulation of mast cell chemotaxis||regulation of mast cell chemotaxis||regulation of exocyst localization||regulation of protein localization||regulation of protein transport||intracellular protein transport||regulation of anion transport||regulation of amine transport||synaptic vesicle targeting||detection of dietary excess||diet induced thermogenesis||response to dietary excess||synaptic vesicle budding||regulation of excretion||uterine wall growth||seed coat development||style development||style development||nectary development||head segmentation||lung development||eclosion rhythm||eclosion rhythm||enucleation||tube fusion||seed growth||innervation</t>
  </si>
  <si>
    <t>GO:0001525</t>
  </si>
  <si>
    <t>sp|P45594|CADF_DROME</t>
  </si>
  <si>
    <t>P45594 1 P30175 2 P37167 Q4P6E9 COF1 3 Q84TB3 ADF4_ORYSJ 4 ADF4 Q7XSN9 ADF6_ORYSJ 6 ADF6 Q41764 ADF3_MAIZE ADF3 Q96VU9 Q6FV81 Q6EUH7 ADF1_ORYSJ ADF1</t>
  </si>
  <si>
    <t xml:space="preserve">CADF_DROME COFILIN ACTIN DEPOLYMERIZING FACTOR HOMOLOG DROSOPHILA MELANOGASTER TSR PE ADF_LILLO LILIUM LONGIFLORUM ACTP_ACACA ACTOPHORIN ACANTHAMOEBA CASTELLANII COFI_USTMA USTILAGO MAYDIS ORYZA SATIVA SUBSP JAPONICA ZEA MAYS COFI_PICAN PICHIA ANGUSTA COFI_CANGA CANDIDA GLABRATA </t>
  </si>
  <si>
    <t>Contig17725_24</t>
  </si>
  <si>
    <t>1CONTIG17725_24 GENEID_V1 3_PREDICTED_PROTEIN_24 844_AA CONTIG18070_136 3_PREDICTED_PROTEIN_136 358_AA CONTIG17861_53 3_PREDICTED_PROTEIN_53 705_AA CONTIG18055_87 3_PREDICTED_PROTEIN_87 419_AA CONTIG4349_2 3_PREDICTED_PROTEIN_2 431_AA CONTIG3373_5 3_PREDICTED_PROTEIN_5 153_AA</t>
  </si>
  <si>
    <t>twinstar - Drosophila melanogaster - actin binding - actin filament depolymerization - border follicle cell migration - female gonad development - actin filament organization - cytokinesis - cytokinesis, contractile ring formation - actin filament polymerization - axonogenesis - mushroom body development - establishment of planar polarity - establishment of imaginal disc-derived wing hair orientation - establishment of ommatidial polarity - leg segmentation - regulation of lamellipodium assembly - compound eye development</t>
  </si>
  <si>
    <t>actin filament binding||actin binding||cytoskeletal protein binding||protein binding||binding</t>
  </si>
  <si>
    <t>GO:0051015</t>
  </si>
  <si>
    <t>&lt;ruffle||palmitoyltransferase complex||ER ubiquitin ligase complex||ER ubiquitin ligase complex||Schmidt\-Lanterman cleft||clathrin vesicle coat||plastid thylakoid lumen||chloroplast ribosome||amyloplast membrane||etioplast membrane||cyanelle membrane||nucleoplasm part||nuclear membrane||RITS complex||Golgi cisterna||vesicle coat||CBF3 complex||snRNP U12||actin rod||C zone||C zone||aster||aster||mononeme||cell part</t>
  </si>
  <si>
    <t>GO:0001726</t>
  </si>
  <si>
    <t>Cofilin_ADF 7e-027| ADF 2e-025| ADF 2e-024|</t>
  </si>
  <si>
    <t>sp|P82147|L2EFL_DROME</t>
  </si>
  <si>
    <t>P82147 L2EFL_DROME 2 1 P02510 Q7M2W6 P23927 Q5R9K0 P02511 Q60HG8 P23928 Q5ENY9 P05811</t>
  </si>
  <si>
    <t xml:space="preserve">LETHAL ESSENTIAL FOR LIFE DROSOPHILA MELANOGASTER L EFL PE CRYAB_BOVIN ALPHA CRYSTALLIN B CHAIN BOS TAURUS CRYAB CRYAB_PIG SUS SCROFA CRYAB_MOUSE MUS MUSCULUS CRYAB_PONAB PONGO ABELII CRYAB_HUMAN HOMO SAPIENS CRYAB_MACFA MACACA FASCICULARIS CRYAB_RAT RATTUS NORVEGICUS CRYAB_SHEEP OVIS ARIES CRYAB_MESAU MESOCRICETUS AURATUS </t>
  </si>
  <si>
    <t>Contig3102_2</t>
  </si>
  <si>
    <t xml:space="preserve"> CONTIG3102_2 GENEID_V1 3_PREDICTED_PROTEIN_2 185_AA CONTIG18028_63 3_PREDICTED_PROTEIN_63 196_AA CONTIG18028_62 3_PREDICTED_PROTEIN_62 188_AA CONTIG18059_49 3_PREDICTED_PROTEIN_49 190_AA CONTIG17930_51 3_PREDICTED_PROTEIN_51 223_AA CONTIG17861_24 3_PREDICTED_PROTEIN_24 203_AA CONTIG17710_42 3_PREDICTED_PROTEIN_42 1263_AA CONTIG17217_1 3_PREDICTED_PROTEIN_1 318_AA CONTIG17569_7 3_PREDICTED_PROTEIN_7 537_AA CONTIG17924_31 3_PREDICTED_PROTEIN_31 1180_AA</t>
  </si>
  <si>
    <t>lethal (2) essential for life - Drosophila melanogaster - embryonic development - response to heat</t>
  </si>
  <si>
    <t>structural constituent of eye lens||structural molecule activity</t>
  </si>
  <si>
    <t>structural constituent of eye lens</t>
  </si>
  <si>
    <t>GO:0005212</t>
  </si>
  <si>
    <t>insoluble fraction||cell fraction||cell part</t>
  </si>
  <si>
    <t>GO:0005626</t>
  </si>
  <si>
    <t>muscle organ development||nervous system development||gametophyte development||multicellular organismal development||multicellular organismal process</t>
  </si>
  <si>
    <t>GO:0007517</t>
  </si>
  <si>
    <t>alpha-crystallin-Hsps 9e-020| HSP20 2e-019| IbpA 1e-010| PRK10743 8e-004| MopB_Res-Cmplx1_Nad11-M 0.013| YfhO 0.016| PRK11597 0.075|</t>
  </si>
  <si>
    <t>sp|Q9C0A1|ZFHX2_HUMAN</t>
  </si>
  <si>
    <t>Q9C0A1 ZFHX2_HUMAN 2 ZFHX2 3</t>
  </si>
  <si>
    <t xml:space="preserve">ZINC FINGER HOMEOBOX HOMO SAPIENS PE </t>
  </si>
  <si>
    <t>Contig17920_121</t>
  </si>
  <si>
    <t xml:space="preserve"> CONTIG17920_121 GENEID_V1 3_PREDICTED_PROTEIN_121 328_AA CONTIG17965_281 3_PREDICTED_PROTEIN_281 509_AA CONTIG17595_15 3_PREDICTED_PROTEIN_15 373_AA CONTIG17665_13 3_PREDICTED_PROTEIN_13 CONTIG17806_68 3_PREDICTED_PROTEIN_68 279_AA CONTIG1802_1 3_PREDICTED_PROTEIN_1 CONTIG17626_51 3_PREDICTED_PROTEIN_51 CONTIG12200_6 3_PREDICTED_PROTEIN_6 265_AA CONTIG17963_55 3_PREDICTED_PROTEIN_55 96_AA CONTIG17896_83 3_PREDICTED_PROTEIN_83 453_AA</t>
  </si>
  <si>
    <t>Contig17294_2</t>
  </si>
  <si>
    <t>Uracil permease, localized to the plasma membrane - Saccharomyces cerevisiae - plasma membrane - uracil:cation symporter activity - uracil transport - membrane raft - transmembrane transport</t>
  </si>
  <si>
    <t>uracil\:cation symporter activity||uracil transmembrane transporter activity||pyrimidine transmembrane transporter activity||nucleobase transmembrane transporter activity||nucleobase\, nucleoside\, nucleotide and nucleic acid transmembrane transporter activity||substrate\-specific transmembrane transporter activity||substrate\-specific transporter activity||transporter activity</t>
  </si>
  <si>
    <t>GO:0015505</t>
  </si>
  <si>
    <t>uracil transport||pyrimidine transport||nucleobase transport||nucleobase\, nucleoside\, nucleotide and nucleic acid transport||transport||cellular localization||localization</t>
  </si>
  <si>
    <t>GO:0015857</t>
  </si>
  <si>
    <t>7TM_GPCR_Sru 5e-004| ND5 6e-004| ND2 0.012| ND4 0.037|</t>
  </si>
  <si>
    <t>sp|P07339|CATD_HUMAN</t>
  </si>
  <si>
    <t>P07339 1 Q805F2 2 P24268 P80209 Q05744 Q805F3 Q03168 AAEL006169 O76856 P18242 Q9DEX3</t>
  </si>
  <si>
    <t xml:space="preserve">CATD_HUMAN CATHEPSIN D HOMO SAPIENS CTSD PE CATEB_XENLA E B XENOPUS LAEVIS CTSE CATD_RAT RATTUS NORVEGICUS CATD_BOVIN BOS TAURUS CATD_CHICK GALLUS CATEA_XENLA A ASPP_AEDAE LYSOSOMAL ASPARTIC PROTEASE AEDES AEGYPTI CATD_DICDI DICTYOSTELIUM DISCOIDEUM CATD_MOUSE MUS MUSCULUS CATD_CLUHA CLUPEA HARENGUS </t>
  </si>
  <si>
    <t xml:space="preserve"> CONTIG17955_3 GENEID_V1 3_PREDICTED_PROTEIN_3 372_AA CONTIG5279_4 3_PREDICTED_PROTEIN_4 205_AA CONTIG808_2 3_PREDICTED_PROTEIN_2 629_AA CONTIG808_3 384_AA CONTIG808_4 389_AA CONTIG17697_6 3_PREDICTED_PROTEIN_6 399_AA CONTIG17577_45 3_PREDICTED_PROTEIN_45 239_AA CONTIG16285_5 3_PREDICTED_PROTEIN_5 400_AA CONTIG17964_97 3_PREDICTED_PROTEIN_97 CONTIG5656_3 202_AA</t>
  </si>
  <si>
    <t>cathepsin D - Rattus norvegicus - autophagic vacuole formation - endopeptidase activity - soluble fraction - mitochondrion - lysosome - proteolysis - autophagy - peptidase activity - peptide binding</t>
  </si>
  <si>
    <t>&lt;autophagic vacuole formation||inheritance of oxidatively modified proteins during replicative cell aging||positive regulation of Fc receptor mediated stimulatory signaling pathway||positive regulation of Fc receptor mediated stimulatory signaling pathway||regulation of vitamin D receptor signaling pathway||regulation of platelet\-derived growth factor receptor signaling pathway||regulation of erythrocyte clearance||acetylcholine catabolic process in synaptic cleft||anterior lateral line nerve development||epithelial cell type specification\, open tracheal system||epidermal cell fate specification||neurohypophysis development||neuron projection morphogenesis||forebrain dorsal/ventral pattern formation||adenohypophysis development||post\-embryonic ectodermal gut morphogenesis||smoothened signaling pathway involved in ventral spinal cord patterning||post\-embryonic ectodermal gut morphogenesis||positive regulation of symbiont invasive hypha formation in host||positive regulation of symbiont invasive hypha formation in host||regulation of RNA elongation from RNA polymerase II promoter||generation of mature 5'\-end of LSU\-rRNA from tricistronic rRNA transcript (SSU\-rRNA\, 5.8S rRNA\, LSU\-rRNA)||trans assembly of SL\-containing precatalytic spliceosome||somatic diversification of T cell receptor genes by N region addition||regulation of eIF2 alpha phosphorylation by endoplasmic reticulum stress||exonucleolytic trimming to generate mature 5'\-end of 5.8S rRNA from tricistronic rRNA transcript (SSU\-rRNA\, 5.8S rRNA\, LSU\-rRNA)||exonucleolytic trimming to generate mature 5'\-end of 5.8S rRNA from tricistronic rRNA transcript (SSU\-rRNA\, 5.8S rRNA\, LSU\-rRNA)||somatic diversification of T cell receptor genes by N region addition||T cell selection||regulation of adaptive immune response based on somatic recombination of immune receptors built from immunoglobulin superfamily domains||regulation of protein import into nucleus\, translocation||regulation of protein import into nucleus\, translocation||regulation of protein import into nucleus\, translocation||regulation of protein import into nucleus\, translocation||apposition of dorsal and ventral imaginal disc\-derived wing surfaces||somite rostral/caudal axis specification||epithelial cell migration\, open tracheal system||vagus nerve development||dichotomous subdivision of terminal units involved in lung branching||regulation of R8 cell spacing in compound eye||regulation of auditory receptor cell fate specification||post\-embryonic anterior midgut (ectodermal) morphogenesis||muscle fiber development||lung\-associated mesenchyme development||post\-embryonic anterior midgut (ectodermal) morphogenesis||regulation of adult salivary gland boundary specification||post\-embryonic anterior midgut (ectodermal) morphogenesis||post\-embryonic anterior midgut (ectodermal) morphogenesis||regulation of transcription from RNA polymerase II promoter involved in spinal cord anterior\-posterior patterning||Spemann organizer formation||compound eye cone cell fate specification||cell morphogenesis involved in neuron differentiation||nucleate erythrocyte maturation||nucleate erythrocyte maturation||maintenance of imaginal disc\-derived wing hair orientation||imaginal disc\-derived wing hair outgrowth||intermediate mesodermal cell fate specification||inferior olivary nucleus formation||inferior olivary nucleus formation||primary neural tube formation||imaginal disc\-derived leg joint morphogenesis||primary neural tube formation||regulation of epidermal cell differentiation||sarcomere organization||intermediate mesodermal cell differentiation||regulation of meristem growth||inner ear receptor cell differentiation involved in inner ear sensory epithelium regeneration||paraxial mesoderm structural organization||axial mesodermal cell fate specification||regulation of transcription from RNA polymerase II promoter involved in lung bud formation||prostate epithelial cord arborization involved in prostate glandular acinus morphogenesis||prostate epithelial cord arborization involved in prostate glandular acinus morphogenesis||oligodendrocyte progenitor proliferation||myelination in the central nervous system||gonadotrophin\-releasing hormone neuronal migration to the hypothalamus||auditory receptor cell fate commitment||hypoglossal nerve formation||oculomotor nerve formation||hypoglossal nerve structural organization||oculomotor nerve structural organization||chemorepulsion involved in postnatal olfactory bulb interneuron migration||chemoattraction involved in embryonic olfactory bulb interneuron migration||chemoattraction involved in embryonic olfactory bulb interneuron migration||dichotomous subdivision of terminal units involved in salivary gland branching||facial nerve structural organization||chemorepulsion involved in postnatal olfactory bulb interneuron migration||vagus nerve structural organization||sorocarp stalk cell differentiation||activation of prostate induction by androgen receptor signaling pathway||organ senescence||neuromast hair cell differentiation involved in neuromast regeneration||neural rod formation||mesenchymal\-endodermal cell signaling involved in lung induction||myotube cell development involved in skeletal muscle regeneration||epithelial cell proliferation involved in prostatic bud elongation||neural fold hinge point formation||tertiary branching involved in mammary gland duct morphogenesis||bud dilation involved in lung branching||bud dilation involved in lung branching||epithelial cell morphogenesis involved in placental branching||epithelial cell morphogenesis involved in placental branching||mesodermal cell migration||epithelial cell proliferation involved in lung bud dilation||negative regulation of retinal cone cell fate commitment||rhabdomere development||post\-embryonic retina morphogenesis in camera\-type eye||regulation of branchiomeric skeletal muscle development||long\-term strengthening of neuromuscular junction||long\-term strengthening of neuromuscular junction||long\-term strengthening of neuromuscular junction||cell adhesion involved in prostatic bud elongation||superior olivary nucleus structural organization||superior olivary nucleus structural organization||cell movement involved in somal translocation||optic nerve maturation||cell movement involved in somal translocation||cerebellar unipolar brush cell differentiation||regulation of epithelial cell differentiation||maintenance of imaginal histoblast diploidy||bud elongation involved in lung branching||paraxial mesodermal cell differentiation||bud elongation involved in lung branching||imaginal disc\-derived leg morphogenesis||retinal cone cell fate specification||eye photoreceptor cell fate commitment||eye photoreceptor cell differentiation||retinal cone cell fate commitment||lens induction in camera\-type eye||Malpighian tubule morphogenesis||embryonic hindgut morphogenesis||branch elongation of an epithelium||fish trap bristle morphogenesis||Malpighian tubule morphogenesis||embryonic hindgut morphogenesis||Lugaro cell differentiation||cerebellar cortex formation||R3/R4 cell fate commitment||olfactory placode formation||neural plate thickening||floor plate formation||neural fold folding||neural fold bending||neural fold folding||neural fold bending||dorsal convergence||face morphogenesis||head morphogenesis||lung induction||exocyst assembly||oocyte growth||cornification||enucleation||diapedesis</t>
  </si>
  <si>
    <t>GO:0000045</t>
  </si>
  <si>
    <t>Asp 2e-027| Serpentine_recp 0.029|</t>
  </si>
  <si>
    <t>sp|Q20255|TTC21_CAEEL</t>
  </si>
  <si>
    <t>Q20255 TTC21_CAEEL 21 ZK328 7 F40H6 3 2</t>
  </si>
  <si>
    <t xml:space="preserve">TETRATRICOPEPTIDE REPEAT HOMOLOG CAENORHABDITIS ELEGANS PE </t>
  </si>
  <si>
    <t>Contig17905_7</t>
  </si>
  <si>
    <t xml:space="preserve"> CONTIG17905_7 GENEID_V1 3_PREDICTED_PROTEIN_7 188_AA</t>
  </si>
  <si>
    <t>Contig17740_22</t>
  </si>
  <si>
    <t>nuclear factor of kappa light polypeptide gene enhancer in B-cells inhibitor, epsilon - Rattus norvegicus - molecular_function - protein binding - nucleus - nucleolus - Golgi apparatus - D-serine transport - perinuclear region of cytoplasm</t>
  </si>
  <si>
    <t>D\-serine transport||serine transport||neutral amino acid transport||amino acid transport||carboxylic acid transport||organic acid transport||transport||cellular localization||localization</t>
  </si>
  <si>
    <t>GO:0042942</t>
  </si>
  <si>
    <t>sp|Q8D2Z1|MURE_WIGBR</t>
  </si>
  <si>
    <t>Q8D2Z1 2 6 3 1</t>
  </si>
  <si>
    <t xml:space="preserve">MURE_WIGBR UDP N ACETYLMURAMOYL L ALANYL D GLUTAMATE DIAMINOPIMELATE LIGASE WIGGLESWORTHIA GLOSSINIDIA BREVIPALPIS MURE PE </t>
  </si>
  <si>
    <t>Contig17872_108</t>
  </si>
  <si>
    <t xml:space="preserve"> CONTIG17872_108 GENEID_V1 3_PREDICTED_PROTEIN_108 136_AA CONTIG17569_13 3_PREDICTED_PROTEIN_13 59_AA CONTIG17866_30 3_PREDICTED_PROTEIN_30 65_AA CONTIG17847_45 3_PREDICTED_PROTEIN_45 1134_AA</t>
  </si>
  <si>
    <t>Contig17556_1</t>
  </si>
  <si>
    <t>Contig16079_1</t>
  </si>
  <si>
    <t xml:space="preserve"> CONTIG16079_1 GENEID_V1 3_PREDICTED_PROTEIN_1 330_AA CONTIG17961_159 3_PREDICTED_PROTEIN_159 912_AA</t>
  </si>
  <si>
    <t>Contig18051_7</t>
  </si>
  <si>
    <t>7TM_GPCR_Srz 2e-007| ND4 2e-006| ND5 3e-006| ND6 5e-006| ND1 7e-006| ND4L 3e-005| ND6 5e-005| ND2 8e-005| DUF443 1e-004| ND3 1e-004|</t>
  </si>
  <si>
    <t>sp|P09460|HEMA_RINDL</t>
  </si>
  <si>
    <t xml:space="preserve"> Rinderpest virus (strain L)</t>
  </si>
  <si>
    <t>P09460 3 1</t>
  </si>
  <si>
    <t xml:space="preserve">HEMA_RINDL HEMAGGLUTININ GLYCOPROTEIN RINDERPEST VIRUS STRAIN L H PE </t>
  </si>
  <si>
    <t>Contig5661_1</t>
  </si>
  <si>
    <t xml:space="preserve"> CONTIG5661_1 GENEID_V1 3_PREDICTED_PROTEIN_1 294_AA CONTIG17392_21 3_PREDICTED_PROTEIN_21 428_AA CONTIG16408_7 3_PREDICTED_PROTEIN_7 139_AA CONTIG17861_7 398_AA CONTIG17355_25 3_PREDICTED_PROTEIN_25 122_AA CONTIG17899_96 3_PREDICTED_PROTEIN_96 83_AA CONTIG17914_10 3_PREDICTED_PROTEIN_10 388_AA CONTIG17891_131 3_PREDICTED_PROTEIN_131 93_AA CONTIG17102_15 3_PREDICTED_PROTEIN_15 179_AA CONTIG17899_106 3_PREDICTED_PROTEIN_106 150_AA</t>
  </si>
  <si>
    <t>zgc:113144 - Danio rerio - cellular_component</t>
  </si>
  <si>
    <t>Jacalin 0.087|</t>
  </si>
  <si>
    <t>Contig4113_1</t>
  </si>
  <si>
    <t>P37364 1 P80407 O96049 Q27023 P10891 2 Q10745 P17722 3 Q5J8R1 P83668 P83669</t>
  </si>
  <si>
    <t xml:space="preserve">DEFI_PYRAP DEFENSIN PYRRHOCORIS APTERUS PE DEFI_PALPR PALOMENA PRASINA DEFI_ORYRH ORYCTES RHINOCEROS DEFI_TENMO TENECIN TENEBRIO MOLITOR DEFI_PROTE PHORMICIN PROTOPHORMIA TERRAENOVAE DEFI_ALLDI ALLOMYRINA DICHOTOMA DEFI_APIME APIS MELLIFERA DEFI_APICA CARNICA DEFB_ANOCP B ANOMALA CUPREA DEFA_ANOCP A </t>
  </si>
  <si>
    <t>Contig17966_78</t>
  </si>
  <si>
    <t xml:space="preserve"> CONTIG17966_78 GENEID_V1 3_PREDICTED_PROTEIN_78 95_AA CONTIG17966_73 3_PREDICTED_PROTEIN_73 416_AA CONTIG17966_69 3_PREDICTED_PROTEIN_69 CONTIG17966_77 3_PREDICTED_PROTEIN_77 CONTIG17966_82 3_PREDICTED_PROTEIN_82 CONTIG17966_84 3_PREDICTED_PROTEIN_84 CONTIG17966_85 3_PREDICTED_PROTEIN_85 CONTIG17966_81 3_PREDICTED_PROTEIN_81 125_AA CONTIG16965_2 3_PREDICTED_PROTEIN_2 94_AA CONTIG17966_89 3_PREDICTED_PROTEIN_89 89_AA</t>
  </si>
  <si>
    <t>Contig17966_69</t>
  </si>
  <si>
    <t>Defensin_2 2e-010| Knot1 1e-005| Knot1 0.024| Photo_RC 0.098|</t>
  </si>
  <si>
    <t>sp|Q0P4G7|DOXA1_XENTR</t>
  </si>
  <si>
    <t>Q0P4G7 DOXA1_XENTR 1 DUOXA1 2 P34298 C06E1 3 Q6DDK3 DOXA1_XENLA Q1HG43 DOXA1_HUMAN Q9D311 DOXA2_MOUSE DUOXA2 Q1HG44 DOXA2_HUMAN Q8VE49 DOXA1_MOUSE P17139 CO4A1_CAEEL 9 4 Q9YJQ8 TIO_ATHV3 P12772 NU1M_PARLI ND1</t>
  </si>
  <si>
    <t xml:space="preserve">DUAL OXIDASE MATURATION FACTOR XENOPUS TROPICALIS PE DUOXA_CAEEL DUOXA LIKE CAENORHABDITIS ELEGANS LAEVIS HOMO SAPIENS MUS MUSCULUS COLLAGEN ALPHA IV CHAIN TIO ATELINE HERPESVIRUS NADH UBIQUINONE OXIDOREDUCTASE PARACENTROTUS LIVIDUS </t>
  </si>
  <si>
    <t>Contig17144_5</t>
  </si>
  <si>
    <t xml:space="preserve"> CONTIG17144_5 GENEID_V1 3_PREDICTED_PROTEIN_5 341_AA CONTIG17887_115 3_PREDICTED_PROTEIN_115 568_AA CONTIG17402_12 3_PREDICTED_PROTEIN_12 2275_AA CONTIG17887_117 3_PREDICTED_PROTEIN_117 743_AA CONTIG17803_16 3_PREDICTED_PROTEIN_16 1303_AA CONTIG17849_28 3_PREDICTED_PROTEIN_28 522_AA CONTIG17954_11 3_PREDICTED_PROTEIN_11 930_AA CONTIG17834_48 3_PREDICTED_PROTEIN_48 1838_AA CONTIG17635_38 3_PREDICTED_PROTEIN_38 1007_AA CONTIG18070_194 3_PREDICTED_PROTEIN_194 174_AA</t>
  </si>
  <si>
    <t>moladietz - Drosophila melanogaster - learning or memory - olfactory learning - asymmetric protein localization - protein binding - basal part of cell - plasma membrane</t>
  </si>
  <si>
    <t>basal part of cell||cell part</t>
  </si>
  <si>
    <t>basal part of cell</t>
  </si>
  <si>
    <t>GO:0045178</t>
  </si>
  <si>
    <t>learning or memory||cognition||neurological system process||system process||multicellular organismal process</t>
  </si>
  <si>
    <t>GO:0007611</t>
  </si>
  <si>
    <t>DuoxA 2e-077| HdeD 0.003| ubiA 0.039| TehA 0.097|</t>
  </si>
  <si>
    <t>sp|Q962Q7|RS23_SPOFR</t>
  </si>
  <si>
    <t>Q962Q7 RS23_SPOFR 40S S23 RPS23 2 1 Q6EV23 RS23_PAPDA Q8T3U2 RS23_DROME Q86FP7 RS23_DERVA Q9GRJ3 RS23_LUMRU P90707 RS23_BRUMA 23 Q90YQ1 RS23_ICTPU P62268 RS23_RAT 3 P62267 RS23_MOUSE P62266 RS23_HUMAN</t>
  </si>
  <si>
    <t xml:space="preserve">RIBOSOMAL SPODOPTERA FRUGIPERDA PE PAPILIO DARDANUS DROSOPHILA MELANOGASTER DERMACENTOR VARIABILIS LUMBRICUS RUBELLUS BRUGIA MALAYI RPS ICTALURUS PUNCTATUS RATTUS NORVEGICUS MUS MUSCULUS HOMO SAPIENS </t>
  </si>
  <si>
    <t>Contig17967_29</t>
  </si>
  <si>
    <t>1CONTIG17967_29 GENEID_V1 3_PREDICTED_PROTEIN_29 144_AA CONTIG17506_15 3_PREDICTED_PROTEIN_15 564_AA CONTIG235_5 3_PREDICTED_PROTEIN_5 488_AA CONTIG20875_1 3_PREDICTED_PROTEIN_1 195_AA CONTIG17728_16 3_PREDICTED_PROTEIN_16 899_AA CONTIG17537_11 3_PREDICTED_PROTEIN_11 647_AA CONTIG6255_1 416_AA CONTIG17894_51 3_PREDICTED_PROTEIN_51 905_AA CONTIG17622_3 3_PREDICTED_PROTEIN_3 1013_AA CONTIG18057_243 3_PREDICTED_PROTEIN_243 430_AA</t>
  </si>
  <si>
    <t>Ribosomal protein S23 - Drosophila melanogaster - translation - structural constituent of ribosome - cytosolic small ribosomal subunit</t>
  </si>
  <si>
    <t>PTZ00067 4e-082| Ribosomal_S23 3e-064| rps12P 2e-057| S23_S12_E_A 4e-048| Ribosomal_S12 2e-041| RpsL 2e-036| Ribosomal_S12_like 8e-035| Ribosomal_S12 2e-012| rps12 2e-009| rpsL_bact 2e-008|</t>
  </si>
  <si>
    <t>sp|O76756|RS8_APIME</t>
  </si>
  <si>
    <t>O76756 RS8_APIME 40S S8 RPS8 2 Q8WQI5 RS8_SPOFR 1 P62243 RS8_RAT P62242 RS8_MOUSE Q4R6P8 RS8_MACFA 3 P62241 RS8_HUMAN Q5E958 RS8_BOVIN Q7SYU0 RS8_XENLA P62247 RS8_DANRE Q90YR6 RS8_ICTPU</t>
  </si>
  <si>
    <t xml:space="preserve">RIBOSOMAL APIS MELLIFERA PE SPODOPTERA FRUGIPERDA RATTUS NORVEGICUS MUS MUSCULUS MACACA FASCICULARIS HOMO SAPIENS BOS TAURUS XENOPUS LAEVIS DANIO RERIO ICTALURUS PUNCTATUS </t>
  </si>
  <si>
    <t>Contig17558_45</t>
  </si>
  <si>
    <t xml:space="preserve"> CONTIG17558_45 GENEID_V1 3_PREDICTED_PROTEIN_45 213_AA CONTIG17350_5 3_PREDICTED_PROTEIN_5 508_AA CONTIG17988_24 3_PREDICTED_PROTEIN_24 667_AA CONTIG17925_88 3_PREDICTED_PROTEIN_88 749_AA CONTIG16646_1 3_PREDICTED_PROTEIN_1 541_AA CONTIG18026_15 3_PREDICTED_PROTEIN_15 329_AA</t>
  </si>
  <si>
    <t>ribosomal protein S8 - Rattus norvegicus - molecular_function - protein binding - cytosol - translational elongation - biological_process - cytosolic small ribosomal subunit</t>
  </si>
  <si>
    <t>PTZ00148 1e-098| Ribosomal_S8e 1e-048| S8e 3e-031| RPS8A 3e-028| PRK04049 2e-023| ND5 0.004| ND2 0.015| Ion_trans 0.018| ND6 0.031| ND4 0.033|</t>
  </si>
  <si>
    <t>sp|Q28XY0|FL2D_DROPS</t>
  </si>
  <si>
    <t>Q28XY0 FL2D_DROPS 2 3 Q9Y091 FL2D_DROME 1 Q7SXL7 FL2D_DANRE Q9ER69 FL2D_MOUSE Q15007 FL2D_HUMAN Q6P4K5 FL2D_XENTR Q4KLT6 FL2D_XENLA Q9ZSZ8 FIP37_ARATH FKBP12 37 FIP37 O08892 5HT1B_CAVPO 5 1B HTR1B Q60484 5HT1D_CAVPO 1D HTR1D</t>
  </si>
  <si>
    <t xml:space="preserve">PRE MRNA SPLICING REGULATOR FEMALE LETHAL D DROSOPHILA PSEUDOOBSCURA FL PE MELANOGASTER WTAP DANIO RERIO MUS MUSCULUS HOMO SAPIENS XENOPUS TROPICALIS LAEVIS INTERACTING KDA ARABIDOPSIS THALIANA HYDROXYTRYPTAMINE RECEPTOR CAVIA PORCELLUS </t>
  </si>
  <si>
    <t>Contig5571_22</t>
  </si>
  <si>
    <t xml:space="preserve"> CONTIG5571_22 GENEID_V1 3_PREDICTED_PROTEIN_22 409_AA CONTIG17976_139 3_PREDICTED_PROTEIN_139 1162_AA CONTIG17563_8 3_PREDICTED_PROTEIN_8 972_AA CONTIG18057_339 3_PREDICTED_PROTEIN_339 451_AA CONTIG9636_2 3_PREDICTED_PROTEIN_2 424_AA CONTIG16086_6 3_PREDICTED_PROTEIN_6 421_AA CONTIG17289_4 3_PREDICTED_PROTEIN_4 1509_AA</t>
  </si>
  <si>
    <t>female lethal d - Drosophila melanogaster - female germ-line sex determination - RNA splicing factor activity, transesterification mechanism - nucleus - primary sex determination, soma - regulation of alternative nuclear mRNA splicing, via spliceosome - sex determination</t>
  </si>
  <si>
    <t>female germ\-line sex determination||primary sex determination\, germ\-line||primary sex determination||sex determination||reproductive developmental process||reproduction of a single\-celled organism||reproduction</t>
  </si>
  <si>
    <t>GO:0019099</t>
  </si>
  <si>
    <t>Smc 7e-006| PRK11281 3e-005| MAD 5e-005| COG1579 4e-004| COG4717 0.001| Myosin_tail_1 0.001| Prefoldin_2 0.001| SbcC 0.002| Mod_r 0.004| ERM 0.006|</t>
  </si>
  <si>
    <t>Contig2077_3</t>
  </si>
  <si>
    <t xml:space="preserve"> CONTIG2077_3 GENEID_V1 3_PREDICTED_PROTEIN_3 527_AA</t>
  </si>
  <si>
    <t>Contig17624_3</t>
  </si>
  <si>
    <t>disulfide bond formation protein B - Colwellia psychrerythraea 34H - protein folding - disulfide oxidoreductase activity - integral to membrane</t>
  </si>
  <si>
    <t>disulfide oxidoreductase activity||oxidoreductase activity\, acting on sulfur group of donors||oxidoreductase activity||catalytic activity</t>
  </si>
  <si>
    <t>GO:0015036</t>
  </si>
  <si>
    <t>PRK11021 0.054| PAP2_glucose_6_phosphatase 0.096|</t>
  </si>
  <si>
    <t>sp|Q5M8Y1|SPCS2_XENTR</t>
  </si>
  <si>
    <t>Q5M8Y1 SPCS2_XENTR 2 SPCS2 1 Q9CYN2 SPCS2_MOUSE Q28250 SPCS2_CANFA Q5RAY6 SPCS2_PONAB Q4R512 SPCS2_MACFA Q15005 SPCS2_HUMAN 3 Q5BJI9 SPCS2_DANRE Q9VYY2 SPCS2_DROME SPASE25 Q9XWW1 SPCS2_CAEEL Y37D8A 10 Q615A2 SPCS2_CAEBR CBG15767</t>
  </si>
  <si>
    <t xml:space="preserve">PROBABLE SIGNAL PEPTIDASE COMPLEX SUBUNIT XENOPUS TROPICALIS PE MUS MUSCULUS CANIS FAMILIARIS PONGO ABELII MACACA FASCICULARIS HOMO SAPIENS DANIO RERIO DROSOPHILA MELANOGASTER CAENORHABDITIS ELEGANS BRIGGSAE </t>
  </si>
  <si>
    <t>Contig17852_10</t>
  </si>
  <si>
    <t>1CONTIG17852_10 GENEID_V1 3_PREDICTED_PROTEIN_10 194_AA CONTIG17946_191 3_PREDICTED_PROTEIN_191 65_AA CONTIG7554_1 3_PREDICTED_PROTEIN_1 409_AA CONTIG17307_9 3_PREDICTED_PROTEIN_9 886_AA CONTIG17715_7 3_PREDICTED_PROTEIN_7 1827_AA CONTIG17666_92 3_PREDICTED_PROTEIN_92 1490_AA</t>
  </si>
  <si>
    <t>Spase 25-subunit - Drosophila melanogaster - signal peptide processing - peptidase activity - signal peptidase complex - integral to membrane</t>
  </si>
  <si>
    <t>&lt;signal peptidase complex||clathrin vesicle coat||cytoplasmic vesicle part||peribacteroid fluid||COPII vesicle coat||melanosome membrane||chitosome membrane||troponin complex||troponin complex||cuticular plate||cell cortex part||radial spokehead||intracellular part||suberin network||lignin network||pectic matrix||Golgi membrane||axoneme part||cilium part||polarisome||aster||aster||conoid||conoid</t>
  </si>
  <si>
    <t>GO:0005787</t>
  </si>
  <si>
    <t>signal peptide processing||protein maturation by peptide bond cleavage||protein processing||protein maturation||protein metabolic process||biopolymer metabolic process||macromolecule metabolic process||metabolic process</t>
  </si>
  <si>
    <t>GO:0006465</t>
  </si>
  <si>
    <t>SPC25 1e-052| DUF6 0.039| Redoxin 0.041|</t>
  </si>
  <si>
    <t>sp|Q962S0|RS7_SPOFR</t>
  </si>
  <si>
    <t>Q962S0 RS7_SPOFR 40S S7 RPS7 2 1 P48155 RS7_MANSE Q9NB21 RS7_CULQU P62085 RS7_DROYA Q9VA91 RS7_DROME P33514 RS7_ANOGA P62083 RS7_RAT P62082 RS7_MOUSE P62081 RS7_HUMAN Q5RT64 RS7_FELCA</t>
  </si>
  <si>
    <t xml:space="preserve">RIBOSOMAL SPODOPTERA FRUGIPERDA PE MANDUCA SEXTA CULEX QUINQUEFASCIATUS DROSOPHILA YAKUBA MELANOGASTER ANOPHELES GAMBIAE RATTUS NORVEGICUS MUS MUSCULUS HOMO SAPIENS FELIS CATUS </t>
  </si>
  <si>
    <t>Contig17830_55</t>
  </si>
  <si>
    <t xml:space="preserve"> CONTIG17830_55 GENEID_V1 3_PREDICTED_PROTEIN_55 194_AA CONTIG17909_32 3_PREDICTED_PROTEIN_32 995_AA CONTIG17364_7 3_PREDICTED_PROTEIN_7 1077_AA CONTIG17950_110 3_PREDICTED_PROTEIN_110 2445_AA CONTIG17628_11 3_PREDICTED_PROTEIN_11 591_AA CONTIG18017_7 217_AA CONTIG17916_216 3_PREDICTED_PROTEIN_216 516_AA CONTIG18028_67 3_PREDICTED_PROTEIN_67 146_AA CONTIG18000_4 3_PREDICTED_PROTEIN_4 439_AA</t>
  </si>
  <si>
    <t>ribosomal protein S7 - Rattus norvegicus - molecular_function - protein binding - nucleolus - cytosol - ribosome - rRNA processing - translational elongation - biological_process - cytosolic small ribosomal subunit - ribosomal small subunit biogenesis</t>
  </si>
  <si>
    <t>Ribosomal_S7e 6e-033| Extensin_2 2e-004| HPC2 0.002| RNA_polI_A34 0.004| Drf_FH1 0.006| PRK06319 0.012| infB 0.014| DUF1754 0.027| VanZ 0.050| TatC 0.057|</t>
  </si>
  <si>
    <t xml:space="preserve"> Leishmania amazonensis</t>
  </si>
  <si>
    <t>P04540 NU5M_TRYBB 5 ND5 3 1 O21266 YMF16_RECAM YMF16 Q5RB85 B3A3_PONAB SLC4A3 2 P48751 B3A3_HUMAN B1MTL0 B3A3_CALMO</t>
  </si>
  <si>
    <t xml:space="preserve">NADH UBIQUINONE OXIDOREDUCTASE CHAIN TRYPANOSOMA BRUCEI PE UNCHARACTERIZED TATC LIKE RECLINOMONAS AMERICANA ANION EXCHANGE PONGO ABELII HOMO SAPIENS CALLICEBUS MOLOCH </t>
  </si>
  <si>
    <t>Contig17537_11</t>
  </si>
  <si>
    <t xml:space="preserve"> CONTIG17537_11 GENEID_V1 3_PREDICTED_PROTEIN_11 647_AA CONTIG17967_227 3_PREDICTED_PROTEIN_227 1388_AA CONTIG9182_3 3_PREDICTED_PROTEIN_3 283_AA CONTIG15981_4 3_PREDICTED_PROTEIN_4 988_AA CONTIG17593_2 3_PREDICTED_PROTEIN_2 469_AA CONTIG17970_464 3_PREDICTED_PROTEIN_464 175_AA CONTIG17970_82 3_PREDICTED_PROTEIN_82 165_AA CONTIG17966_170 3_PREDICTED_PROTEIN_170 209_AA CONTIG17906_85 3_PREDICTED_PROTEIN_85 1013_AA CONTIG17725_18 3_PREDICTED_PROTEIN_18 564_AA</t>
  </si>
  <si>
    <t>Contig17848_113</t>
  </si>
  <si>
    <t>7TM_GPCR_Srz 4e-005| ND5 3e-004| 2A0309 0.001| 7tm_7 0.009| Sre 0.029| Ion_trans 0.031| COG3936 0.031| ASFV_360 0.037| PSN 0.038| ND4 0.042|</t>
  </si>
  <si>
    <t>sp|Q9UKX7|NUP50_HUMAN</t>
  </si>
  <si>
    <t>Q9UKX7 NUP50_HUMAN NUP50 1 2 Q3E7X8 YE077_YEAST YEL077C Q86AC8 3 P40889 YJW5_YEAST YJL225C P40434 YIR7_YEAST YIL177C P53819 YRF16_YEAST 6 YRF1 O13559 YRF14_YEAST 4 P53345 YRF13_YEAST 7 P40105 YRF12_YEAST P24088 YRF11_YEAST 5 8</t>
  </si>
  <si>
    <t xml:space="preserve">NUCLEAR PORE COMPLEX HOMO SAPIENS PE Y ELEMENT ATP DEPENDENT HELICASE SACCHAROMYCES CEREVISIAE MYOG_DICDI MYOSIN G HEAVY CHAIN DICTYOSTELIUM DISCOIDEUM MYOG COPY COPIES </t>
  </si>
  <si>
    <t>Contig17350_13</t>
  </si>
  <si>
    <t xml:space="preserve"> CONTIG17350_13 GENEID_V1 3_PREDICTED_PROTEIN_13 427_AA CONTIG17792_45 3_PREDICTED_PROTEIN_45 2105_AA CONTIG8291_2 3_PREDICTED_PROTEIN_2 2867_AA CONTIG16378_1 3_PREDICTED_PROTEIN_1 830_AA CONTIG3216_2 1016_AA CONTIG17821_10 3_PREDICTED_PROTEIN_10 1979_AA CONTIG13159_14 3_PREDICTED_PROTEIN_14 2794_AA</t>
  </si>
  <si>
    <t>CG2158 - Drosophila melanogaster - nuclear pore - phagocytosis, engulfment</t>
  </si>
  <si>
    <t>helicase activity||nucleoside\-triphosphatase activity||pyrophosphatase activity||hydrolase activity\, acting on acid anhydrides\, in phosphorus\-containing anhydrides||hydrolase activity\, acting on acid anhydrides||hydrolase activity||catalytic activity</t>
  </si>
  <si>
    <t>GO:0004386</t>
  </si>
  <si>
    <t>NUP50 7e-010| ND6 0.002| ND5 0.003| Srg 0.016| ND2 0.022| AgrB 0.025| DltB 0.025| ATP6 0.026| ND4 0.028| 7TM_GPCR_Sru 0.033|</t>
  </si>
  <si>
    <t>sp|Q6XHI1|THIO2_DROYA</t>
  </si>
  <si>
    <t>Q6XHI1 THIO2_DROYA 2 3 1 Q9V429 THIO2_DROME P29451 P11232 P10639 O97508 Q8IFW4 Q09433 THIO1_CAEEL P08628 Q9BDJ3</t>
  </si>
  <si>
    <t xml:space="preserve">THIOREDOXIN DROSOPHILA YAKUBA TRX PE MELANOGASTER THIO_MACMU MACACA MULATTA TXN THIO_RAT RATTUS NORVEGICUS THIO_MOUSE MUS MUSCULUS THIO_HORSE EQUUS CABALLUS THIOT_DROME T TRXT CAENORHABDITIS ELEGANS THIO_RABIT ORYCTOLAGUS CUNICULUS THIO_CALJA CALLITHRIX JACCHUS </t>
  </si>
  <si>
    <t>Contig17970_682</t>
  </si>
  <si>
    <t xml:space="preserve"> CONTIG17970_682 GENEID_V1 3_PREDICTED_PROTEIN_682 434_AA CONTIG17724_12 3_PREDICTED_PROTEIN_12 427_AA CONTIG17804_136 3_PREDICTED_PROTEIN_136 254_AA CONTIG17565_5 3_PREDICTED_PROTEIN_5 197_AA CONTIG18022_26 3_PREDICTED_PROTEIN_26 135_AA CONTIG17131_10 3_PREDICTED_PROTEIN_10 398_AA CONTIG17922_32 3_PREDICTED_PROTEIN_32 218_AA CONTIG17894_43 3_PREDICTED_PROTEIN_43 529_AA CONTIG17942_139 3_PREDICTED_PROTEIN_139 1915_AA CONTIG4873_7 3_PREDICTED_PROTEIN_7 399_AA</t>
  </si>
  <si>
    <t>thioredoxin-2 - Drosophila melanogaster - disulfide oxidoreductase activity - cell redox homeostasis - cellular_component</t>
  </si>
  <si>
    <t>cell redox homeostasis||cellular homeostasis||homeostatic process||regulation of biological quality||biological regulation</t>
  </si>
  <si>
    <t>GO:0045454</t>
  </si>
  <si>
    <t>TRX_family 6e-019| Thioredoxin 9e-017| Extensin_2 3e-010| TRX_PICOT 2e-008| PDI_a_family 3e-007| PDI_a_ERp46 2e-006| TrxA 4e-006| PDI_a_ERp38 7e-006| ybbN 1e-005| COG3118 1e-005|</t>
  </si>
  <si>
    <t>sp|P0C9A6|VF113_ASFWA</t>
  </si>
  <si>
    <t xml:space="preserve"> African swine fever virus (isolate Warthog/Namibia/Wart80/1980)</t>
  </si>
  <si>
    <t>P0C9A6 VF113_ASFWA D1133L WART80 1980 116 3 1 P0C9A5 VF113_ASFP4 PR4 1996 118 Q89425 VF113_ASFM2 20 1983 114 Q89525 VF113_ASFB7 1971 BA71V 106 Q291E4 P0C9A7 VF113_ASFK5 50 1950 Q9DAM9 FANK1_MOUSE FANK1 Q8TC84 FANK1_HUMAN 2 Q66H07 FANK1_RAT Q6MD97 UWE25</t>
  </si>
  <si>
    <t xml:space="preserve">ATP DEPENDENT RNA HELICASE AFRICAN SWINE FEVER VIRUS ISOLATE WARTHOG NAMIBIA WAR PE TICK SOUTH AFRICA PRETORIUSKOP PRET MALAWI LIL MAL STRAIN BADAJOZ VERO ADAPTED VIR_DROPS VIRILIZER DROSOPHILA PSEUDOOBSCURA VIR PIG KENYA KEN FIBRONECTIN TYPE ANKYRIN REPEAT DOMAINS MUS MUSCULUS HOMO SAPIENS RATTUS NORVEGICUS CLPB_PARUW CHAPERONE CLPB PROTOCHLAMYDIA AMOEBOPHILA </t>
  </si>
  <si>
    <t xml:space="preserve"> CONTIG17934_11 GENEID_V1 3_PREDICTED_PROTEIN_11 270_AA CONTIG17849_53 0000000000002 CONTIG17849_51 3_PREDICTED_PROTEIN_51 208_AA CONTIG17775_33 3_PREDICTED_PROTEIN_33 747_AA CONTIG9717_1 3_PREDICTED_PROTEIN_1 228_AA CONTIG17450_5 3_PREDICTED_PROTEIN_5 497_AA CONTIG17870_58 3_PREDICTED_PROTEIN_58 1082_AA CONTIG17855_97 3_PREDICTED_PROTEIN_97 445_AA CONTIG17908_94 3_PREDICTED_PROTEIN_94 1138_AA</t>
  </si>
  <si>
    <t>Transcriptional activator related to Msn4p - Saccharomyces cerevisiae - replicative cell aging - age-dependent response to oxidative stress during chronological cell aging - transcription factor activity - nucleus - cytosol - response to stress - response to osmotic stress - response to oxidative stress - aging - response to water - heat acclimation - cellular response to heat - cellular response to glucose starvation - sequence-specific DNA binding - regulation of transcription from RNA polymerase II promoter in response to stress - response to freezing - response to hydrostatic pressure</t>
  </si>
  <si>
    <t>PRK07168 0.027|</t>
  </si>
  <si>
    <t>sp|P76254|YEAX_ECOLI</t>
  </si>
  <si>
    <t>P76254 K12 3 1 Q9HGY5 PHO85_CANAL PHO85 B8DV06 DNAA_BIFA0 AD011 O97237 YGCC1_PLAF7 PFC0235W 3D7 4 2 Q01969 Q55DL2 U558_DICDI UPF0558 DDB_G0270580 Q6BKQ1 YME2_DEBHA YME2 P37988 TGB1_CVB TGB1 ORF2 Q4ZY06 LLDD_PSEU2 B728A Q61335 BAP31_MOUSE 31 BCAP31</t>
  </si>
  <si>
    <t xml:space="preserve">YEAX_ECOLI DIOXYGENASE SUBUNIT BETA YEAX ESCHERICHIA COLI STRAIN PE NEGATIVE REGULATOR PHO SYSTEM CANDIDA ALBICANS CHROMOSOMAL REPLICATION INITIATOR DNAA BIFIDOBACTERIUM ANIMALIS SUBSP LACTIS GRIP COILED COIL DOMAIN CONTAINING PLASMODIUM FALCIPARUM ISOLATE OMPA_THEMA OUTER MEMBRANE ALPHA THERMOTOGA MARITIMA OMP DICTYOSTELIUM DISCOIDEUM MITOCHONDRIAL ESCAPE DEBARYOMYCES HANSENII HELICASE CHRYSANTHEMUM VIRUS B L LACTATE DEHYDROGENASE PSEUDOMONAS SYRINGAE PV LLDD CELL RECEPTOR ASSOCIATED MUS MUSCULUS </t>
  </si>
  <si>
    <t xml:space="preserve"> CONTIG7471_2 GENEID_V1 3_PREDICTED_PROTEIN_2 411_AA CONTIG1850_2 57 CONTIG7471_3 3_PREDICTED_PROTEIN_3 195_AA CONTIG1850_5 3_PREDICTED_PROTEIN_5 285_AA CONTIG1850_4 3_PREDICTED_PROTEIN_4 198_AA CONTIG18044_9 3_PREDICTED_PROTEIN_9 189_AA CONTIG5391_1 3_PREDICTED_PROTEIN_1 902_AA CONTIG6246_5 760_AA CONTIG18070_68 3_PREDICTED_PROTEIN_68 508_AA CONTIG17900_16 3_PREDICTED_PROTEIN_16 594_AA</t>
  </si>
  <si>
    <t>Contig18356_1</t>
  </si>
  <si>
    <t>exodeoxyribonuclease VII, large subunit - Colwellia psychrerythraea 34H - exodeoxyribonuclease VII complex</t>
  </si>
  <si>
    <t>protein amino acid acetylation||protein amino acid acylation||protein modification process||cellular protein metabolic process||cellular biopolymer metabolic process||cellular macromolecule metabolic process||macromolecule metabolic process||metabolic process</t>
  </si>
  <si>
    <t>GO:0006473</t>
  </si>
  <si>
    <t>ND5 5e-007| ND4 6e-005| 7TM_GPCR_Srz 0.003| ND5 0.016| ND5 0.023| COG5578 0.026| ND6 0.028| ND2 0.037| YMF19 0.047| COX3 0.053|</t>
  </si>
  <si>
    <t>Contig8592_6</t>
  </si>
  <si>
    <t xml:space="preserve"> CONTIG8592_6 GENEID_V1 3_PREDICTED_PROTEIN_6 631_AA CONTIG25033_1 3_PREDICTED_PROTEIN_1 29_AA CONTIG2148_1 196_AA</t>
  </si>
  <si>
    <t>Contig17942_3</t>
  </si>
  <si>
    <t>alpha-1,3-glucan synthase Mok13 - Schizosaccharomyces pombe - ascospore wall - prospore membrane - alpha-1,3-glucan synthase activity - alpha-amylase activity - 1,3-beta-glucan biosynthetic process - ascospore wall assembly - cellular response to stress</t>
  </si>
  <si>
    <t>alpha\-1\,3\-glucan synthase activity||transferase activity\, transferring hexosyl groups||transferase activity\, transferring glycosyl groups||transferase activity||catalytic activity</t>
  </si>
  <si>
    <t>GO:0047657</t>
  </si>
  <si>
    <t>ascospore wall||spore wall||cell wall||external encapsulating structure||cell part</t>
  </si>
  <si>
    <t>external encapsulating structure</t>
  </si>
  <si>
    <t>GO:0005619</t>
  </si>
  <si>
    <t>1\,3\-beta\-glucan biosynthetic process||beta\-glucan biosynthetic process||glucan biosynthetic process||cellular polysaccharide biosynthetic process||cellular biopolymer biosynthetic process||cellular macromolecule biosynthetic process||cellular macromolecule metabolic process||macromolecule metabolic process||metabolic process</t>
  </si>
  <si>
    <t>GO:0006075</t>
  </si>
  <si>
    <t>sp|Q8K927|TRMB_BUCAP</t>
  </si>
  <si>
    <t>Q8K927 7 3 1</t>
  </si>
  <si>
    <t xml:space="preserve">TRMB_BUCAP TRNA GUANINE N METHYLTRANSFERASE BUCHNERA APHIDICOLA SUBSP SCHIZAPHIS GRAMINUM TRMB PE </t>
  </si>
  <si>
    <t>Contig15674_1</t>
  </si>
  <si>
    <t xml:space="preserve"> CONTIG15674_1 GENEID_V1 3_PREDICTED_PROTEIN_1 239_AA</t>
  </si>
  <si>
    <t>Contig17877_79</t>
  </si>
  <si>
    <t>zgc:91858 - Danio rerio - biological_process - molecular_function</t>
  </si>
  <si>
    <t>Pox_G5 0.007|</t>
  </si>
  <si>
    <t>sp|Q8K991|TIG_BUCAP</t>
  </si>
  <si>
    <t>Q8K991 3 1 Q8I5P7 SYSC_PLAF7 3D7 PFL0770W Q54D44 PKS42_DICDI 42 PKS42 2 Q8RF47 Q98PH2 5 C6KSQ6 RAD50_PLAF7 RAD50 PFF0285C Q8IHS4 CCD1_PLAF7 PF11_0455 4 P47433 Y187_MYCGE MG187 Q8D265 Q8I659 YPF11_PLAF7 PFB0765W</t>
  </si>
  <si>
    <t xml:space="preserve">TIG_BUCAP TRIGGER FACTOR BUCHNERA APHIDICOLA SUBSP SCHIZAPHIS GRAMINUM TIG PE SERYL TRNA SYNTHETASE CYTOPLASMIC PLASMODIUM FALCIPARUM ISOLATE PROBABLE POLYKETIDE SYNTHASE DICTYOSTELIUM DISCOIDEUM AROB_FUSNN BIFUNCTIONAL DEHYDROQUINATE PHOSPHATASE FUSOBACTERIUM NUCLEATUM AROB MTLD_MYCPU MANNITOL PHOSPHATE DEHYDROGENASE MYCOPLASMA PULMONIS MTLD DNA REPAIR COILED COIL DOMAIN CONTAINING ABC TRANSPORTER ATP BINDING GENITALIUM SYS_WIGBR WIGGLESWORTHIA GLOSSINIDIA BREVIPALPIS SERS UNCHARACTERIZED </t>
  </si>
  <si>
    <t>Contig17306_22</t>
  </si>
  <si>
    <t xml:space="preserve"> CONTIG17306_22 GENEID_V1 3_PREDICTED_PROTEIN_22 1133_AA CONTIG16803_2 3_PREDICTED_PROTEIN_2 123_AA CONTIG11248_2 1004_AA CONTIG12326_1 3_PREDICTED_PROTEIN_1 378_AA CONTIG18022_10 3_PREDICTED_PROTEIN_10 790_AA CONTIG17818_66 3_PREDICTED_PROTEIN_66 361_AA CONTIG25563_1 49_AA CONTIG24882_1 85_AA CONTIG17938_89 3_PREDICTED_PROTEIN_89 792_AA CONTIG17618_15 3_PREDICTED_PROTEIN_15 179_AA</t>
  </si>
  <si>
    <t>Contig17793_24</t>
  </si>
  <si>
    <t>conserved domain protein - Campylobacter jejuni RM1221 - molecular_function - cellular_component - biological_process</t>
  </si>
  <si>
    <t>Serpentine_recp 3e-005| Borrelia_orfA 4e-005| TatC 5e-005| HyfB 7e-005| Pox_VERT_large 3e-004| Oxidored_q3 4e-004| COG0670 5e-004| Toxin_15 8e-004| MVIN 0.001| 7TMR-DISM_7TM 0.001|</t>
  </si>
  <si>
    <t>Contig17830_62</t>
  </si>
  <si>
    <t xml:space="preserve"> CONTIG17830_62 GENEID_V1 3_PREDICTED_PROTEIN_62 320_AA</t>
  </si>
  <si>
    <t>Contig17970_205</t>
  </si>
  <si>
    <t>sp|Q660D6|SYV_BORGA</t>
  </si>
  <si>
    <t xml:space="preserve"> Borrelia garinii</t>
  </si>
  <si>
    <t>Q660D6 3 1</t>
  </si>
  <si>
    <t xml:space="preserve">SYV_BORGA VALYL TRNA SYNTHETASE BORRELIA GARINII VALS PE </t>
  </si>
  <si>
    <t>Contig17380_44</t>
  </si>
  <si>
    <t xml:space="preserve"> CONTIG17380_44 GENEID_V1 3_PREDICTED_PROTEIN_44 514_AA CONTIG18015_46 3_PREDICTED_PROTEIN_46 755_AA</t>
  </si>
  <si>
    <t>Contig18047_189</t>
  </si>
  <si>
    <t>Cas_DxTHG 0.060|</t>
  </si>
  <si>
    <t>sp|Q93380|UNC93_CAEEL</t>
  </si>
  <si>
    <t>Q93380 UNC93_CAEEL 93 1 4 Q4L678 5 JCSC1435 3 Q9H2F3 3BHS7_HUMAN 7 HSD3B7 2</t>
  </si>
  <si>
    <t xml:space="preserve">POTASSIUM CHANNEL REGULATORY UNC CAENORHABDITIS ELEGANS PE TRPF_STAHJ N PHOSPHORIBOSYL ANTHRANILATE ISOMERASE STAPHYLOCOCCUS HAEMOLYTICUS STRAIN TRPF BETA HYDROXYSTEROID DEHYDROGENASE TYPE HOMO SAPIENS </t>
  </si>
  <si>
    <t>Contig17664_69</t>
  </si>
  <si>
    <t xml:space="preserve"> CONTIG17664_69 GENEID_V1 3_PREDICTED_PROTEIN_69 1338_AA CONTIG17851_22 3_PREDICTED_PROTEIN_22 2761_AA</t>
  </si>
  <si>
    <t>Contig18045_52</t>
  </si>
  <si>
    <t>Putative potassium channel regulatory protein unc-93 - Caenorhabditis elegans - protein binding - integral to plasma membrane - regulation of muscle contraction - potassium channel regulator activity - regulation of potassium ion transport</t>
  </si>
  <si>
    <t>&amp;regulation of muscle contraction||positive regulation of diuresis||regulation of saliva secretion||angiotensin maturation||regulation of seed germination||maintenance of seed dormancy||diet induced thermogenesis||response to dietary excess||neural fold folding||neural fold bending||neuropore closure||leaf morphogenesis||bronchus development||trachea formation||cornification||meristem growth||leaf formation||eclosion rhythm||pollen adhesion||diapedesis||seed growth||cornification||innervation</t>
  </si>
  <si>
    <t>GO:0006937</t>
  </si>
  <si>
    <t>ND5 2e-004| ND2 0.001| ND4 0.013| ATP6 0.015| 7TMR-DISM_7TM 0.031| C4dic_mal_tran 0.038| ND4 0.068| ND6 0.070| ATP_synt_6_or_A 0.085| ND6 0.096|</t>
  </si>
  <si>
    <t>sp|Q26456|ALL7_DERFA</t>
  </si>
  <si>
    <t xml:space="preserve"> Dermatophagoides farinae</t>
  </si>
  <si>
    <t>Q26456 ALL7_DERFA 7 DERF7 1 Q8MQJ9 2 Q2LVI3 3 A3DE07 27405 1237 Q6CKY3 RIM13</t>
  </si>
  <si>
    <t xml:space="preserve">MITE ALLERGEN DER F DERMATOPHAGOIDES FARINAE PE BRAT_DROME BRAIN TUMOR DROSOPHILA MELANOGASTER BRAT PYRC_SYNAS DIHYDROOROTASE SYNTROPHUS ACIDITROPHICUS STRAIN SB PYRC PYRC_CLOTH CLOSTRIDIUM THERMOCELLUM ATCC DSM PALB_KLULA CALPAIN LIKE PROTEASE PALB KLUYVEROMYCES LACTIS </t>
  </si>
  <si>
    <t xml:space="preserve"> CONTIG17849_53 0000000000002 CONTIG17849_51 GENEID_V1 3_PREDICTED_PROTEIN_51 208_AA CONTIG17849_54 3_PREDICTED_PROTEIN_54 223_AA CONTIG17849_52 3_PREDICTED_PROTEIN_52 217_AA CONTIG17909_100 3_PREDICTED_PROTEIN_100 246_AA CONTIG17914_1 3_PREDICTED_PROTEIN_1 463_AA CONTIG17914_3 3_PREDICTED_PROTEIN_3 226_AA CONTIG17914_2 3_PREDICTED_PROTEIN_2 441_AA CONTIG17895_68 3_PREDICTED_PROTEIN_68 1291_AA CONTIG17898_27 3_PREDICTED_PROTEIN_27 665_AA</t>
  </si>
  <si>
    <t>Contig17849_51</t>
  </si>
  <si>
    <t>brain tumor - Drosophila melanogaster - oogenesis - regulation of translation - protein binding - translation repressor activity - cytoplasm - rRNA metabolic process - rRNA transcription - translation regulator activity - regulation of cell cycle - neuroblast proliferation - basal cortex - apical cortex - asymmetric cell division - negative regulation of neuroblast proliferation - ganglion mother cell fate determination - phagocytosis, engulfment - segmentation - negative regulation of cell proliferation - brain development</t>
  </si>
  <si>
    <t>oogenesis||female gamete generation||gamete generation||reproduction of a single\-celled organism||reproduction</t>
  </si>
  <si>
    <t>GO:0048477</t>
  </si>
  <si>
    <t>Q26456 ALL7_DERFA 7 DERF7 1 P49273 ALL7_DERPT DERP7 Q2LVI3 3 Q8MQJ9 2 A3DE07 27405 1237 Q87KB6 Q7NYJ7 Q6CKY3 RIM13 Q47JC0 B0VAE1</t>
  </si>
  <si>
    <t xml:space="preserve">MITE ALLERGEN DER F DERMATOPHAGOIDES FARINAE PE P PTERONYSSINUS PYRC_SYNAS DIHYDROOROTASE SYNTROPHUS ACIDITROPHICUS STRAIN SB PYRC BRAT_DROME BRAIN TUMOR DROSOPHILA MELANOGASTER BRAT PYRC_CLOTH CLOSTRIDIUM THERMOCELLUM ATCC DSM ILVD_VIBPA DIHYDROXY ACID DEHYDRATASE VIBRIO PARAHAEMOLYTICUS ILVD ILVD_CHRVO CHROMOBACTERIUM VIOLACEUM PALB_KLULA CALPAIN LIKE PROTEASE PALB KLUYVEROMYCES LACTIS ILVD_DECAR DECHLOROMONAS AROMATICA RCB ILVD_ACIBY ACINETOBACTER BAUMANNII AYE </t>
  </si>
  <si>
    <t xml:space="preserve"> CONTIG17849_53 0000000000002 CONTIG17849_51 GENEID_V1 3_PREDICTED_PROTEIN_51 208_AA CONTIG17849_52 3_PREDICTED_PROTEIN_52 217_AA CONTIG17849_54 3_PREDICTED_PROTEIN_54 223_AA CONTIG17914_1 3_PREDICTED_PROTEIN_1 463_AA CONTIG17909_100 3_PREDICTED_PROTEIN_100 246_AA CONTIG17914_3 3_PREDICTED_PROTEIN_3 226_AA CONTIG17914_2 3_PREDICTED_PROTEIN_2 441_AA CONTIG17895_68 3_PREDICTED_PROTEIN_68 1291_AA CONTIG17898_27 3_PREDICTED_PROTEIN_27 665_AA</t>
  </si>
  <si>
    <t>sp|P10165|PRPG2_RAT</t>
  </si>
  <si>
    <t>P10165 PRPG2_RAT 2 PRPG2 1 Q7Z429 Q0I740 UPPP_SYNS3 CC9311 3 P05142 PRH1_MOUSE PRH1 P10164 PRP2_RAT PRP25 P05143 PRP2_MOUSE PRP2 Q8NIW7 Q6C0X2 DHH1_YARLI DHH1 Q8VIJ6 Q84ZL0 FH5_ORYSJ 5 FH5</t>
  </si>
  <si>
    <t xml:space="preserve">PROLINE RICH PROTEOGLYCAN RATTUS NORVEGICUS PE GRINA_HUMAN GLUTAMATE RECEPTOR ASSOCIATED HOMO SAPIENS GRINA UNDECAPRENYL DIPHOSPHATASE SYNECHOCOCCUS STRAIN UPPP HAEIII SUBFAMILY MUS MUSCULUS ACIDIC FRAGMENT BBP_NEUCR BRANCHPOINT BRIDGING NEUROSPORA CRASSA BPB ATP DEPENDENT RNA HELICASE YARROWIA LIPOLYTICA SFPQ_MOUSE SPLICING FACTOR GLUTAMINE SFPQ FORMIN LIKE ORYZA SATIVA SUBSP JAPONICA </t>
  </si>
  <si>
    <t>Contig17967_89</t>
  </si>
  <si>
    <t xml:space="preserve"> CONTIG17967_89 GENEID_V1 3_PREDICTED_PROTEIN_89 853_AA CONTIG17364_7 3_PREDICTED_PROTEIN_7 1077_AA CONTIG17947_2 3_PREDICTED_PROTEIN_2 693_AA CONTIG17877_113 3_PREDICTED_PROTEIN_113 335_AA CONTIG17889_38 3_PREDICTED_PROTEIN_38 469_AA CONTIG17464_1 3_PREDICTED_PROTEIN_1 346_AA CONTIG18046_16 3_PREDICTED_PROTEIN_16 587_AA CONTIG18034_79 3_PREDICTED_PROTEIN_79 362_AA CONTIG13482_6 3_PREDICTED_PROTEIN_6 343_AA CONTIG17945_90 3_PREDICTED_PROTEIN_90 1069_AA</t>
  </si>
  <si>
    <t>Contig17769_5</t>
  </si>
  <si>
    <t>Protein Y63D3A.5, confirmed by transcript evidence - Caenorhabditis elegans - protein binding</t>
  </si>
  <si>
    <t>CRPV_capsid 2e-012| RNA_polI_A34 6e-008| PRK11192 6e-008| PRK04950 5e-007| DUF1754 2e-006| YL1 2e-006| RNase_H2-Ydr279 9e-006| PRK09138 1e-005| PRK06319 1e-005| eIF3_subunit 2e-005|</t>
  </si>
  <si>
    <t>sp|P47455|SCPA_MYCGE</t>
  </si>
  <si>
    <t xml:space="preserve"> Mycoplasma genitalium</t>
  </si>
  <si>
    <t>P47455 3 1 Q6A039 TBC12_MOUSE TBC1 12 TBC1D12 2 O60347 TBC12_HUMAN</t>
  </si>
  <si>
    <t xml:space="preserve">SCPA_MYCGE SEGREGATION CONDENSATION A MYCOPLASMA GENITALIUM SCPA PE DOMAIN FAMILY MEMBER MUS MUSCULUS HOMO SAPIENS </t>
  </si>
  <si>
    <t>Contig18051_122</t>
  </si>
  <si>
    <t xml:space="preserve"> CONTIG18051_122 GENEID_V1 3_PREDICTED_PROTEIN_122 1003_AA CONTIG17865_3 3_PREDICTED_PROTEIN_3 365_AA CONTIG17879_71 3_PREDICTED_PROTEIN_71 1342_AA CONTIG16685_3 1266_AA CONTIG18070_158 3_PREDICTED_PROTEIN_158 467_AA CONTIG3744_2 3_PREDICTED_PROTEIN_2 184_AA CONTIG17959_109 3_PREDICTED_PROTEIN_109 628_AA</t>
  </si>
  <si>
    <t>Contig17479_6</t>
  </si>
  <si>
    <t>Contig17917_46</t>
  </si>
  <si>
    <t xml:space="preserve"> CONTIG17917_46 GENEID_V1 3_PREDICTED_PROTEIN_46 398_AA</t>
  </si>
  <si>
    <t>Contig17712_23</t>
  </si>
  <si>
    <t>PRK02975 0.001| Spore_permease 0.006| 7tm_4 0.007| Serpentine_recp 0.033| STT3 0.035| NolL 0.060| Borrelia_orfA 0.083| Got1 0.086|</t>
  </si>
  <si>
    <t>Q93380 UNC93_CAEEL 93 1 4 P58612 Y1037_NOSS1 UPF0182 ALR1037 7120 2576 3 Q8R973 Q3M6T7 Y3693_ANAVT AVA_3693 29413 7937 Q02834 A5CEC9 Q9U943 2 C3N8C3 57 14 #1 C3NJA0 15 51 #2 C3MTS7 25</t>
  </si>
  <si>
    <t xml:space="preserve">POTASSIUM CHANNEL REGULATORY UNC CAENORHABDITIS ELEGANS PE NOSTOC STRAIN PCC UTEX DEOD_THETN PURINE NUCLEOSIDE PHOSPHORYLASE DEOD TYPE THERMOANAEROBACTER TENGCONGENSIS ANABAENA VARIABILIS ATCC NANH_MICVI SIALIDASE MICROMONOSPORA VIRIDIFACIENS NEDA GATB_ORITB ASPARTYL GLUTAMYL TRNA ASN GLN AMIDOTRANSFERASE SUBUNIT B ORIENTIA TSUTSUGAMUSHI BORYONG GATB APLP_LOCMI APOLIPOPHORINS LOCUSTA MIGRATORIA CAPPA_SULIY PHOSPHOENOLPYRUVATE CARBOXYLASE SULFOLOBUS ISLANDICUS Y G YELLOWSTONE PPCA CAPPA_SULIN N CAPPA_SULIM M KAMCHATKA </t>
  </si>
  <si>
    <t xml:space="preserve"> CONTIG17963_39 GENEID_V1 3_PREDICTED_PROTEIN_39 226_AA CONTIG17963_37 3_PREDICTED_PROTEIN_37 234_AA CONTIG17700_53 3_PREDICTED_PROTEIN_53 238_AA CONTIG18070_163 3_PREDICTED_PROTEIN_163 236_AA CONTIG17896_50 3_PREDICTED_PROTEIN_50 247_AA CONTIG17797_42 3_PREDICTED_PROTEIN_42 245_AA CONTIG17896_53 201_AA CONTIG17887_148 3_PREDICTED_PROTEIN_148 255_AA CONTIG16829_2 3_PREDICTED_PROTEIN_2 1093_AA CONTIG17797_50 256_AA</t>
  </si>
  <si>
    <t>JHBP 6e-011| DUF233 6e-004|</t>
  </si>
  <si>
    <t>sp|P58612|Y1037_NOSS1</t>
  </si>
  <si>
    <t xml:space="preserve"> Nostoc sp. (strain PCC 7120 / UTEX 2576)</t>
  </si>
  <si>
    <t>P58612 Y1037_NOSS1 UPF0182 ALR1037 7120 2576 3 1 Q3M6T7 Y3693_ANAVT AVA_3693 29413 7937 A8AC24 RFCL_IGNH4 KIN4 18386 14125 C3N8C3 57 14 #1 C3NJA0 15 51 #2 C3MTS7 25 C3MJE5 2 C4KJI5 16 4 #3 C3N0D7 27 Q8D2W8</t>
  </si>
  <si>
    <t xml:space="preserve">NOSTOC STRAIN PCC UTEX PE ANABAENA VARIABILIS ATCC REPLICATION FACTOR C LARGE SUBUNIT IGNICOCCUS HOSPITALIS I DSM JCM RFCL CAPPA_SULIY PHOSPHOENOLPYRUVATE CARBOXYLASE SULFOLOBUS ISLANDICUS Y G YELLOWSTONE PPCA CAPPA_SULIN N CAPPA_SULIM M KAMCHATKA CAPPA_SULIL L S LASSEN CAPPA_SULIK CAPPA_SULIA SYA_WIGBR ALANYL TRNA SYNTHETASE WIGGLESWORTHIA GLOSSINIDIA BREVIPALPIS ALAS </t>
  </si>
  <si>
    <t xml:space="preserve"> CONTIG17963_39 GENEID_V1 3_PREDICTED_PROTEIN_39 226_AA CONTIG17963_37 3_PREDICTED_PROTEIN_37 234_AA CONTIG17700_53 3_PREDICTED_PROTEIN_53 238_AA CONTIG18070_163 3_PREDICTED_PROTEIN_163 236_AA CONTIG17896_50 3_PREDICTED_PROTEIN_50 247_AA CONTIG17797_42 3_PREDICTED_PROTEIN_42 245_AA CONTIG17896_53 201_AA CONTIG17782_53 251_AA CONTIG17896_54 3_PREDICTED_PROTEIN_54 CONTIG17887_148 3_PREDICTED_PROTEIN_148 255_AA</t>
  </si>
  <si>
    <t>type I restriction-modification system, M subunit - Carboxydothermus hydrogenoformans Z-2901 - DNA modification - site-specific DNA-methyltransferase (adenine-specific) activity</t>
  </si>
  <si>
    <t>JHBP 2e-009| DUF233 0.001| ND5 0.033| COG5409 0.098|</t>
  </si>
  <si>
    <t>sp|P31727|CYTA_SARPE</t>
  </si>
  <si>
    <t xml:space="preserve"> Sarcophaga peregrina</t>
  </si>
  <si>
    <t>P31727 1 O08677 KNG1_MOUSE KNG1 P01042 KNG1_HUMAN 2 Q8KA15 3 P08934 KNG1_RAT P35481 P08932 KNT2_RAT P01048 KNT1_RAT MAP1 Q98967 Q91195</t>
  </si>
  <si>
    <t xml:space="preserve">CYTA_SARPE SARCOCYSTATIN A SARCOPHAGA PEREGRINA PE KININOGEN MUS MUSCULUS HOMO SAPIENS PRIA_BUCAP PRIMOSOMAL N BUCHNERA APHIDICOLA SUBSP SCHIZAPHIS GRAMINUM PRIA RATTUS NORVEGICUS CYT_CYPCA CYSTATIN CYPRINUS CARPIO T CYT_ONCKE ONCORHYNCHUS KETA CYT_ONCMY MYKISS </t>
  </si>
  <si>
    <t xml:space="preserve"> CONTIG18034_95 GENEID_V1 3_PREDICTED_PROTEIN_95 471_AA CONTIG17674_11 3_PREDICTED_PROTEIN_11 561_AA CONTIG17106_13 3_PREDICTED_PROTEIN_13 183_AA CONTIG17521_16 3_PREDICTED_PROTEIN_16 975_AA CONTIG17601_7 3_PREDICTED_PROTEIN_7 454_AA CONTIG9598_1 3_PREDICTED_PROTEIN_1 61_AA CONTIG17778_53 3_PREDICTED_PROTEIN_53 904_AA</t>
  </si>
  <si>
    <t>Contig18035_48</t>
  </si>
  <si>
    <t>CY 3e-010| CY 2e-007| Cystatin 9e-007| ND6 0.003| TatC 0.028| DUF443 0.029| ND5 0.036| ND2 0.041| 7TM_GPCR_Sra 0.089|</t>
  </si>
  <si>
    <t>P31727 1 O08677 KNG1_MOUSE KNG1 P01042 KNG1_HUMAN 2 P35481 P08934 KNG1_RAT P22085 Q98967 P08932 KNT2_RAT P01048 KNT1_RAT MAP1 Q91195</t>
  </si>
  <si>
    <t xml:space="preserve">CYTA_SARPE SARCOCYSTATIN A SARCOPHAGA PEREGRINA PE KININOGEN MUS MUSCULUS HOMO SAPIENS CYT_CYPCA CYSTATIN CYPRINUS CARPIO RATTUS NORVEGICUS CYTX_ONCVO ONCHOCYSTATIN ONCHOCERCA VOLVULUS CYT_ONCKE ONCORHYNCHUS KETA T CYT_ONCMY MYKISS </t>
  </si>
  <si>
    <t xml:space="preserve"> CONTIG18034_95 GENEID_V1 3_PREDICTED_PROTEIN_95 471_AA CONTIG9598_1 3_PREDICTED_PROTEIN_1 61_AA CONTIG17674_11 3_PREDICTED_PROTEIN_11 561_AA CONTIG17857_2 3_PREDICTED_PROTEIN_2 233_AA</t>
  </si>
  <si>
    <t>CY 2e-011| Cystatin 3e-009| CY 4e-008| ND2 3e-007| ND5 4e-007| 7TM_GPCR_Srz 3e-006| ND4 4e-006| ND6 3e-004| ND2 8e-004| ATP6 8e-004|</t>
  </si>
  <si>
    <t>sp|Q8WXI7|MUC16_HUMAN</t>
  </si>
  <si>
    <t>Q8WXI7 MUC16_HUMAN 16 MUC16 1 2 B9LKM4 29364 637 400 3 Q9F6X5 29366 635 10 Q8EH83</t>
  </si>
  <si>
    <t xml:space="preserve">MUCIN HOMO SAPIENS PE BCHB_CHLSY LIGHT INDEPENDENT PROTOCHLOROPHYLLIDE REDUCTASE SUBUNIT B CHLOROFLEXUS AURANTIACUS STRAIN ATCC DSM Y FL BCHB BCHB_CHLAA J LEPA_SHEON GTP BINDING LEPA SHEWANELLA ONEIDENSIS </t>
  </si>
  <si>
    <t>Contig17901_71</t>
  </si>
  <si>
    <t xml:space="preserve"> CONTIG17901_71 GENEID_V1 3_PREDICTED_PROTEIN_71 84_AA CONTIG17569_4 3_PREDICTED_PROTEIN_4 1633_AA</t>
  </si>
  <si>
    <t>tyrosinase domain protein - Ruegeria pomeroyi DSS-3 - molecular_function - biological_process</t>
  </si>
  <si>
    <t>magnesium ion binding||metal ion binding||cation binding||ion binding||binding</t>
  </si>
  <si>
    <t>GO:0000287</t>
  </si>
  <si>
    <t>cell\-cell junction||cell junction||thylakoid membrane||photosynthetic membrane||membrane||cell part</t>
  </si>
  <si>
    <t>GO:0005911</t>
  </si>
  <si>
    <t>ND6 0.016|</t>
  </si>
  <si>
    <t>sp|Q89AD9|RLUD_BUCBP</t>
  </si>
  <si>
    <t xml:space="preserve"> Buchnera aphidicola subsp. Baizongia pistaciae (strain Bp)</t>
  </si>
  <si>
    <t>Q89AD9 3 1</t>
  </si>
  <si>
    <t xml:space="preserve">RLUD_BUCBP RIBOSOMAL LARGE SUBUNIT PSEUDOURIDINE SYNTHASE D BUCHNERA APHIDICOLA SUBSP BAIZONGIA PISTACIAE STRAIN BP RLUD PE </t>
  </si>
  <si>
    <t>Contig17879_57</t>
  </si>
  <si>
    <t xml:space="preserve"> CONTIG17879_57 GENEID_V1 3_PREDICTED_PROTEIN_57 445_AA</t>
  </si>
  <si>
    <t>Contig8197_1</t>
  </si>
  <si>
    <t>sp|Q8TGM7|ART2_YEAST</t>
  </si>
  <si>
    <t>Q8TGM7 ART2_YEAST ART2 4 1 Q3E811 YL62A_YEAST YLR162W 2 Q78T81 F102A_MOUSE FAM102A Q6NU91 NOC4B_XENLA NOC4L P50111 ZDS1_YEAST ZDS1 Q4PJW2 NCOA1_PIG NCOA1 Q5T9C2 F102A_HUMAN Q55GE6 ROCO7_DICDI ROCO7 3</t>
  </si>
  <si>
    <t xml:space="preserve">UNCHARACTERIZED SACCHAROMYCES CEREVISIAE PE A MUS MUSCULUS NUCLEOLAR COMPLEX HOMOLOG B XENOPUS LAEVIS NUCLEAR RECEPTOR COACTIVATOR SUS SCROFA HOMO SAPIENS PROBABLE SERINE THREONINE KINASE DICTYOSTELIUM DISCOIDEUM </t>
  </si>
  <si>
    <t>Contig8214_1</t>
  </si>
  <si>
    <t xml:space="preserve"> CONTIG8214_1 GENEID_V1 3_PREDICTED_PROTEIN_1 56_AA CONTIG22627_1 CONTIG8228_1 41_AA CONTIG8205_1 CONTIG8191_1 3 4 CONTIG8173_1 CONTIG8168_1 CONTIG8158_1 CONTIG8133_1 CONTIG8059_1</t>
  </si>
  <si>
    <t xml:space="preserve">UNKNOWN PRODUCT UK NR LIGHT </t>
  </si>
  <si>
    <t>Putative protein of unknown function identified by fungal homology comparisons and RT-PCR - Saccharomyces cerevisiae - molecular_function - cellular_component - biological_process</t>
  </si>
  <si>
    <t>Q8TGM7 ART2_YEAST ART2 4 1 Q3E811 YL62A_YEAST YLR162W 2 P50111 ZDS1_YEAST ZDS1 Q4PJW2 NCOA1_PIG NCOA1 Q55GE6 ROCO7_DICDI ROCO7 3 Q6NU91 NOC4B_XENLA NOC4L B2V430 E43 E3 Q54WZ5 SLOB2_DICDI SLOB2 A0R149 OBG_MYCS2 Q9UEW3</t>
  </si>
  <si>
    <t xml:space="preserve">UNCHARACTERIZED SACCHAROMYCES CEREVISIAE PE A NUCLEAR RECEPTOR COACTIVATOR SUS SCROFA PROBABLE SERINE THREONINE KINASE DICTYOSTELIUM DISCOIDEUM NUCLEOLAR COMPLEX HOMOLOG B XENOPUS LAEVIS SFSA_CLOBA SUGAR FERMENTATION STIMULATION CLOSTRIDIUM BOTULINUM STRAIN ALASKA TYPE SFSA INACTIVE GTPASE OBG MYCOBACTERIUM SMEGMATIS MARCO_HUMAN MACROPHAGE MARCO HOMO SAPIENS </t>
  </si>
  <si>
    <t>Contig8228_1</t>
  </si>
  <si>
    <t xml:space="preserve"> CONTIG8228_1 GENEID_V1 3_PREDICTED_PROTEIN_1 41_AA CONTIG8205_1 CONTIG8191_1 3 4 CONTIG8173_1 CONTIG8168_1 CONTIG8158_1 CONTIG8133_1 CONTIG8059_1 CONTIG8011_1 CONTIG7976_1</t>
  </si>
  <si>
    <t>sp|O88799|ZAN_MOUSE</t>
  </si>
  <si>
    <t>O88799 2 1 Q29M42 C2D1_DROPS C2 GA18377 3 O42918 AMY4_SCHPO 4 MEU7</t>
  </si>
  <si>
    <t xml:space="preserve">ZAN_MOUSE ZONADHESIN MUS MUSCULUS ZAN PE COILED COIL DOMAIN CONTAINING LIKE DROSOPHILA PSEUDOOBSCURA ALPHA AMYLASE SCHIZOSACCHAROMYCES POMBE </t>
  </si>
  <si>
    <t xml:space="preserve"> CONTIG17940_72 GENEID_V1 3_PREDICTED_PROTEIN_72 127_AA CONTIG17940_69 3_PREDICTED_PROTEIN_69 128_AA CONTIG17940_70 3_PREDICTED_PROTEIN_70 CONTIG17940_74 3_PREDICTED_PROTEIN_74 118_AA CONTIG18061_143 3_PREDICTED_PROTEIN_143 138_AA CONTIG17940_71 3_PREDICTED_PROTEIN_71 114_AA CONTIG18061_144 3_PREDICTED_PROTEIN_144 129_AA CONTIG16882_2 3_PREDICTED_PROTEIN_2 168_AA CONTIG18061_145 3_PREDICTED_PROTEIN_145 CONTIG17819_86 3_PREDICTED_PROTEIN_86</t>
  </si>
  <si>
    <t>Contig17940_67</t>
  </si>
  <si>
    <t>RNA_polI_A34 3e-012| ND4 5e-012| PRK09138 7e-010| ND6 7e-010| ND5 1e-009| ND2 2e-009| PRK11192 2e-009| ND4 2e-008| 7TM_GPCR_Srz 5e-008| Nop25 9e-008|</t>
  </si>
  <si>
    <t>O88799 2 1 Q8K9R2 3 Q8D375 Q8NEC7</t>
  </si>
  <si>
    <t xml:space="preserve">ZAN_MOUSE ZONADHESIN MUS MUSCULUS ZAN PE ERA_BUCAP GTP BINDING ERA HOMOLOG BUCHNERA APHIDICOLA SUBSP SCHIZAPHIS GRAMINUM SYE_WIGBR GLUTAMYL TRNA SYNTHETASE WIGGLESWORTHIA GLOSSINIDIA BREVIPALPIS GLTX GSTCD_HUMAN GLUTATHIONE S TRANSFERASE C TERMINAL DOMAIN CONTAINING HOMO SAPIENS GSTCD </t>
  </si>
  <si>
    <t xml:space="preserve"> CONTIG17940_72 GENEID_V1 3_PREDICTED_PROTEIN_72 127_AA CONTIG17940_69 3_PREDICTED_PROTEIN_69 128_AA CONTIG17940_70 3_PREDICTED_PROTEIN_70 CONTIG17940_74 3_PREDICTED_PROTEIN_74 118_AA CONTIG18061_143 3_PREDICTED_PROTEIN_143 138_AA CONTIG17940_71 3_PREDICTED_PROTEIN_71 114_AA CONTIG16882_2 3_PREDICTED_PROTEIN_2 168_AA CONTIG17819_86 3_PREDICTED_PROTEIN_86 CONTIG18061_144 3_PREDICTED_PROTEIN_144 129_AA CONTIG17819_89 3_PREDICTED_PROTEIN_89</t>
  </si>
  <si>
    <t>Candida albicans - cytoplasm - nucleus - positive regulation of transcription from RNA polymerase II promoter - specific RNA polymerase II transcription factor activity - amino acid import</t>
  </si>
  <si>
    <t>+positive regulation of transcription from RNA polymerase II promoter||positive regulation of homocysteine metabolic process||positive regulation of transcription from RNA polymerase II promoter||negative regulation of glycogen biosynthetic process||negat</t>
  </si>
  <si>
    <t>GO:0045944</t>
  </si>
  <si>
    <t>sp|Q8NH89|O5AK3_HUMAN</t>
  </si>
  <si>
    <t>Q8NH89 O5AK3_HUMAN 5AK3 OR5AK3P 5 1 Q08484 GYP1_YEAST GYP1 O42918 AMY4_SCHPO 4 MEU7 Q9Z1K7 APC2_MOUSE 2 APC2 P33264 CP2CR_MESAU P450 2C27 CYP2C27 P0C1G7 OPA1L_RAT OPAL1 Q8BGW2 OPA1L_MOUSE Q9NX94 OPA1L_HUMAN OPA1L Q2P0N0 311018 3</t>
  </si>
  <si>
    <t xml:space="preserve">OLFACTORY RECEPTOR HOMO SAPIENS PE GTPASE ACTIVATING SACCHAROMYCES CEREVISIAE ALPHA AMYLASE SCHIZOSACCHAROMYCES POMBE ADENOMATOUS POLYPOSIS COLI MUS MUSCULUS CYTOCHROME MESOCRICETUS AURATUS OUTCOME PREDICTOR IN ACUTE LEUKEMIA HOMOLOG RATTUS NORVEGICUS SYL_XANOM LEUCYL TRNA SYNTHETASE XANTHOMONAS ORYZAE PV STRAIN MAFF LEUS </t>
  </si>
  <si>
    <t xml:space="preserve"> CONTIG17940_72 GENEID_V1 3_PREDICTED_PROTEIN_72 127_AA CONTIG17940_69 3_PREDICTED_PROTEIN_69 128_AA CONTIG17940_70 3_PREDICTED_PROTEIN_70 CONTIG16882_2 3_PREDICTED_PROTEIN_2 168_AA CONTIG18061_143 3_PREDICTED_PROTEIN_143 138_AA CONTIG17940_71 3_PREDICTED_PROTEIN_71 114_AA CONTIG17940_67 3_PREDICTED_PROTEIN_67 CONTIG17819_86 3_PREDICTED_PROTEIN_86 CONTIG17819_89 3_PREDICTED_PROTEIN_89 CONTIG16882_1 3_PREDICTED_PROTEIN_1 150_AA</t>
  </si>
  <si>
    <t>Cis-golgi GTPase-activating protein (GAP) for the Rab family members Ypt1p (in vivo) and for Ypt1p, Sec4p, Ypt7p, and Ypt51p (in vitro) - Saccharomyces cerevisiae - Rab GTPase activator activity - mitochondrion - Golgi apparatus - vesicle-mediated transport</t>
  </si>
  <si>
    <t>Rab GTPase activator activity||Ras GTPase activator activity||small GTPase regulator activity||GTPase regulator activity||nucleoside\-triphosphatase regulator activity||enzyme regulator activity</t>
  </si>
  <si>
    <t>GO:0005097</t>
  </si>
  <si>
    <t>sp|O93383|NRG1_XENLA</t>
  </si>
  <si>
    <t>O93383 NRG1_XENLA 1 NRG1 2 Q02297 NRG1_HUMAN 3 P43322 NRG1_RAT Q05199 NRG1_CHICK P42251 Q552C6 PYK4_DICDI PYK4 Q566N9 FSIP1_DANRE FSIP1 P18823 P38330 RMD9L_YEAST RMD9 YBR238C P05625 RAF1_CHICK RAF1</t>
  </si>
  <si>
    <t xml:space="preserve">PRO NEUREGULIN MEMBRANE BOUND ISOFORM XENOPUS LAEVIS PE HOMO SAPIENS RATTUS NORVEGICUS GALLUS PPBD_BACSU ALKALINE PHOSPHATASE D BACILLUS SUBTILIS PHOD DUAL SPECIFICITY KINASE DICTYOSTELIUM DISCOIDEUM FIBROUS SHEATH INTERACTING DANIO RERIO ACCD_PEA ACETYL COENZYME A CARBOXYLASE CARBOXYL TRANSFERASE SUBUNIT BETA CHLOROPLASTIC PISUM SATIVUM ACCD LIKE MITOCHONDRIAL SACCHAROMYCES CEREVISIAE RAF PROTO ONCOGENE SERINE THREONINE </t>
  </si>
  <si>
    <t>Contig17920_108</t>
  </si>
  <si>
    <t xml:space="preserve"> CONTIG17920_108 GENEID_V1 3_PREDICTED_PROTEIN_108 758_AA CONTIG17819_36 3_PREDICTED_PROTEIN_36 216_AA CONTIG17805_12 3_PREDICTED_PROTEIN_12 322_AA CONTIG17952_11 3_PREDICTED_PROTEIN_11 225_AA CONTIG17347_16 3_PREDICTED_PROTEIN_16 254_AA CONTIG17792_45 3_PREDICTED_PROTEIN_45 2105_AA CONTIG17364_10 3_PREDICTED_PROTEIN_10 1027_AA CONTIG17832_39 3_PREDICTED_PROTEIN_39 149_AA CONTIG17777_39 CONTIG3306_2 3_PREDICTED_PROTEIN_2 283_AA</t>
  </si>
  <si>
    <t>neuregulin 1 - Mus musculus - glial cell differentiation - neuron fate commitment - cellular protein complex disassembly - positive regulation of striated muscle cell differentiation - MAPKKK cascade - nervous system development - heart development - muscle organ development - peripheral nervous system development - synaptogenesis - negative regulation of transcription - synapse - neurotransmitter receptor metabolic process - regulation of cell differentiation - positive regulation of protein kinase activity - positive regulation of Ras protein signal transduction - cell morphogenesis - cytoplasm - plasma membrane - integral to plasma membrane - transcription cofactor activity - Notch signaling pathway - ErbB-2 class receptor binding - locomotory behavior - cell migration - cardiac muscle cell differentiation</t>
  </si>
  <si>
    <t>transcription cofactor activity||transcription factor binding||protein binding||binding</t>
  </si>
  <si>
    <t>GO:0003712</t>
  </si>
  <si>
    <t>synapse</t>
  </si>
  <si>
    <t>GO:0045202</t>
  </si>
  <si>
    <t>&lt;glial cell differentiation||fibroblast growth factor receptor signaling pathway involved in forebrain neuroblast division||neuronal\-glial interaction involved in cerebral cortex radial glia guided migration||epidermal growth factor signaling pathway involved in forebrain neuron fate commitment||neuronal\-glial interaction involved in cerebral cortex radial glia guided migration||negative regulation of DNA repair||diaminopimelate biosynthetic process||diaminopimelate biosynthetic process||regulation of eIF2 alpha phosphorylation by dsRNA||regulation of nuclear mRNA splicing\, via spliceosome||regulation of nuclear mRNA splicing\, via spliceosome||regulation of nucleotide catabolic process||regulation of penicillin catabolic process||regulation of homocysteine metabolic process||regulation of nucleotide catabolic process||regulation of homocysteine metabolic process||translational initiation||positive regulation of sequestering of triglyceride||motogenic signaling involved in postnatal olfactory bulb interneuron migration||initiation of movement involved in cerebral cortex radial glia guided migration||regulation of norepinephrine uptake||regulation of toll\-like receptor 13 signaling pathway||B\-1 B cell lineage commitment||regulation of toll\-like receptor 9 signaling pathway||regulation of toll\-like receptor 9 signaling pathway||pole plasm protein localization||epithelial cell differentiation involved in mammary gland cord morphogenesis||cartilage development||follicle\-stimulating hormone signaling pathway||neurohypophysis morphogenesis||thyroid stimulating hormone secreting cell development||adenohypophysis morphogenesis||adenohypophysis morphogenesis||hemocyte migration||hemocyte migration||dichotomous subdivision of terminal units involved in ureteric bud branching||imaginal disc\-derived genitalia morphogenesis||imaginal disc\-derived genitalia morphogenesis||embryonic camera\-type eye morphogenesis||maturation of appressorium on or near host||maturation of appressorium on or near host||epidermal cell fate specification||motogenic signaling initiating cell movement in the cerebral cortex||embryonic camera\-type eye morphogenesis||post\-embryonic ectodermal gut morphogenesis||ventricular cardiac muscle cell development||smoothened signaling pathway involved in ventral spinal cord patterning||regulation of sevenless signaling pathway||regulation of compound eye retinal cell programmed cell death||sevenless signaling pathway||sevenless signaling pathway||regulation of erythrocyte differentiation||epidermal cell differentiation||negative regulation of appressorium maturation on or near host||generation of mature 5'\-end of LSU\-rRNA from tricistronic rRNA transcript (SSU\-rRNA\, 5.8S rRNA\, LSU\-rRNA)||JAK\-STAT cascade involved in growth hormone signaling pathway||fertilization\, exchange of chromosomal proteins||sister chromosome movement towards spindle pole during meiosis II||sister chromosome movement towards spindle pole during meiosis II||positive regulation of mitochondrial translational initiation||regulation of protein import into nucleus\, translocation||ascospore wall assembly||regulation of compound eye photoreceptor development||regulation of compound eye photoreceptor development||regulation of follicle cell microvillus organization||meiotic sister chromatid segregation||activation of JNKK activity||regulation of membrane potential in photoreceptor cell||synaptic vesicle fusion to presynaptic membrane||regulation of leukocyte activation||prevention of polyspermy||plastid membrane organization||spermatogenesis\, exchange of chromosomal proteins||regulation of pole plasm oskar mRNA localization||cleavage between 2S rRNA and LSU\-rRNA of tetracistronic rRNA transcript (SSU\-rRNA\, 5.8S rRNA\, 2S rRNA\, LSU\-rRNA)||cleavage between 5.8S rRNA and 2S rRNA of tetracistronic rRNA transcript (SSU\-rRNA\, 5.8S rRNA\, 2S rRNA\, LSU\-rRNA)||positive regulation of natriuresis by angiotensin||paranodal junction assembly||regulation of pole plasm oskar mRNA localization</t>
  </si>
  <si>
    <t>GO:0010001</t>
  </si>
  <si>
    <t>Neuregulin 0.007|</t>
  </si>
  <si>
    <t>sp|P03895|NU2M_DROYA</t>
  </si>
  <si>
    <t>P03895 NU2M_DROYA 2 ND2 3 1 P03896 NU2M_DROME Q36426 NU2M_LOCMI P33503 NU2M_ANOQU P34848 NU2M_ANOGA B0FWC6 NU2M_AEDAE Q2TQ18 NU2M_SYLME Q2TQ15 NU2M_SYLOL Q2TQ12 NU2M_SUNET Q330H2 NU2M_PERKA</t>
  </si>
  <si>
    <t xml:space="preserve">NADH UBIQUINONE OXIDOREDUCTASE CHAIN DROSOPHILA YAKUBA MT PE MELANOGASTER LOCUSTA MIGRATORIA ANOPHELES QUADRIMACULATUS GAMBIAE AEDES AEGYPTI SYLVISOREX MEGALURA OLLULA SUNCUS ETRUSCUS PEROPTERYX KAPPLERI </t>
  </si>
  <si>
    <t>Contig17879_1</t>
  </si>
  <si>
    <t xml:space="preserve"> CONTIG17879_1 GENEID_V1 3_PREDICTED_PROTEIN_1 568_AA CONTIG10951_1 190_AA</t>
  </si>
  <si>
    <t>Contig17834_37</t>
  </si>
  <si>
    <t>mitochondrial NADH-ubiquinone oxidoreductase chain 2 - Drosophila melanogaster - NADH dehydrogenase (ubiquinone) activity - mitochondrion - mitochondrial respiratory chain complex I - integral to membrane - mitochondrial inner membrane</t>
  </si>
  <si>
    <t>oxygen and reactive oxygen species metabolic process||cellular metabolic process||metabolic process</t>
  </si>
  <si>
    <t>GO:0006800</t>
  </si>
  <si>
    <t>ND2 e-106| ND2 2e-067| ND2 7e-067| ND2 9e-065| ND2 3e-063| ND2 1e-062| ND2 5e-062| ND2 3e-058| ND2 7e-055| ND2 1e-047|</t>
  </si>
  <si>
    <t xml:space="preserve"> Haemaphysalis qinghaiensis</t>
  </si>
  <si>
    <t>ND5 4e-005| 7TM_GPCR_Srh 0.007| ND4 0.008| ND5 0.022| ND6 0.027| ND2 0.034| DUF1754 0.037| DUF1980 0.053| ATP6 0.070| YMF19 0.076|</t>
  </si>
  <si>
    <t>Contig17907_12</t>
  </si>
  <si>
    <t xml:space="preserve"> CONTIG17907_12 GENEID_V1 3_PREDICTED_PROTEIN_12 2942_AA CONTIG17678_3 3_PREDICTED_PROTEIN_3 199_AA</t>
  </si>
  <si>
    <t>Contig17925_64</t>
  </si>
  <si>
    <t>Caenorhabditis elegans - mechanosensory behavior - response to mechanical stimulus - extracellular structure organization</t>
  </si>
  <si>
    <t>&lt;nuclear telomere cap complex||gamma DNA polymerase complex||mitochondrial membrane part||intrinsic to Golgi membrane||recycling endosome membrane||tertiary granule membrane||chromaffin granule lumen||peribacteroid membrane||clathrin vesicle coat||acidocalcisome membrane||peribacteroid fluid||COPII vesicle coat||melanosome membrane||chitosome membrane||plastid chromosome||proplastid stroma||etioplast stroma||cyanelle stroma||Toc complex||microbody part||yolk granule||pectic matrix||Golgi membrane||axoneme part||cilium part||polarisome||aster||aster||conoid||conoid</t>
  </si>
  <si>
    <t>GO:0000783</t>
  </si>
  <si>
    <t>chromatin silencing at telomere||chromatin silencing||negative regulation of transcription\, DNA\-dependent||negative regulation of RNA metabolic process||negative regulation of nucleobase\, nucleoside\, nucleotide and nucleic acid metabolic process||regulation of nucleobase\, nucleoside\, nucleotide and nucleic acid metabolic process||regulation of nitrogen compound metabolic process||regulation of metabolic process||regulation of biological process||biological regulation</t>
  </si>
  <si>
    <t>GO:0006348</t>
  </si>
  <si>
    <t>Sre 0.019| DltB 0.023| COG5578 0.027| DUF1754 0.062| YMF19 0.077| RNA_polI_A34 0.086|</t>
  </si>
  <si>
    <t>sp|O61367|KARG_APIME</t>
  </si>
  <si>
    <t>O61367 2 1 Q95PM9 P91798 P14208 4 Q9NH49 P48610 C7E3T4 P51541 Q9NH48 P51545</t>
  </si>
  <si>
    <t xml:space="preserve">KARG_APIME ARGININE KINASE APIS MELLIFERA ARGK PE KARG_PLOIN PLODIA INTERPUNCTELLA KARG_SCHAM SCHISTOCERCA AMERICANA KARG_HOMGA HOMARUS GAMMARUS KARG_CALSI CALLINECTES SAPIDUS KARG_DROME DROSOPHILA MELANOGASTER KARG_PENMO PENAEUS MONODON AK KARG_LIMPO LIMULUS POLYPHEMUS KARG_ERISI ERIOCHEIR SINENSIS KARG_PENJP JAPONICUS </t>
  </si>
  <si>
    <t>Contig17952_82</t>
  </si>
  <si>
    <t xml:space="preserve"> CONTIG17952_82 GENEID_V1 3_PREDICTED_PROTEIN_82 227_AA CONTIG17952_84 3_PREDICTED_PROTEIN_84 158_AA CONTIG17615_14 3_PREDICTED_PROTEIN_14 723_AA CONTIG18057_297 3_PREDICTED_PROTEIN_297 234_AA CONTIG17709_32 3_PREDICTED_PROTEIN_32 891_AA CONTIG17599_30 3_PREDICTED_PROTEIN_30 584_AA CONTIG17873_35 3_PREDICTED_PROTEIN_35 380_AA CONTIG17664_14 1301_AA CONTIG18027_4 3_PREDICTED_PROTEIN_4 355_AA CONTIG17716_21 3_PREDICTED_PROTEIN_21 293_AA</t>
  </si>
  <si>
    <t>creatine kinase activity||phosphotransferase activity\, nitrogenous group as acceptor||transferase activity\, transferring phosphorus\-containing groups||transferase activity||catalytic activity</t>
  </si>
  <si>
    <t>GO:0004111</t>
  </si>
  <si>
    <t>creatine metabolic process||phosphagen metabolic process||cellular amino acid derivative metabolic process||cellular amino acid and derivative metabolic process||cellular metabolic process||metabolic process</t>
  </si>
  <si>
    <t>GO:0006600</t>
  </si>
  <si>
    <t>ATP-gua_Ptrans 4e-046| PRK01059 1e-008| COG3869 4e-004|</t>
  </si>
  <si>
    <t>P91798 2 1 O61367 Q95PM9 P48610 Q9NH49 P14208 4 P51545 Q9U9J4 C7E3T4 Q9NH48</t>
  </si>
  <si>
    <t xml:space="preserve">KARG_SCHAM ARGININE KINASE SCHISTOCERCA AMERICANA ARGK PE KARG_APIME APIS MELLIFERA KARG_PLOIN PLODIA INTERPUNCTELLA KARG_DROME DROSOPHILA MELANOGASTER KARG_CALSI CALLINECTES SAPIDUS KARG_HOMGA HOMARUS GAMMARUS KARG_PENJP PENAEUS JAPONICUS KARG_CARMA CARCINUS MAENAS KARG_PENMO MONODON AK KARG_ERISI ERIOCHEIR SINENSIS </t>
  </si>
  <si>
    <t>1CONTIG17952_84 GENEID_V1 3_PREDICTED_PROTEIN_84 158_AA CONTIG17952_82 3_PREDICTED_PROTEIN_82 227_AA CONTIG17615_14 3_PREDICTED_PROTEIN_14 723_AA CONTIG17908_83 3_PREDICTED_PROTEIN_83 551_AA CONTIG18057_297 3_PREDICTED_PROTEIN_297 234_AA CONTIG17851_15 3_PREDICTED_PROTEIN_15 409_AA CONTIG17709_32 3_PREDICTED_PROTEIN_32 891_AA CONTIG17599_30 3_PREDICTED_PROTEIN_30 584_AA CONTIG17908_77 3_PREDICTED_PROTEIN_77 532_AA CONTIG17820_35 3_PREDICTED_PROTEIN_35 3162_AA</t>
  </si>
  <si>
    <t>ATP-gua_Ptrans 1e-091| PRK01059 3e-030| COG3869 1e-022| ATP-gua_PtransN 1e-021|</t>
  </si>
  <si>
    <t>sp|B9DUY3|SPEE_STRU0</t>
  </si>
  <si>
    <t xml:space="preserve"> Streptococcus uberis (strain ATCC BAA-854 / 0140J)</t>
  </si>
  <si>
    <t>B9DUY3 SPEE_STRU0 854 0140J 3 1</t>
  </si>
  <si>
    <t xml:space="preserve">SPERMIDINE SYNTHASE STREPTOCOCCUS UBERIS STRAIN ATCC BAA SPEE PE </t>
  </si>
  <si>
    <t>Contig17952_203</t>
  </si>
  <si>
    <t xml:space="preserve"> CONTIG17952_203 GENEID_V1 3_PREDICTED_PROTEIN_203 359_AA CONTIG17075_10 3_PREDICTED_PROTEIN_10 515_AA CONTIG17066_1 3_PREDICTED_PROTEIN_1 294_AA CONTIG18042_165 3_PREDICTED_PROTEIN_165 344_AA CONTIG17971_102 3_PREDICTED_PROTEIN_102 1132_AA CONTIG17971_100 3_PREDICTED_PROTEIN_100 1276_AA CONTIG17955_243 3_PREDICTED_PROTEIN_243 7630_AA CONTIG17268_18 3_PREDICTED_PROTEIN_18 722_AA CONTIG17967_227 3_PREDICTED_PROTEIN_227 1388_AA CONTIG13482_3 3_PREDICTED_PROTEIN_3 195_AA</t>
  </si>
  <si>
    <t>Contig18057_274</t>
  </si>
  <si>
    <t>sp|Q0CQS4|PRM1_ASPTN</t>
  </si>
  <si>
    <t>Q0CQS4 PRM1_ASPTN PRM1 2624 A1156 3 1</t>
  </si>
  <si>
    <t xml:space="preserve">PLASMA MEMBRANE FUSION ASPERGILLUS TERREUS STRAIN NIH FGSC PE </t>
  </si>
  <si>
    <t xml:space="preserve"> CONTIG17952_203 GENEID_V1 3_PREDICTED_PROTEIN_203 359_AA CONTIG17075_10 3_PREDICTED_PROTEIN_10 515_AA CONTIG17066_1 3_PREDICTED_PROTEIN_1 294_AA CONTIG18061_168 3_PREDICTED_PROTEIN_168 586_AA CONTIG11884_3 3_PREDICTED_PROTEIN_3 996_AA CONTIG8932_1 629_AA CONTIG8510_1 343_AA CONTIG17967_227 3_PREDICTED_PROTEIN_227 1388_AA CONTIG13482_3 195_AA CONTIG3895_6 3_PREDICTED_PROTEIN_6 808_AA</t>
  </si>
  <si>
    <t>Contig17821_83</t>
  </si>
  <si>
    <t>protein regulator of cytokinesis 1 - Mus musculus - spindle - cytokinesis</t>
  </si>
  <si>
    <t>sp|Q9F0V0|GCP_RIEAN</t>
  </si>
  <si>
    <t xml:space="preserve"> Riemerella anatipestifer</t>
  </si>
  <si>
    <t>Q9F0V0 3 1 O13651 SPBC8D2 06 2 Q58772 O87394 Y093_RHIME R00093</t>
  </si>
  <si>
    <t xml:space="preserve">GCP_RIEAN PROBABLE O SIALOGLYCOPROTEIN ENDOPEPTIDASE RIEMERELLA ANATIPESTIFER GCP PE SYIC_SCHPO ISOLEUCYL TRNA SYNTHETASE CYTOPLASMIC SCHIZOSACCHAROMYCES POMBE SYE_METJA GLUTAMYL METHANOCALDOCOCCUS JANNASCHII GLTX UNCHARACTERIZED TRANSPORTER RHIZOBIUM MELILOTI </t>
  </si>
  <si>
    <t xml:space="preserve"> CONTIG17819_86 GENEID_V1 3_PREDICTED_PROTEIN_86 127_AA CONTIG17819_89 3_PREDICTED_PROTEIN_89 128_AA CONTIG18061_145 3_PREDICTED_PROTEIN_145 129_AA CONTIG16882_2 3_PREDICTED_PROTEIN_2 168_AA CONTIG18061_143 3_PREDICTED_PROTEIN_143 138_AA CONTIG17940_72 3_PREDICTED_PROTEIN_72 CONTIG16882_1 3_PREDICTED_PROTEIN_1 150_AA CONTIG18061_144 3_PREDICTED_PROTEIN_144 CONTIG17940_69 3_PREDICTED_PROTEIN_69 CONTIG17940_70 3_PREDICTED_PROTEIN_70</t>
  </si>
  <si>
    <t>ND2 0.086|</t>
  </si>
  <si>
    <t>sp|O13651|SYIC_SCHPO</t>
  </si>
  <si>
    <t>O13651 SPBC8D2 06 2 1 A6UWF6 COBQ_META3 3 1280 P53898 NSG2_YEAST NSG2</t>
  </si>
  <si>
    <t xml:space="preserve">SYIC_SCHPO ISOLEUCYL TRNA SYNTHETASE CYTOPLASMIC SCHIZOSACCHAROMYCES POMBE PE PROBABLE COBYRIC ACID SYNTHASE METHANOCOCCUS AEOLICUS STRAIN NANKAI ATCC BAA COBQ SACCHAROMYCES CEREVISIAE </t>
  </si>
  <si>
    <t xml:space="preserve"> CONTIG17819_86 GENEID_V1 3_PREDICTED_PROTEIN_86 127_AA CONTIG17819_89 3_PREDICTED_PROTEIN_89 128_AA CONTIG16882_2 3_PREDICTED_PROTEIN_2 168_AA CONTIG18061_145 3_PREDICTED_PROTEIN_145 129_AA CONTIG16882_1 3_PREDICTED_PROTEIN_1 150_AA CONTIG18061_143 3_PREDICTED_PROTEIN_143 138_AA CONTIG17940_72 3_PREDICTED_PROTEIN_72 CONTIG17940_69 3_PREDICTED_PROTEIN_69 CONTIG17940_70 3_PREDICTED_PROTEIN_70 CONTIG18061_144 3_PREDICTED_PROTEIN_144</t>
  </si>
  <si>
    <t>Q9F0V0 3 1 O13651 SPBC8D2 06 2 Q58772</t>
  </si>
  <si>
    <t xml:space="preserve">GCP_RIEAN PROBABLE O SIALOGLYCOPROTEIN ENDOPEPTIDASE RIEMERELLA ANATIPESTIFER GCP PE SYIC_SCHPO ISOLEUCYL TRNA SYNTHETASE CYTOPLASMIC SCHIZOSACCHAROMYCES POMBE SYE_METJA GLUTAMYL METHANOCALDOCOCCUS JANNASCHII GLTX </t>
  </si>
  <si>
    <t xml:space="preserve"> CONTIG17819_86 GENEID_V1 3_PREDICTED_PROTEIN_86 127_AA CONTIG17819_89 3_PREDICTED_PROTEIN_89 128_AA CONTIG18061_145 3_PREDICTED_PROTEIN_145 129_AA CONTIG16882_2 3_PREDICTED_PROTEIN_2 168_AA CONTIG18061_143 3_PREDICTED_PROTEIN_143 138_AA CONTIG16882_1 3_PREDICTED_PROTEIN_1 150_AA CONTIG17940_72 3_PREDICTED_PROTEIN_72 CONTIG18061_144 3_PREDICTED_PROTEIN_144 CONTIG17940_69 3_PREDICTED_PROTEIN_69 CONTIG17940_71 3_PREDICTED_PROTEIN_71 114_AA</t>
  </si>
  <si>
    <t>ND2 0.060| ND3 0.063|</t>
  </si>
  <si>
    <t xml:space="preserve"> Thalassophryne nattereri</t>
  </si>
  <si>
    <t>Contig17343_19</t>
  </si>
  <si>
    <t>CG10527 - Drosophila melanogaster - farnesoic acid O-methyltransferase activity</t>
  </si>
  <si>
    <t>sp|Q66S25|NATT1_THANI</t>
  </si>
  <si>
    <t>Q66S25 NATT1_THANI 1 P09756 CB23_SOYBN 3 CAB3 Q2G480 12444 Q66S21 NATT2_THANI 2 Q21W87 15236 621 T118 Q18BB8 RS16_CLOD6 30S S16 630 Q9M3H5 AHM1_ARATH HMA1 Q6CEV2 SEC16_YARLI SEC16</t>
  </si>
  <si>
    <t xml:space="preserve">NATTERIN THALASSOPHRYNE NATTERERI PE CHLOROPHYLL A B BINDING CHLOROPLASTIC GLYCINE MAX PCKA_NOVAD PHOSPHOENOLPYRUVATE CARBOXYKINASE NOVOSPHINGOBIUM AROMATICIVORANS STRAIN DSM PCKA UVRC_RHOFD UVRABC SYSTEM C RHODOFERAX FERRIREDUCENS ATCC BAA UVRC RIBOSOMAL CLOSTRIDIUM DIFFICILE RPSP PROBABLE CADMIUM ZINC TRANSPORTING ATPASE ARABIDOPSIS THALIANA COPII COAT ASSEMBLY YARROWIA LIPOLYTICA </t>
  </si>
  <si>
    <t xml:space="preserve"> CONTIG17343_19 GENEID_V1 3_PREDICTED_PROTEIN_19 145_AA CONTIG18271_1 3_PREDICTED_PROTEIN_1 81_AA CONTIG17677_26 3_PREDICTED_PROTEIN_26 304_AA CONTIG380_1 77_AA CONTIG586_1 946_AA CONTIG18057_108 3_PREDICTED_PROTEIN_108 1281_AA CONTIG17992_11 3_PREDICTED_PROTEIN_11 692_AA CONTIG17938_7 3_PREDICTED_PROTEIN_7 130_AA CONTIG17275_13 3_PREDICTED_PROTEIN_13 1017_AA CONTIG2894_3 3_PREDICTED_PROTEIN_3 543_AA</t>
  </si>
  <si>
    <t>&lt;ESCRT III complex||ESCRT II complex||ESCRT I complex||gamma\-tubulin small complex\, spindle pole body||gamma\-tubulin small complex\, spindle pole body||cytoplasmic replisome||PSII associated light\-harvesting complex II\, peripheral complex||PSII associated light\-harvesting complex II\, peripheral complex||PSII associated light\-harvesting complex II\, peripheral complex||mitochondrial proton\-transporting ATP synthase\, central stalk||mitochondrial proton\-transporting ATP synthase\, stator stalk||mitochondrial proton\-transporting ATP synthase\, central stalk||mitochondrial ribosome||mitochondrial ribosome||mitochondrial ribosome||macropinocytic cup cytoskeleton||amyloplast starch grain||mitochondrial respiratory chain complex III||mitochondrial respiratory chain complex IV||mitochondrial respiratory chain complex I||mitochondrial crista||mitochondrial respiratory chain complex I||mitochondrial crista||ER proteasome regulatory particle\, base subcomplex||ER proteasome core complex\, beta\-subunit complex||COPI vesicle coat||ER proteasome regulatory particle\, lid subcomplex||proteasome regulatory particle\, base subcomplex||proteasome regulatory particle\, base subcomplex||nucleolar part||Sec complex\-associated translocon complex||intrinsic to endoplasmic reticulum membrane||actin capping protein of dynactin complex||condensed nuclear chromosome kinetochore||intermediate layer of spindle pole body||chiasma||platelet dense tubular network membrane||intrinsic to plastid outer membrane||integral to plastid outer membrane||plastid biotin carboxylase complex||chloroplast ATP synthase complex||snRNP U2||nuclear proteasome core complex||Swr1 complex||gamma DNA polymerase complex||mitochondrial membrane part||intrinsic to Golgi membrane||recycling endosome membrane||tertiary granule membrane||chromaffin granule lumen||peribacteroid membrane||clathrin vesicle coat||acidocalcisome membrane||peribacteroid fluid||COPII vesicle coat||melanosome membrane||chitosome membrane||plastid chromosome||proplastid stroma||etioplast stroma||cyanelle stroma||Toc complex||microbody part||yolk granule||pectic matrix||Golgi membrane||axoneme part||cilium part||polarisome||aster||aster||conoid||conoid</t>
  </si>
  <si>
    <t>GO:0000815</t>
  </si>
  <si>
    <t>DM9 3e-018|</t>
  </si>
  <si>
    <t>sp|Q27049|TRIA_TRIPA</t>
  </si>
  <si>
    <t xml:space="preserve"> Triatoma pallidipennis</t>
  </si>
  <si>
    <t>Q27049 1 Q26241 NP2_RHOPR 2 Q8SPI0 P05090 Q9U6R6 Q26239 NP1_RHOPR P51909 Q94733 NP3_RHOPR 3 A7MB80 GTF2I_BOVIN GTF2I Q94734 NP4_RHOPR 4</t>
  </si>
  <si>
    <t xml:space="preserve">TRIA_TRIPA TRIABIN TRIATOMA PALLIDIPENNIS PE NITROPHORIN RHODNIUS PROLIXUS APOD_MACFA APOLIPOPROTEIN D MACACA FASCICULARIS APOD APOD_HUMAN HOMO SAPIENS PRCLN_TRIPT PROCALIN PROTRACTA APOD_CAVPO CAVIA PORCELLUS GENERAL TRANSCRIPTION FACTOR II I BOS TAURUS </t>
  </si>
  <si>
    <t>Contig1709_2</t>
  </si>
  <si>
    <t xml:space="preserve"> CONTIG1709_2 GENEID_V1 3_PREDICTED_PROTEIN_2 370_AA CONTIG17426_2 434_AA CONTIG3876_7 3_PREDICTED_PROTEIN_7 200_AA CONTIG17426_1 3_PREDICTED_PROTEIN_1 302_AA CONTIG1489_6 3_PREDICTED_PROTEIN_6 183_AA CONTIG1709_3 3_PREDICTED_PROTEIN_3 207_AA CONTIG17106_7 213_AA CONTIG17405_3 180_AA CONTIG15152_1 441_AA CONTIG13707_1 81_AA</t>
  </si>
  <si>
    <t>Contig17905_85</t>
  </si>
  <si>
    <t>cyclin B3 - Rattus norvegicus - nucleolus</t>
  </si>
  <si>
    <t>Triabin 3e-014| Nitrophorin 4e-008| 7TMR-DISM_7TM 3e-004| Borrelia_orfA 0.002| VanZ 0.002| COG2604 0.005| Serpentine_recp 0.007| TatC 0.010| Cas_TM1802 0.012| COG4708 0.014|</t>
  </si>
  <si>
    <t xml:space="preserve"> CONTIG17879_57 GENEID_V1 3_PREDICTED_PROTEIN_57 445_AA CONTIG16229_2 3_PREDICTED_PROTEIN_2 220_AA</t>
  </si>
  <si>
    <t>Contig18064_35</t>
  </si>
  <si>
    <t>sp|Q9VU70|TTC36_DROME</t>
  </si>
  <si>
    <t>Q9VU70 TTC36_DROME 36 CG14105 1 Q2M021 TTC36_DROPS GA12762 3 A8E7I5 TTC36_DANRE TTC36 2 A7RL75 TTC36_NEMVE Q20683 TTC36_CAEEL F52H3 5 A6NLP5 TTC36_HUMAN Q5EBF2 TTC36_XENTR Q66H45 TTC36_RAT Q3SZV0 TTC36_BOVIN A8XHX1 TTC36_CAEBR CBG13375</t>
  </si>
  <si>
    <t xml:space="preserve">TETRATRICOPEPTIDE REPEAT HOMOLOG DROSOPHILA MELANOGASTER PE PSEUDOOBSCURA DANIO RERIO NEMATOSTELLA VECTENSIS CAENORHABDITIS ELEGANS HOMO SAPIENS XENOPUS TROPICALIS RATTUS NORVEGICUS BOS TAURUS BRIGGSAE </t>
  </si>
  <si>
    <t>Contig4177_4</t>
  </si>
  <si>
    <t xml:space="preserve"> CONTIG4177_4 GENEID_V1 3_PREDICTED_PROTEIN_4 161_AA CONTIG17797_66 3_PREDICTED_PROTEIN_66 940_AA CONTIG17869_7 3_PREDICTED_PROTEIN_7 1063_AA CONTIG17848_64 3_PREDICTED_PROTEIN_64 2856_AA CONTIG17146_21 3_PREDICTED_PROTEIN_21 136_AA CONTIG17926_107 3_PREDICTED_PROTEIN_107 2455_AA CONTIG17942_20 3_PREDICTED_PROTEIN_20 1134_AA CONTIG17798_33 3_PREDICTED_PROTEIN_33 441_AA CONTIG17907_94 3_PREDICTED_PROTEIN_94 294_AA CONTIG17875_131 3_PREDICTED_PROTEIN_131 832_AA</t>
  </si>
  <si>
    <t>zgc:103600 - Danio rerio - cellular_component - biological_process</t>
  </si>
  <si>
    <t>protein complex||macromolecular complex</t>
  </si>
  <si>
    <t>GO:0043234</t>
  </si>
  <si>
    <t>TPR 7e-006| MIT 0.002| TPR 0.002| TPR_1 0.004| MIT 0.006| TPR_2 0.007| MIT 0.008| TadD 0.028| PRK02603 0.066| PRK04841 0.088|</t>
  </si>
  <si>
    <t>sp|A8E7I5|TTC36_DANRE</t>
  </si>
  <si>
    <t>A8E7I5 TTC36_DANRE 36 TTC36 2 1 Q9VU70 TTC36_DROME CG14105 Q2M021 TTC36_DROPS GA12762 3 Q20683 TTC36_CAEEL F52H3 5 A7RL75 TTC36_NEMVE Q5EBF2 TTC36_XENTR A8XHX1 TTC36_CAEBR CBG13375 A6NLP5 TTC36_HUMAN Q8VBW8 TTC36_MOUSE Q3SZV0 TTC36_BOVIN</t>
  </si>
  <si>
    <t xml:space="preserve">TETRATRICOPEPTIDE REPEAT DANIO RERIO PE HOMOLOG DROSOPHILA MELANOGASTER PSEUDOOBSCURA CAENORHABDITIS ELEGANS NEMATOSTELLA VECTENSIS XENOPUS TROPICALIS BRIGGSAE HOMO SAPIENS MUS MUSCULUS BOS TAURUS </t>
  </si>
  <si>
    <t xml:space="preserve"> CONTIG4177_4 GENEID_V1 3_PREDICTED_PROTEIN_4 161_AA CONTIG17797_66 3_PREDICTED_PROTEIN_66 940_AA CONTIG17942_20 3_PREDICTED_PROTEIN_20 1134_AA CONTIG17869_7 3_PREDICTED_PROTEIN_7 1063_AA CONTIG17932_114 3_PREDICTED_PROTEIN_114 1331_AA CONTIG15884_3 3_PREDICTED_PROTEIN_3 374_AA CONTIG17848_64 3_PREDICTED_PROTEIN_64 2856_AA CONTIG17334_31 3_PREDICTED_PROTEIN_31 945_AA CONTIG18057_222 3_PREDICTED_PROTEIN_222 546_AA CONTIG17875_131 3_PREDICTED_PROTEIN_131 832_AA</t>
  </si>
  <si>
    <t>TPR 4e-008| ND4 2e-007| ND5 1e-006| ND6 5e-006| 7TM_GPCR_Srz 2e-005| ND2 7e-005| ND1 1e-004| 7TM_GPCR_Sru 3e-004| EXS 7e-004| COX3 7e-004|</t>
  </si>
  <si>
    <t>sp|P86148|RBP1_PLAF7</t>
  </si>
  <si>
    <t>P86148 RBP1_PLAF7 PFD0110W 3D7 3 1 Q8T135 KIF5_DICDI 5 KIF5 Q5HNI8 35984 RP62A Q8CNW5 12228 P34731 FAS1_CANAL FAS1 Q05949 BUR2_YEAST BUR2</t>
  </si>
  <si>
    <t xml:space="preserve">RETICULOCYTE BINDING PLASMODIUM FALCIPARUM ISOLATE PE KINESIN RELATED DICTYOSTELIUM DISCOIDEUM EZRA_STAEQ SEPTATION RING FORMATION REGULATOR EZRA STAPHYLOCOCCUS EPIDERMIDIS STRAIN ATCC EZRA_STAES FATTY ACID SYNTHASE SUBUNIT BETA CANDIDA ALBICANS SACCHAROMYCES CEREVISIAE </t>
  </si>
  <si>
    <t>Contig17710_43</t>
  </si>
  <si>
    <t xml:space="preserve"> CONTIG17710_43 GENEID_V1 3_PREDICTED_PROTEIN_43 224_AA CONTIG17849_53 0000000000002 CONTIG17949_72 3_PREDICTED_PROTEIN_72 688_AA CONTIG17790_25 3_PREDICTED_PROTEIN_25 235_AA CONTIG17976_132 3_PREDICTED_PROTEIN_132 125_AA CONTIG17967_155 3_PREDICTED_PROTEIN_155 741_AA CONTIG16215_1 3_PREDICTED_PROTEIN_1 2807_AA</t>
  </si>
  <si>
    <t>Fis-type helix-turn-helix domain-containing protein - Dictyostelium discoideum - cellular_component - regulation of transcription, DNA-dependent - transcription factor activity</t>
  </si>
  <si>
    <t>sp|A4VMU6|STHA_PSEU5</t>
  </si>
  <si>
    <t xml:space="preserve"> Pseudomonas stutzeri (strain A1501)</t>
  </si>
  <si>
    <t>A4VMU6 STHA_PSEU5 A1501 3 1 P34510 YMX2_CAEEL K06H7 2</t>
  </si>
  <si>
    <t xml:space="preserve">SOLUBLE PYRIDINE NUCLEOTIDE TRANSHYDROGENASE PSEUDOMONAS STUTZERI STRAIN STHA PE UNCHARACTERIZED CAENORHABDITIS ELEGANS </t>
  </si>
  <si>
    <t xml:space="preserve"> CONTIG17710_43 GENEID_V1 3_PREDICTED_PROTEIN_43 224_AA CONTIG17850_28 3_PREDICTED_PROTEIN_28 762_AA CONTIG4733_1 3_PREDICTED_PROTEIN_1 156_AA CONTIG10188_1 247_AA</t>
  </si>
  <si>
    <t>WD40 repeat-containing protein, putative RNA splicing factor - Dictyostelium discoideum - molecular_function - spliceosomal complex - nuclear mRNA splicing, via spliceosome</t>
  </si>
  <si>
    <t>Q8SPI0 2 1 Q26239 NP1_RHOPR Q6PQK2 NP7_RHOPR 7 Q94733 NP3_RHOPR 3 Q94734 NP4_RHOPR 4 P80007 CRA2_HOMGA A2 P49291 Q26241 NP2_RHOPR P51910 P51909</t>
  </si>
  <si>
    <t xml:space="preserve">APOD_MACFA APOLIPOPROTEIN D MACACA FASCICULARIS APOD PE NITROPHORIN RHODNIUS PROLIXUS CRUSTACYANIN SUBUNIT HOMARUS GAMMARUS LAZA_SCHAM LAZARILLO SCHISTOCERCA AMERICANA APOD_MOUSE MUS MUSCULUS APOD_CAVPO CAVIA PORCELLUS </t>
  </si>
  <si>
    <t>Contig1709_3</t>
  </si>
  <si>
    <t xml:space="preserve"> CONTIG1709_3 GENEID_V1 3_PREDICTED_PROTEIN_3 207_AA CONTIG17426_1 3_PREDICTED_PROTEIN_1 302_AA CONTIG17405_3 180_AA CONTIG1489_6 3_PREDICTED_PROTEIN_6 183_AA CONTIG15152_1 441_AA CONTIG6937_1 188_AA CONTIG17405_2 3_PREDICTED_PROTEIN_2 315_AA CONTIG17405_4 3_PREDICTED_PROTEIN_4 792_AA CONTIG17512_3 CONTIG17426_2 434_AA</t>
  </si>
  <si>
    <t>Contig17600_6</t>
  </si>
  <si>
    <t>ATP\-binding cassette (ABC) transporter complex||protein complex||macromolecular complex</t>
  </si>
  <si>
    <t>GO:0043190</t>
  </si>
  <si>
    <t>transport||cellular localization||localization</t>
  </si>
  <si>
    <t>GO:0006810</t>
  </si>
  <si>
    <t>Nitrophorin 5e-007| Lipocalin 0.012| YMF19 0.035| Triabin 0.070|</t>
  </si>
  <si>
    <t>sp|P80007|CRA2_HOMGA</t>
  </si>
  <si>
    <t xml:space="preserve"> Homarus gammarus</t>
  </si>
  <si>
    <t>P80007 CRA2_HOMGA A2 1 Q8SPI0 2 Q94733 NP3_RHOPR 3 Q6PQK2 NP7_RHOPR 7 Q26241 NP2_RHOPR P51910 Q26239 NP1_RHOPR P37153 P49291 P05090</t>
  </si>
  <si>
    <t xml:space="preserve">CRUSTACYANIN SUBUNIT HOMARUS GAMMARUS PE APOD_MACFA APOLIPOPROTEIN D MACACA FASCICULARIS APOD NITROPHORIN RHODNIUS PROLIXUS APOD_MOUSE MUS MUSCULUS APOD_RABIT ORYCTOLAGUS CUNICULUS LAZA_SCHAM LAZARILLO SCHISTOCERCA AMERICANA APOD_HUMAN HOMO SAPIENS </t>
  </si>
  <si>
    <t xml:space="preserve"> CONTIG1709_3 GENEID_V1 3_PREDICTED_PROTEIN_3 207_AA CONTIG17426_1 3_PREDICTED_PROTEIN_1 302_AA CONTIG17405_3 180_AA CONTIG1489_6 3_PREDICTED_PROTEIN_6 183_AA CONTIG17426_2 3_PREDICTED_PROTEIN_2 434_AA CONTIG6937_1 188_AA CONTIG17405_2 315_AA CONTIG15152_1 441_AA CONTIG17405_4 3_PREDICTED_PROTEIN_4 792_AA CONTIG1709_1 261_AA</t>
  </si>
  <si>
    <t>Nitrophorin 1e-005|</t>
  </si>
  <si>
    <t>Q05744 1 O42630 PEP2 2 Q42456 ASPR1_ORYSJ OS05G0567100 Q03168 AAEL006169 P07339 Q4LAL9 P42210 P00795 P18242 P24268</t>
  </si>
  <si>
    <t xml:space="preserve">CATD_CHICK CATHEPSIN D GALLUS CTSD PE CARP_ASPFU VACUOLAR PROTEASE A ASPERGILLUS FUMIGATUS ASPARTIC PROTEINASE ORYZASIN ORYZA SATIVA SUBSP JAPONICA ASPP_AEDAE LYSOSOMAL AEDES AEGYPTI CATD_HUMAN HOMO SAPIENS CATD_CANFA CANIS FAMILIARIS ASPR_HORVU PHYTEPSIN HORDEUM VULGARE CATD_PIG SUS SCROFA CATD_MOUSE MUS MUSCULUS CATD_RAT RATTUS NORVEGICUS </t>
  </si>
  <si>
    <t>Contig808_2</t>
  </si>
  <si>
    <t xml:space="preserve"> CONTIG808_2 GENEID_V1 3_PREDICTED_PROTEIN_2 629_AA CONTIG808_3 3_PREDICTED_PROTEIN_3 384_AA CONTIG808_4 3_PREDICTED_PROTEIN_4 389_AA CONTIG5279_3 152_AA CONTIG16543_1 3_PREDICTED_PROTEIN_1 147_AA CONTIG17697_6 3_PREDICTED_PROTEIN_6 399_AA CONTIG17955_3 372_AA CONTIG17572_34 3_PREDICTED_PROTEIN_34 514_AA CONTIG16285_5 3_PREDICTED_PROTEIN_5 400_AA CONTIG27523_1 110_AA</t>
  </si>
  <si>
    <t>Asp 3e-047|</t>
  </si>
  <si>
    <t>sp|Q9XFX4|CARDB_CYNCA</t>
  </si>
  <si>
    <t xml:space="preserve"> Cynara cardunculus</t>
  </si>
  <si>
    <t>Q9XFX4 1 P42210 Q42456 ASPR1_ORYSJ OS05G0567100 2 P40782 CYPR1_CYNCA CYPRO1 O93428 P42211 O04057 P24268 Q05744 O09043</t>
  </si>
  <si>
    <t xml:space="preserve">CARDB_CYNCA PROCARDOSIN B CYNARA CARDUNCULUS CARDB PE ASPR_HORVU PHYTEPSIN HORDEUM VULGARE ASPARTIC PROTEINASE ORYZASIN ORYZA SATIVA SUBSP JAPONICA CYPROSIN FRAGMENT CATD_CHIHA CATHEPSIN D CHIONODRACO HAMATUS CTSD ASPRX_ORYSJ RAP ASPR_CUCPE CUCURBITA PEPO CATD_RAT RATTUS NORVEGICUS CATD_CHICK GALLUS NAPSA_MOUSE NAPSIN A MUS MUSCULUS NAPSA </t>
  </si>
  <si>
    <t>Contig5279_3</t>
  </si>
  <si>
    <t xml:space="preserve"> CONTIG5279_3 GENEID_V1 3_PREDICTED_PROTEIN_3 152_AA CONTIG808_2 3_PREDICTED_PROTEIN_2 629_AA CONTIG27523_1 3_PREDICTED_PROTEIN_1 110_AA CONTIG808_3 384_AA CONTIG808_4 3_PREDICTED_PROTEIN_4 389_AA CONTIG17697_6 3_PREDICTED_PROTEIN_6 399_AA CONTIG17955_2 375_AA CONTIG17955_3 372_AA CONTIG17572_34 3_PREDICTED_PROTEIN_34 514_AA CONTIG23704_1 125_AA</t>
  </si>
  <si>
    <t>Contig27523_1</t>
  </si>
  <si>
    <t>phytepsin 2e-009| pepsin_A 8e-008| Cathepsin_D_like 6e-007| renin_like 8e-007| Cathepsin_D2 9e-007| gastricsin 1e-006| pepsin_like 3e-006| PTZ00165 3e-006| Asp 5e-006| Proteinase_A_fungi 8e-006|</t>
  </si>
  <si>
    <t>sp|Q6P073|UB2J2_MOUSE</t>
  </si>
  <si>
    <t>Q6P073 UB2J2_MOUSE E2 J2 UBE2J2 1 Q8N2K1 UB2J2_HUMAN 3 Q2TA03 UB2J2_BOVIN 2 Q6BYG4 UBC6_DEBHA 6 UBC6 Q6FQK7 UBC6_CANGA P33296 UBC6_YEAST Q74Z34 UBC6_ASHGO O42646 UBC6_SCHPO Q9SHI7 UBC34_ARATH 34 UBC34 Q9FK29 UBC33_ARATH 33 UBC33</t>
  </si>
  <si>
    <t xml:space="preserve">UBIQUITIN CONJUGATING ENZYME MUS MUSCULUS PE HOMO SAPIENS BOS TAURUS DEBARYOMYCES HANSENII CANDIDA GLABRATA SACCHAROMYCES CEREVISIAE ASHBYA GOSSYPII SCHIZOSACCHAROMYCES POMBE ARABIDOPSIS THALIANA PROBABLE </t>
  </si>
  <si>
    <t>Contig18057_340</t>
  </si>
  <si>
    <t xml:space="preserve"> CONTIG18057_340 GENEID_V1 3_PREDICTED_PROTEIN_340 241_AA CONTIG18002_12 3_PREDICTED_PROTEIN_12 148_AA CONTIG17792_61 3_PREDICTED_PROTEIN_61 188_AA CONTIG17306_20 3_PREDICTED_PROTEIN_20 300_AA CONTIG15129_2 3_PREDICTED_PROTEIN_2 152_AA CONTIG17463_16 3_PREDICTED_PROTEIN_16 231_AA CONTIG17592_17 3_PREDICTED_PROTEIN_17 155_AA CONTIG17970_573 3_PREDICTED_PROTEIN_573 200_AA CONTIG17834_72 3_PREDICTED_PROTEIN_72 CONTIG18055_235 3_PREDICTED_PROTEIN_235 147_AA</t>
  </si>
  <si>
    <t>ubiquitin-conjugating enzyme E2, J2 - Rattus norvegicus - endoplasmic reticulum</t>
  </si>
  <si>
    <t>UBCc 2e-024| UQ_con 5e-022| COG5078 7e-021| UBCc 3e-020|</t>
  </si>
  <si>
    <t>Q6P073 UB2J2_MOUSE E2 J2 UBE2J2 1 Q2TA03 UB2J2_BOVIN 2 Q8N2K1 UB2J2_HUMAN 3 Q6FQK7 UBC6_CANGA 6 UBC6 P33296 UBC6_YEAST Q6BYG4 UBC6_DEBHA Q74Z34 UBC6_ASHGO O42646 UBC6_SCHPO Q6CMG6 UBC6_KLULA Q54LP7 UB2J2_DICDI</t>
  </si>
  <si>
    <t xml:space="preserve">UBIQUITIN CONJUGATING ENZYME MUS MUSCULUS PE BOS TAURUS HOMO SAPIENS CANDIDA GLABRATA SACCHAROMYCES CEREVISIAE DEBARYOMYCES HANSENII ASHBYA GOSSYPII SCHIZOSACCHAROMYCES POMBE KLUYVEROMYCES LACTIS DICTYOSTELIUM DISCOIDEUM </t>
  </si>
  <si>
    <t xml:space="preserve"> CONTIG18057_340 GENEID_V1 3_PREDICTED_PROTEIN_340 241_AA CONTIG18002_12 3_PREDICTED_PROTEIN_12 148_AA CONTIG17306_20 3_PREDICTED_PROTEIN_20 300_AA CONTIG17792_61 3_PREDICTED_PROTEIN_61 188_AA CONTIG15129_2 3_PREDICTED_PROTEIN_2 152_AA CONTIG17463_16 3_PREDICTED_PROTEIN_16 231_AA CONTIG17592_17 3_PREDICTED_PROTEIN_17 155_AA CONTIG18055_235 3_PREDICTED_PROTEIN_235 147_AA CONTIG17970_573 3_PREDICTED_PROTEIN_573 200_AA CONTIG17798_46 3_PREDICTED_PROTEIN_46 91_AA</t>
  </si>
  <si>
    <t>UBCc 2e-024| UQ_con 8e-022| COG5078 1e-020| UBCc 5e-020| ND5 6e-006| ND2 6e-004| MopB_Res-Cmplx1_Nad11-M 0.023| Glyco_transf_22 0.024| RNA_polI_A34 0.049| GOT1 0.079|</t>
  </si>
  <si>
    <t>sp|Q0V9B1|TESC_XENTR</t>
  </si>
  <si>
    <t>Q0V9B1 2 1</t>
  </si>
  <si>
    <t xml:space="preserve">TESC_XENTR TESCALCIN XENOPUS TROPICALIS TESC PE </t>
  </si>
  <si>
    <t>Contig17966_125</t>
  </si>
  <si>
    <t xml:space="preserve"> CONTIG17966_125 GENEID_V1 3_PREDICTED_PROTEIN_125 249_AA CONTIG17995_104 3_PREDICTED_PROTEIN_104 154_AA</t>
  </si>
  <si>
    <t>Contig18047_171</t>
  </si>
  <si>
    <t>sp|Q03211|PEXLP_TOBAC</t>
  </si>
  <si>
    <t xml:space="preserve"> Nicotiana tabacum</t>
  </si>
  <si>
    <t>Q03211 2 1 P0CB49 YLPM1_RAT YLPM1 P28955 DEN_EHV1B ORF24 AB4P 24 3 Q2GVT8 SEC31_CHAGB SEC31 O00401 Q9P6R1 VRP1_SCHPO VRP1 P02812 PRB2_HUMAN PRB2 Q7G6K7 FH3_ORYSJ FH3 Q6PEV3 WIPF2_MOUSE WIPF2 Q8TF74 WIPF2_HUMAN</t>
  </si>
  <si>
    <t xml:space="preserve">PEXLP_TOBAC PISTIL SPECIFIC EXTENSIN LIKE NICOTIANA TABACUM PE YLP MOTIF CONTAINING RATTUS NORVEGICUS DENEDDYLASE EQUINE HERPESVIRUS STRAIN TRANSPORT CHAETOMIUM GLOBOSUM WASL_HUMAN NEURAL WISKOTT ALDRICH SYNDROME HOMO SAPIENS WASL VERPROLIN SCHIZOSACCHAROMYCES POMBE BASIC SALIVARY PROLINE RICH FORMIN ORYZA SATIVA SUBSP JAPONICA WAS INTERACTING FAMILY MEMBER MUS MUSCULUS </t>
  </si>
  <si>
    <t>Contig17943_145</t>
  </si>
  <si>
    <t xml:space="preserve"> CONTIG17943_145 GENEID_V1 3_PREDICTED_PROTEIN_145 376_AA CONTIG17909_32 3_PREDICTED_PROTEIN_32 995_AA CONTIG18047_190 3_PREDICTED_PROTEIN_190 2566_AA CONTIG17464_1 3_PREDICTED_PROTEIN_1 346_AA CONTIG17950_110 3_PREDICTED_PROTEIN_110 2445_AA CONTIG17569_39 3_PREDICTED_PROTEIN_39 604_AA CONTIG17945_77 3_PREDICTED_PROTEIN_77 235_AA CONTIG17970_425 3_PREDICTED_PROTEIN_425 2038_AA CONTIG17872_89 3_PREDICTED_PROTEIN_89 461_AA CONTIG17350_1 951_AA</t>
  </si>
  <si>
    <t>Contig17689_31</t>
  </si>
  <si>
    <t>Wiskott-Aldrich syndrome-like a - Danio rerio - molecular_function - biological_process - cellular_component</t>
  </si>
  <si>
    <t>PRK10819 3e-005| Atrophin-1 5e-005| DUF1210 2e-004| TonB 3e-004| Extensin_2 4e-004| GRASP55_65 0.004| ND2 0.010| Drf_FH1 0.011| DUF1421 0.018| EriC 0.019|</t>
  </si>
  <si>
    <t>sp|Q9N2I8|TRXR2_BOVIN</t>
  </si>
  <si>
    <t>Q9N2I8 TRXR2_BOVIN 2 TXNRD2 1 P91938 TRXR1_DROME Q9VNT5 TRXR2_DROME Q9NNW7 TRXR2_HUMAN 3 Q9JLT4 TRXR2_MOUSE 4 Q9Z0J5 TRXR2_RAT Q9JMH6 TRXR1_MOUSE TXNRD1 Q5NVA2 TRXR1_PONAB Q9MYY8 TRXR1_PIG Q16881 TRXR1_HUMAN</t>
  </si>
  <si>
    <t xml:space="preserve">THIOREDOXIN REDUCTASE MITOCHONDRIAL BOS TAURUS PE DROSOPHILA MELANOGASTER TRXR HOMO SAPIENS MUS MUSCULUS RATTUS NORVEGICUS CYTOPLASMIC PONGO ABELII SUS SCROFA </t>
  </si>
  <si>
    <t xml:space="preserve"> CONTIG17896_35 GENEID_V1 3_PREDICTED_PROTEIN_35 527_AA CONTIG17666_86 3_PREDICTED_PROTEIN_86 595_AA CONTIG17651_35 510_AA CONTIG17540_12 3_PREDICTED_PROTEIN_12 9992_AA CONTIG16927_1 3_PREDICTED_PROTEIN_1 4553_AA CONTIG17971_169 3_PREDICTED_PROTEIN_169 160_AA CONTIG17540_10 3_PREDICTED_PROTEIN_10 2241_AA CONTIG8399_1 646_AA CONTIG17960_3 3_PREDICTED_PROTEIN_3 350_AA</t>
  </si>
  <si>
    <t>Thioredoxin reductase-1 - Drosophila melanogaster - glutathione-disulfide reductase activity - cytoplasm - thioredoxin-disulfide reductase activity - protein homodimerization activity - cell redox homeostasis - mitochondrion - antioxidant activity - determination of adult life span</t>
  </si>
  <si>
    <t>glutathione\-disulfide reductase activity||glutathione disulfide oxidoreductase activity||peptide disulfide oxidoreductase activity||disulfide oxidoreductase activity||oxidoreductase activity\, acting on sulfur group of donors||oxidoreductase activity||catalytic activity</t>
  </si>
  <si>
    <t>GO:0004362</t>
  </si>
  <si>
    <t>PRK06116 4e-028| Pyr_redox_dim 7e-024| Lpd 2e-015| PRK06416 3e-008| PRK06292 3e-007| PRK06370 7e-006| PRK05249 1e-004| PRK06467 2e-004| PRK07846 2e-004| PRK07845 6e-004|</t>
  </si>
  <si>
    <t>Q9N2I8 TRXR2_BOVIN 2 TXNRD2 1 P91938 TRXR1_DROME Q9NNW7 TRXR2_HUMAN 3 Q9Z0J5 TRXR2_RAT Q9JLT4 TRXR2_MOUSE 4 Q9VNT5 TRXR2_DROME Q5NVA2 TRXR1_PONAB TXNRD1 Q9MYY8 TRXR1_PIG Q16881 TRXR1_HUMAN Q9JMH6 TRXR1_MOUSE</t>
  </si>
  <si>
    <t xml:space="preserve">THIOREDOXIN REDUCTASE MITOCHONDRIAL BOS TAURUS PE DROSOPHILA MELANOGASTER TRXR HOMO SAPIENS RATTUS NORVEGICUS MUS MUSCULUS CYTOPLASMIC PONGO ABELII SUS SCROFA </t>
  </si>
  <si>
    <t xml:space="preserve"> CONTIG17896_35 GENEID_V1 3_PREDICTED_PROTEIN_35 527_AA CONTIG17666_86 3_PREDICTED_PROTEIN_86 595_AA CONTIG17651_35 510_AA CONTIG17540_12 3_PREDICTED_PROTEIN_12 9992_AA CONTIG16927_1 3_PREDICTED_PROTEIN_1 4553_AA CONTIG17971_169 3_PREDICTED_PROTEIN_169 160_AA CONTIG17859_14 3_PREDICTED_PROTEIN_14 127_AA CONTIG17540_10 3_PREDICTED_PROTEIN_10 2241_AA CONTIG8399_1 646_AA CONTIG17999_4 3_PREDICTED_PROTEIN_4 125_AA</t>
  </si>
  <si>
    <t>PRK06116 1e-018| Pyr_redox_dim 1e-015| Lpd 7e-010| PRK06416 7e-007| PRK06292 4e-005| PRK06370 6e-005| PRK06467 2e-004| PRK05249 0.004| PRK05976 0.014| VAR1 0.021|</t>
  </si>
  <si>
    <t>P50269 ATP6_DROSI ATPASE6 3 1 P00851 ATP6_DROYA Q7IV55 ATP6_DROMA 2 Q7IV45 ATP6_DROSE P00850 ATP6_DROME P33507 ATP6_ANOQU ATP6 P34834 ATP6_ANOGA Q1HRS5 ATP6_AEDAE Q5JCK5 ATP6_AEDAL P14569 ATP6_LOCMI</t>
  </si>
  <si>
    <t xml:space="preserve">ATP SYNTHASE SUBUNIT A DROSOPHILA SIMULANS MT PE YAKUBA MAURITIANA SECHELLIA MELANOGASTER ANOPHELES QUADRIMACULATUS GAMBIAE AEDES AEGYPTI ALBOPICTUS LOCUSTA MIGRATORIA </t>
  </si>
  <si>
    <t>Contig7855_1</t>
  </si>
  <si>
    <t xml:space="preserve"> CONTIG7855_1 GENEID_V1 3_PREDICTED_PROTEIN_1 22_AA</t>
  </si>
  <si>
    <t>mitochondrial ATPase subunit 6 - Drosophila melanogaster - hydrogen-exporting ATPase activity, phosphorylative mechanism - mitochondrion - mitochondrial proton-transporting ATP synthase complex, coupling factor F(o) - determination of adult life span - muscle maintenance - neurological system process - regulation of ATPase activity</t>
  </si>
  <si>
    <t>&lt;determination of adult life span||Sertoli cell fate commitment||Sertoli cell differentiation||Leydig cell differentiation||olfactory placode formation||neural plate thickening||floor plate formation||neural fold folding||neural fold bending||neural fold folding||neural fold bending||dorsal convergence||gonad morphogenesis||leg segmentation||fin morphogenesis||cytokine secretion||pollen hydration||pollen adhesion||diapedesis||seed growth||cornification||innervation</t>
  </si>
  <si>
    <t>GO:0008340</t>
  </si>
  <si>
    <t>ATP6 1e-093| ATP_synt_6_or_A 1e-058| ATP6 2e-049| ATP-synt_A 2e-049| ATP6 6e-045| ATP6 8e-043| ATP6 3e-041| ATP6 2e-040| ATP6 6e-040| ATP6 2e-038|</t>
  </si>
  <si>
    <t>P50269 ATP6_DROSI ATPASE6 3 1 P00851 ATP6_DROYA Q7IV55 ATP6_DROMA 2 Q7IV45 ATP6_DROSE P00850 ATP6_DROME Q1HRS5 ATP6_AEDAE P34834 ATP6_ANOGA P33507 ATP6_ANOQU ATP6 Q5JCK5 ATP6_AEDAL P14569 ATP6_LOCMI</t>
  </si>
  <si>
    <t xml:space="preserve">ATP SYNTHASE SUBUNIT A DROSOPHILA SIMULANS MT PE YAKUBA MAURITIANA SECHELLIA MELANOGASTER AEDES AEGYPTI ANOPHELES GAMBIAE QUADRIMACULATUS ALBOPICTUS LOCUSTA MIGRATORIA </t>
  </si>
  <si>
    <t>Contig17868_39</t>
  </si>
  <si>
    <t xml:space="preserve"> CONTIG17868_39 GENEID_V1 3_PREDICTED_PROTEIN_39 1941_AA</t>
  </si>
  <si>
    <t>Contig7453_1</t>
  </si>
  <si>
    <t>ATP6 3e-095| ATP_synt_6_or_A 5e-062| ATP-synt_A 1e-053| ATP6 1e-049| ATP6 2e-046| ATP6 5e-044| ATP6 6e-043| ATP6 4e-041| ATP6 5e-041| ATP6 6e-040|</t>
  </si>
  <si>
    <t>sp|P34834|ATP6_ANOGA</t>
  </si>
  <si>
    <t>P34834 ATP6_ANOGA ATPASE6 3 1 P33507 ATP6_ANOQU ATP6 P50269 ATP6_DROSI Q7IV45 ATP6_DROSE Q7IV55 ATP6_DROMA 2 P14569 ATP6_LOCMI P00851 ATP6_DROYA P00850 ATP6_DROME Q1HRS5 ATP6_AEDAE Q5JCK5 ATP6_AEDAL</t>
  </si>
  <si>
    <t xml:space="preserve">ATP SYNTHASE SUBUNIT A ANOPHELES GAMBIAE MT PE QUADRIMACULATUS DROSOPHILA SIMULANS SECHELLIA MAURITIANA LOCUSTA MIGRATORIA YAKUBA MELANOGASTER AEDES AEGYPTI ALBOPICTUS </t>
  </si>
  <si>
    <t>Contig17920_82</t>
  </si>
  <si>
    <t xml:space="preserve"> CONTIG17920_82 GENEID_V1 3_PREDICTED_PROTEIN_82 1227_AA CONTIG18022_15 3_PREDICTED_PROTEIN_15 813_AA</t>
  </si>
  <si>
    <t>Contig17828_10</t>
  </si>
  <si>
    <t>LAG1 3e-004| NtpI 4e-004| RNA_polI_A34 7e-004| PRK05771 9e-004| TonB 0.002| AppB 0.003| PRK04950 0.003| PRK11192 0.004| DUF1754 0.005| SURF6 0.005|</t>
  </si>
  <si>
    <t>Contig2078_6</t>
  </si>
  <si>
    <t xml:space="preserve"> CONTIG2078_6 GENEID_V1 3_PREDICTED_PROTEIN_6 318_AA CONTIG17797_67 3_PREDICTED_PROTEIN_67 357_AA CONTIG16144_2 3_PREDICTED_PROTEIN_2 445_AA</t>
  </si>
  <si>
    <t>Contig17960_137</t>
  </si>
  <si>
    <t>ND5 9e-008| 7TM_GPCR_Srz 2e-006| ND4 7e-006| Borrelia_orfA 5e-005| ATP6 1e-004| ND6 3e-004| ND2 6e-004| ND1 0.001| PRK04950 0.005| DUF1754 0.006|</t>
  </si>
  <si>
    <t>Contig16340_4</t>
  </si>
  <si>
    <t>ND5 2e-006| ND2 2e-004| ND6 7e-004| ND3 0.007| PRK13414 0.008| 7TM_GPCR_Srz 0.009| TatC 0.010| ND4 0.014| Oxidored_q4 0.033| ND4L 0.040|</t>
  </si>
  <si>
    <t xml:space="preserve"> Rhodnius prolixus</t>
  </si>
  <si>
    <t>sp|Q27023|DEFI_TENMO</t>
  </si>
  <si>
    <t xml:space="preserve"> Tenebrio molitor</t>
  </si>
  <si>
    <t>Q27023 1 O96049 P10891 2 P18313 P31530 P83404 3 P80407 P81602 P91793 Q8WTD4</t>
  </si>
  <si>
    <t xml:space="preserve">DEFI_TENMO TENECIN TENEBRIO MOLITOR PE DEFI_ORYRH DEFENSIN ORYCTES RHINOCEROS DEFI_PROTE PHORMICIN PROTOPHORMIA TERRAENOVAE SAPE_SARPE SAPECIN SARCOPHAGA PEREGRINA SAPC_SARPE C DEFI_PHLDU PHLEBOTOMUS DUBOSCQI DEFI_PALPR PALOMENA PRASINA DEFB_AEDAE B AEDES AEGYPTI DEFB DEFA_AEDAE A DEFA DEF_GLOMM GLOSSINA MORSITANS </t>
  </si>
  <si>
    <t>Contig17966_73</t>
  </si>
  <si>
    <t xml:space="preserve"> CONTIG17966_73 GENEID_V1 3_PREDICTED_PROTEIN_73 416_AA CONTIG17966_69 3_PREDICTED_PROTEIN_69 95_AA CONTIG17966_82 3_PREDICTED_PROTEIN_82 CONTIG17966_77 3_PREDICTED_PROTEIN_77 CONTIG17966_78 3_PREDICTED_PROTEIN_78 CONTIG17966_84 3_PREDICTED_PROTEIN_84 CONTIG17966_85 3_PREDICTED_PROTEIN_85 CONTIG17966_89 3_PREDICTED_PROTEIN_89 89_AA CONTIG17966_81 3_PREDICTED_PROTEIN_81 125_AA CONTIG16965_2 3_PREDICTED_PROTEIN_2 94_AA</t>
  </si>
  <si>
    <t>hydrogen peroxide catabolic process||cellular response to hydrogen peroxide||cellular response to reactive oxygen species||cellular response to oxidative stress||response to oxidative stress||response to chemical stimulus||response to stimulus</t>
  </si>
  <si>
    <t>GO:0042744</t>
  </si>
  <si>
    <t>Defensin_2 0.001| MopB_Res-Cmplx1_Nad11-M 0.016| TatC 0.029| COG0670 0.078| Knot1 0.082| lacY 0.084|</t>
  </si>
  <si>
    <t>sp|O96049|DEFI_ORYRH</t>
  </si>
  <si>
    <t xml:space="preserve"> Oryctes rhinoceros</t>
  </si>
  <si>
    <t>O96049 1 P80407 Q27023 P10891 2 P18313 P83404 3 P31530 Q8WTD4 P81602 P91793</t>
  </si>
  <si>
    <t xml:space="preserve">DEFI_ORYRH DEFENSIN ORYCTES RHINOCEROS PE DEFI_PALPR PALOMENA PRASINA DEFI_TENMO TENECIN TENEBRIO MOLITOR DEFI_PROTE PHORMICIN PROTOPHORMIA TERRAENOVAE SAPE_SARPE SAPECIN SARCOPHAGA PEREGRINA DEFI_PHLDU PHLEBOTOMUS DUBOSCQI SAPC_SARPE C DEF_GLOMM A GLOSSINA MORSITANS DEFB_AEDAE B AEDES AEGYPTI DEFB DEFA_AEDAE DEFA </t>
  </si>
  <si>
    <t xml:space="preserve"> CONTIG17966_82 GENEID_V1 3_PREDICTED_PROTEIN_82 95_AA CONTIG17966_78 3_PREDICTED_PROTEIN_78 CONTIG17966_77 3_PREDICTED_PROTEIN_77 CONTIG17966_73 3_PREDICTED_PROTEIN_73 416_AA CONTIG17966_69 3_PREDICTED_PROTEIN_69 CONTIG17966_84 3_PREDICTED_PROTEIN_84 CONTIG17966_89 3_PREDICTED_PROTEIN_89 89_AA CONTIG17966_85 3_PREDICTED_PROTEIN_85 CONTIG17966_81 3_PREDICTED_PROTEIN_81 125_AA CONTIG16965_2 3_PREDICTED_PROTEIN_2 94_AA</t>
  </si>
  <si>
    <t>Defensin_2 0.001| Knot1 0.050| Knot1 0.052|</t>
  </si>
  <si>
    <t>sp|Q5RKI1|IF4A2_RAT</t>
  </si>
  <si>
    <t>Q5RKI1 IF4A2_RAT 4A EIF4A2 1 Q5R4X1 IF4A2_PONAB 2 P10630 IF4A2_MOUSE Q4R4Y9 IF4A2_MACFA Q14240 IF4A2_HUMAN Q8JFP1 IF4A2_CHICK Q3SZ65 IF4A2_BOVIN P29562 IF4A1_RABIT EIF4A1 Q5R5F5 IF4A1_PONAB P60843 IF4A1_MOUSE</t>
  </si>
  <si>
    <t xml:space="preserve">EUKARYOTIC INITIATION FACTOR II RATTUS NORVEGICUS PE PONGO ABELII MUS MUSCULUS MACACA FASCICULARIS HOMO SAPIENS GALLUS BOS TAURUS I FRAGMENT ORYCTOLAGUS CUNICULUS </t>
  </si>
  <si>
    <t>Contig17157_4</t>
  </si>
  <si>
    <t xml:space="preserve"> CONTIG17157_4 GENEID_V1 3_PREDICTED_PROTEIN_4 423_AA CONTIG16685_2 3_PREDICTED_PROTEIN_2 401_AA CONTIG17755_10 3_PREDICTED_PROTEIN_10 CONTIG9887_1 3_PREDICTED_PROTEIN_1 40_AA CONTIG16899_3 3_PREDICTED_PROTEIN_3 763_AA</t>
  </si>
  <si>
    <t>eukaryotic translation initiation factor 4A2 - Rattus norvegicus - protein binding - cytosol - response to protein stimulus</t>
  </si>
  <si>
    <t>response to protein stimulus||response to chemical stimulus||response to stimulus</t>
  </si>
  <si>
    <t>GO:0051789</t>
  </si>
  <si>
    <t>RNA_polI_A34 3e-006| PRK11192 1e-005| DUF1754 2e-004| TatC 4e-004| Peptidase_S49_N 5e-004| eIF3_subunit 8e-004| 7tm_4 0.002| Ribosomal_L30_N 0.002| BLVR 0.002| 7TMR-DISM_7TM 0.002|</t>
  </si>
  <si>
    <t>sp|Q058C9|DNLJ_BUCCC</t>
  </si>
  <si>
    <t xml:space="preserve"> Buchnera aphidicola subsp. Cinara cedri</t>
  </si>
  <si>
    <t>Q058C9 3 1 Q8K9W5 Q89AY7 Y081_BUCBP BBP_081 4 P09975 YCF2_MARPO YCF2</t>
  </si>
  <si>
    <t xml:space="preserve">DNLJ_BUCCC DNA LIGASE BUCHNERA APHIDICOLA SUBSP CINARA CEDRI LIGA PE PTA_BUCAP PHOSPHATE ACETYLTRANSFERASE SCHIZAPHIS GRAMINUM PTA UNCHARACTERIZED BAIZONGIA PISTACIAE STRAIN BP MARCHANTIA POLYMORPHA </t>
  </si>
  <si>
    <t>Contig17899_108</t>
  </si>
  <si>
    <t xml:space="preserve"> CONTIG17899_108 GENEID_V1 3_PREDICTED_PROTEIN_108 915_AA CONTIG17995_8 3_PREDICTED_PROTEIN_8 980_AA CONTIG17771_36 3_PREDICTED_PROTEIN_36 1026_AA CONTIG18017_41 3_PREDICTED_PROTEIN_41 422_AA CONTIG17664_44 3_PREDICTED_PROTEIN_44 921_AA CONTIG8777_1 3_PREDICTED_PROTEIN_1 92_AA</t>
  </si>
  <si>
    <t>Contig17944_162</t>
  </si>
  <si>
    <t>DUF226 0.002| rpoC2 0.059| ND5 0.080|</t>
  </si>
  <si>
    <t>sp|Q9SCV9|BGAL3_ARATH</t>
  </si>
  <si>
    <t>Q9SCV9 BGAL3_ARATH 3 BGAL3 1 B3R0N4</t>
  </si>
  <si>
    <t xml:space="preserve">BETA GALACTOSIDASE ARABIDOPSIS THALIANA PE AMPA_PHYMT PROBABLE CYTOSOL AMINOPEPTIDASE PHYTOPLASMA MALI STRAIN AT PEPA </t>
  </si>
  <si>
    <t>Contig17891_118</t>
  </si>
  <si>
    <t xml:space="preserve"> CONTIG17891_118 GENEID_V1 3_PREDICTED_PROTEIN_118 87_AA CONTIG17648_3 3_PREDICTED_PROTEIN_3 451_AA CONTIG17569_38 3_PREDICTED_PROTEIN_38 1106_AA</t>
  </si>
  <si>
    <t>huntingtin - Rattus norvegicus - urea cycle - citrulline metabolic process - calcium channel regulator activity - protein binding - soluble fraction - cytoplasm - Golgi apparatus - protein import into nucleus - mitochondrial transport - ER to Golgi vesicle-mediated transport - apoptosis - anti-apoptosis - mitochondrion organization - endoplasmic reticulum organization - dopamine receptor signaling pathway - multicellular organismal development - spermatogenesis - gastrulation - central nervous system development - brain development - cell aging - behavior - learning or memory - learning - locomotory behavior - axon cargo transport - cell death - associative learning - determination of adult life span - visual learning - anatomical structure morphogenesis - embryonic development - anterior/posterior pattern formation - cytoplasmic membrane-bounded vesicle - endosome transport - inclusion body - lactate biosynthetic process from pyruvate - quinolinate biosynthetic process - striatum development - olfactory lobe development - neural plate formation - neurogenesis - peptide hormone secretion - insulin secretion - axon - social behavior - hormone metabolic process - negative regulation of neuron apoptosis - regulation of mitochondrial membrane permeability - vesicle transport along microtubule - regulation of synaptic plasticity - paraxial mesoderm formation - neuron development - diazepam binding - neuron apoptosis - response to calcium ion - regulation of mitochondrial membrane potential - L-glutamate import - iron ion homeostasis</t>
  </si>
  <si>
    <t>calcium channel regulator activity||channel regulator activity||auxiliary transport protein activity</t>
  </si>
  <si>
    <t>auxiliary transport protein activity</t>
  </si>
  <si>
    <t>channel regulator activity</t>
  </si>
  <si>
    <t>GO:0005246</t>
  </si>
  <si>
    <t>urea cycle||amide biosynthetic process||nitrogen compound biosynthetic process||cellular nitrogen compound metabolic process||nitrogen compound metabolic process||metabolic process</t>
  </si>
  <si>
    <t>GO:0000050</t>
  </si>
  <si>
    <t>sp|Q9GZM6|OR8D2_HUMAN</t>
  </si>
  <si>
    <t>Q9GZM6 OR8D2_HUMAN 8D2 OR8D2 2 1 Q7SXP8 Q86L54 Y2829_DICDI DDB_G0272829 3 Q8RA32 DPO3_THETN</t>
  </si>
  <si>
    <t xml:space="preserve">OLFACTORY RECEPTOR HOMO SAPIENS PE GMPAB_DANRE MANNOSE PHOSPHATE GUANYLTRANSFERASE ALPHA B DANIO RERIO GMPPAB TNF ASSOCIATED FACTOR FAMILY DICTYOSTELIUM DISCOIDEUM DNA POLYMERASE III POLC TYPE THERMOANAEROBACTER TENGCONGENSIS </t>
  </si>
  <si>
    <t>Contig17728_117</t>
  </si>
  <si>
    <t xml:space="preserve"> CONTIG17728_117 GENEID_V1 3_PREDICTED_PROTEIN_117 901_AA CONTIG17849_45 3_PREDICTED_PROTEIN_45 109_AA CONTIG17558_41 3_PREDICTED_PROTEIN_41 900_AA</t>
  </si>
  <si>
    <t>Contig17877_78</t>
  </si>
  <si>
    <t>DNA polymerase III, alpha subunit, Gram-positive type - Carboxydothermus hydrogenoformans Z-2901 - DNA-directed DNA polymerase activity - DNA replication - DNA polymerase III complex</t>
  </si>
  <si>
    <t>DNA\-directed DNA polymerase activity||DNA polymerase activity||nucleotidyltransferase activity||transferase activity\, transferring phosphorus\-containing groups||transferase activity||catalytic activity</t>
  </si>
  <si>
    <t>GO:0003887</t>
  </si>
  <si>
    <t>DNA polymerase III complex||DNA polymerase complex||outer membrane\-bounded periplasmic space||external encapsulating structure part||cell part</t>
  </si>
  <si>
    <t>GO:0009360</t>
  </si>
  <si>
    <t>DNA replication||cellular biopolymer biosynthetic process||cellular macromolecule biosynthetic process||cellular macromolecule metabolic process||macromolecule metabolic process||metabolic process</t>
  </si>
  <si>
    <t>GO:0006260</t>
  </si>
  <si>
    <t>Contig17944_35</t>
  </si>
  <si>
    <t xml:space="preserve"> CONTIG17944_35 GENEID_V1 3_PREDICTED_PROTEIN_35 274_AA CONTIG27320_1 3_PREDICTED_PROTEIN_1 145_AA CONTIG17932_30 3_PREDICTED_PROTEIN_30 129_AA CONTIG17970_638 3_PREDICTED_PROTEIN_638 472_AA CONTIG17971_24 3_PREDICTED_PROTEIN_24 212_AA CONTIG17788_2 3_PREDICTED_PROTEIN_2 314_AA CONTIG17995_120 3_PREDICTED_PROTEIN_120 466_AA CONTIG17935_8 3_PREDICTED_PROTEIN_8 136_AA CONTIG17953_121 3_PREDICTED_PROTEIN_121 116_AA CONTIG4987_1 392_AA</t>
  </si>
  <si>
    <t>Competence 0.010| COG5594 0.012| ComEC 0.032| TatC 0.055| COG4485 0.067| Serpentine_recp 0.086|</t>
  </si>
  <si>
    <t>sp|Q8IXM2|CQ049_HUMAN</t>
  </si>
  <si>
    <t>Q8IXM2 CQ049_HUMAN MLL1 C17ORF49 1 Q32LD1 CQ049_BOVIN 2 Q9DCT6 CQ049_MOUSE Q9ZDN1 Y296_RICPR RP296 4</t>
  </si>
  <si>
    <t xml:space="preserve">MLL COMPLEX SUBUNIT HOMO SAPIENS PE HOMOLOG BOS TAURUS MUS MUSCULUS UNCHARACTERIZED RICKETTSIA PROWAZEKII </t>
  </si>
  <si>
    <t>Contig17238_5</t>
  </si>
  <si>
    <t xml:space="preserve"> CONTIG17238_5 GENEID_V1 3_PREDICTED_PROTEIN_5 153_AA CONTIG17998_72 3_PREDICTED_PROTEIN_72 98_AA CONTIG18013_12 3_PREDICTED_PROTEIN_12 613_AA CONTIG2551_3 3_PREDICTED_PROTEIN_3 615_AA CONTIG17885_47 3_PREDICTED_PROTEIN_47 468_AA CONTIG17077_19 3_PREDICTED_PROTEIN_19 1249_AA CONTIG17945_70 3_PREDICTED_PROTEIN_70 223_AA CONTIG17972_223 3_PREDICTED_PROTEIN_223 520_AA CONTIG17103_8 3_PREDICTED_PROTEIN_8 159_AA CONTIG13348_1 3_PREDICTED_PROTEIN_1 141_AA</t>
  </si>
  <si>
    <t>zgc:92664 - Danio rerio - biological_process - cellular_component - molecular_function</t>
  </si>
  <si>
    <t>TLC 0.003| Sre 0.067|</t>
  </si>
  <si>
    <t xml:space="preserve"> CONTIG17238_5 GENEID_V1 3_PREDICTED_PROTEIN_5 153_AA CONTIG17998_72 3_PREDICTED_PROTEIN_72 98_AA CONTIG17972_223 3_PREDICTED_PROTEIN_223 520_AA CONTIG17103_8 3_PREDICTED_PROTEIN_8 159_AA CONTIG13348_1 3_PREDICTED_PROTEIN_1 141_AA CONTIG10348_1 271_AA CONTIG18050_47 3_PREDICTED_PROTEIN_47 534_AA</t>
  </si>
  <si>
    <t>MpPF26 2e-004| TatC 0.002| Serpentine_recp 0.002| DltB 0.002| COG5578 0.005| COG4758 0.006| COG5409 0.007| 7tm_4 0.007| COG4781 0.012| 7TMR-DISM_7TM 0.013|</t>
  </si>
  <si>
    <t>Annotation</t>
  </si>
  <si>
    <t>Class</t>
  </si>
  <si>
    <t>Database</t>
  </si>
  <si>
    <t>Infected</t>
  </si>
  <si>
    <t>Not Infected</t>
  </si>
  <si>
    <t>Length of nt seq</t>
  </si>
  <si>
    <t>Larger orf (nt)</t>
  </si>
  <si>
    <t>Larger pep</t>
  </si>
  <si>
    <t>Frame of larger ORF</t>
  </si>
  <si>
    <t>CAIGPFTLNGVPLRRIHPNYVIATSARIDMSEVNVPSHINDKYFKRIKTKKAKKDDGEIFAAKKEPYKPSEQRRIDQKALDKAILKAIKKSPDAAHYRRYLCAMFGLRSSQYPHRMKF</t>
  </si>
  <si>
    <t>NLANIKELWLTLTIILGILLLIALIVIIFLRKRIVIAITLIKEGSKAISSVISTLFFPIIPWCLKCCVVIWVLFIAFHLFSLGTQVFKAHGLNGMCKCEDKYENLKNGDVCNPKLFQELCHNQPSGTTCTTAGCRYYEMDSGSFVVYLHLFNAFGFFWGLWFVSGLSDMILAGTFAKWYWTFDKRRVPFFAVTESTARTLRHHLGTIALGSLIISICSFIRAIIEYTEKKVKSYE</t>
  </si>
  <si>
    <t>FFFFFFGKKTRPWRVPPKWEKNKSGGFFYVKKKKGGVFFFFFFFWFFLRRTFFFFFFSFLLKLFVLTPFLFLKKIYF</t>
  </si>
  <si>
    <t>HFISGNPLNTLWDVVKTTLLLFQNAALLEVLNVALGFVRSNLGLTFVQVMSRVVVVCGVLWATPTAPLSYGLPLLLIAWSITEVIRYSFYALNLIGTVPYFLIWCRYTFFYALYPIGVSGELLCLFAAQSFISQSKQWTIEFPNCLNFTFSYHYFLLGIMATYPFLFPKLYLYMIDQRKKIIVNPKEKKHS</t>
  </si>
  <si>
    <t>KMTTYTDKGPPLEGGKFLCFDHIVFWVGNAKQAASYYCTRMGFQHIAYKGLETGSREYAAHVVQQNKIKFVFVSAYEPKEKEVNLHVAKHGDGVKDVAFTVEDIHLIIKKAKERGATIVRDIWEERDEHGVVQFATVKTFGDTTHTFVQRSAYKGLFLPGYRASNRNDVLSDKLPPAKLDFIDHVVGNQPDLSMESAAKWYEKTLMFHRF</t>
  </si>
  <si>
    <t>SRFDPSRSDMFFYFFFLKKNPKTFDAFRSKTPLVWVRNSSQGWLSTF</t>
  </si>
  <si>
    <t>SYEAVCQQRIDYTRPVIILGPLKDRINDDLISEFPEQFGSCVPHTTRPKREYEVDGRDYHFVSSREQMEKDIQNHLFIEAGQYNDNLYGTSVSSVKEVAHKGKHCILDVSGNAIKRLQVAMLYPIAIFIKPKSIESIMEMNKRMTEEQAKKTFERALKLEQDFGEFFTAVVQGDTPEEIYQKVKDVINEQSGPTIWVASKDPL</t>
  </si>
  <si>
    <t>PRPMEELQRELKDYKDSLSMYPLLKKNGREVLRNHLNTQYYGNITLGTPPQQFTVIFDTGSSDLWVPATICTSIACKRHNTYDHGRSSTYKPDGRIMRLAYVKGSMVGIISSDDLQIGELKVKNQLFGEAVEVADLPFARAKADGILGLAFPSIAYGQNVPPFHNMIKQGLLEKPVFSFYLNRN</t>
  </si>
  <si>
    <t>FFFFFFWPPKNQTIFFFFPFFNFFTPGFFWENSKLNFFQKKNFYNFPKKKKKIFFFFFSLRKGNKFLFLKKLFLLYKSALHFIL</t>
  </si>
  <si>
    <t>LSLKGTAITYYGDHLGMPDSIVRMDQAKDPQGKHSSYSDFLWKSRDPERGPFLWNKNKTAGFSSSLKSWIPVSPSYWQNNVKTQNSSDRSHLKIYREMVSLRKNLTLKFGDINVIDVNDNVLAIYRYFDDNPSVVVVINFGSIEEKVNLLQKRESLPSTLYFYLASLNVNDFRDKDKKPELYKSSEITIPPKAALVLTTQQMK</t>
  </si>
  <si>
    <t>DSWLPLLRKSLNTDESVFGSYITGILTGDETLEEKTEALEGILAEITENDISDHCSEILDRWKSCQKSPESETLIRTNPFEDVEEKLVRLLETNTLSTTVHREYTEEERRIREAILAQYSQTSDQESGGEENSCPGEGKENGLVRNTNASAVAQAEKEKREKAKIDSQKKKKKKKKKT</t>
  </si>
  <si>
    <t>TICQDLFQPRLASWRKKLVDHITKCSLAQGLCGVPDVPHIQLQNHNKPQETELFEASGRGGSVRITFELKAYRTN</t>
  </si>
  <si>
    <t>GETVAGGGAGGPPLFFAAFYLTPPPPTCALKRGGGWWSAKGADFKSLGDKPPRGFFPRSRPGF</t>
  </si>
  <si>
    <t>YSIPTYESLTCVRLLASNPQVNLHLPFFFLSIDHHISTESNILVIFFFPLAQLKVGGPVIDEIANNMFHRTNCLCNQRKEKKASDSTTGVSQSTHQTPHTQSLDRYLVSSLANRCPFPF</t>
  </si>
  <si>
    <t>IINCSGSNTVCTIDITPSSTINDVKTCVHKKKGKLYPDRQALRLEAKSKNLKDEETLQSLGLKNGSRLYLKGLGPQIGWSTVFLAEYAGPLVIYLYVYQRPLIFYGNFGSSAEGSITAHIAAACWKFHYAKGLLETIFVHRFFSFHNGSL</t>
  </si>
  <si>
    <t>KSKLSARGRELISTSLTTAKARATDFVETSEGLKPIDTVSEEQSGTISPTRTALLESSGTKRGLAPELSKQNSTESLNETKSTLDLPFNKSDLDISSREDSTTSEAPVNKKAKFESMIHFVKAETLLLSGKTKENVSVHAEEESELSEENMKTYIKDNSSLLMDKMKFLSAGKESVSPVQIWAIQLETLLNAWESKYLKASFLKSWLDSTSKELRRLESSGAPPGWLCTWSKYDTHCPHPPLSSKLVSVLFWFGPKKTLKIQKWPKQFTLNFSSKRANLSFIKKKKKNF</t>
  </si>
  <si>
    <t>NSAITAGEIINKLLNYFTHHGIPETIISDNSTEFNNSLIKEEMALHIIKIHFTSTQHPTSNGMVERVHSTLIEHIRLLKNQPEFKKDTMENKLKYAILAYNNSIHSVTKLTPFEILYGHINPNSPFDIDFNTLLTNDYIHHHKEKTKLLYERIKETNQKIKENIPTKRNINREPLPEFPSDIYVKTMQKQSKTKNKI</t>
  </si>
  <si>
    <t>FFFFFFFFCFKNRKILLREFKILSSIPNNWFINILKLAGLILLKLALMSTRRMSDSDCSCLKAEWRLFLKECLLFIVQIPPPCEKG</t>
  </si>
  <si>
    <t>FFFFFPHGTCSLSVSWLYLALDGVYHLLSPPPPPPPTVRRGPPEIGICHQRAWHPLGTVASFKMDLGEMHISQR</t>
  </si>
  <si>
    <t>TITDYFFPYNDDFETCLNKANLIVANTIEYKWKLYNPIWFFIFRFTGRNGMDSTKCWRQEINMIF</t>
  </si>
  <si>
    <t>LYRTLKERINYIEPAISIRSLKELETFSRKFPTKNSKSYSVNSHIMVSSISSNLEF</t>
  </si>
  <si>
    <t>TTLSHSLSSSHALFSHSLKHYADSSSSTSSSSSSSPSPKSSPISSPTKLVIIFLFALNLFFLFVKDFFITFTLSIFFLLLCFLHILSFVLCWPFRSFYF</t>
  </si>
  <si>
    <t>IMKDLNINQLSEEELDVETSARIEAILKPPKKKRKRPLIEDSEPEPDTDSETEAIQEAFKKGILKPGLNIPAPEQKPKINNVPLLKKRRKELKTNFDWIERLDVISKQAPLAPELSVQLSETEGTKDTIIHDELKRESIFYRQAQDAVLSVLPKLRELGIKTQRPEDYYAEMAKSDAHMQKVKIHLIKRKTETERKEKVRAMRAQKKLQKAVQAQVKVAKQKLQKRNYGIK</t>
  </si>
  <si>
    <t>AKTPARKNTPFNNDEAKEGQPNKTGDKTGQETSAEVEGDFVETQGVPRGTSSSYHTRQEELDAQFITEAEILSLRINIEQELASWSQPPDSEEAIAAWEKLCSVTSNLAKELSEQLRLVLEPTNASGLKGDFRTGRRINMRKVIPYIASQFRKDKIWLRRTKPSKREYQIILAVDDSSSMADNHSKELAFESLALVSRALNLLEAGDLGVLSFGETIKVLHQLGDPFNEYSG</t>
  </si>
  <si>
    <t>PIRGNLPMEPKFGPQPKTFSILKWIGPGGPPRFFFFFFFFFWVFFFFFFFFFFFFFFFFFQITLIFINCNLINTRCYTLNLFLTMLILSITPQSCIRLHSSFLYILQYKTSK</t>
  </si>
  <si>
    <t>LTLRSHCECPVPLLGFSXXXXSKMXLPVLLGLNEXFLKXTLHKIDSKEFEVYNFKNEMCLAPPPLANPRSSNVYFTTDQNGREVKIKFDHGTTTLGFVYNNGVVLAVDSRSTGGKYIGSQSMKKLWR</t>
  </si>
  <si>
    <t>KPYFVSLSSILFAFLSTRNSVVYHLVIGDKAWGVCFKSKDTYQTQNRFVSVSIPIPFSQNWSKRTSFSWLINLTVILKGEA</t>
  </si>
  <si>
    <t>SNLYLSYHYMKFFTIIAVVCYLFIATNCLPETEIIKECSEKYGVPSVDANQLVNHIRVAFYQRDKCMIRCFLEAREYYVNDKVDFGKMLESQKKFLSPEQQKIVEKIYKICEDYIIHFTDECEVAYEAYHCTKPKPSYLYPN</t>
  </si>
  <si>
    <t>PYCVDNDAGITGIWFPFVSRFLSPIFLPFPIWAEGQSNHTNFKVSAFGGLWAVVHTAGVVVKGRLEVQESCLWDSMFKVSVVGTLRTARALLPLLKVTKGRLITVGLSGECRNGAGVVAYTAARHAVAGASNALGHELAHLGISVVVINTGPITAEHMYHRVKVSRPAHEGKNTFLSFIYRLKKKPLP</t>
  </si>
  <si>
    <t>LSYVSTTLSSSCLFVGVAVGHILTKRDNNAEALIDEFIYETVQDLQKNHGDQITIPDIDEKFEKKVAFFKIRGEFITKDGWLRNLTTLQRMAPSEFIQEGNSIILGITLGLNELEFGFKQYSAEILHIGIHGSMRVSVQKNSLYMHLNMMFDDNGGCKTTLDKVTVKELNGFHADMTGLGRDADFIYSMVASLLANKYHKNIERSLTQRLTPVLGDVLTKKKKKK</t>
  </si>
  <si>
    <t>FPLLRDYISGNDVNTVPLSKNSFVEQHYGIARVEIVEVGEEDSDEYDEEDLGIAMRRDEHINMESIQRIINGVVPPRQEDEAEEEEDEGIDL</t>
  </si>
  <si>
    <t>SFSVFFILLFGVFNIRNFIRVNNSIHFILLMFLNKTKKINNGIIFTVSVACKNLIIYFLIKLFSH</t>
  </si>
  <si>
    <t>SRIFRSNSFFMAANVRKPVAEGRADSTPIFLQDIPLLFHKGIIKPDVTLVHVSPPDNHGYCSLGNSVEWVRAGLTIPKKLMAQVNKKDATYLSGMVKKIK</t>
  </si>
  <si>
    <t>XPNFXXXXSXXXSXLLPQLXKXXFSPXPLNXXTPXFSQSPPFKTTXN</t>
  </si>
  <si>
    <t>NLLQMSHTIMLIQPGPKPETRTYSDYESINECVEGVCKIYENIFKPLIQIHHPYLRFSRLFDFFCSIIRPFLRGYPKKEPIPTLHTIKTGLRRRFTFF</t>
  </si>
  <si>
    <t>YRLTLHRPNKGLRSASEFSKALNQWRQQLHKYKTLKVNSKLLKATDYGKVKLFNSMNIEYYGEIFLGNPPQKFSVVIDTGSADLWIPSKHCSFFNLACWIHHKYDHDSSSTYHGTGEEMSISYVTGSMVGQIGQDELRIGGMMVKNQTFAEATDEPGMTFVFSDFDGVMGLGFPVLAEFG</t>
  </si>
  <si>
    <t>PLNCCTCGVCVLCTLLLCHCELFTLLKWVCQAGNDNNPEGEQFRKLFIGGLDYRTTDDSLKSFYEQWGEIVDVVVMKHPQTQKSRGFGFVTYASSSMVDEAMKNRPHKIDGREVDSKRAVPRDESGAATGSNVNVKKMFVGGLKEQTEADLREYFGQFGTIVSINVIMDKQTGKRKGYAFIEYNDYDPVDKALLRKDHAVGGKGVTVKKALAKDAAEKGRGGS</t>
  </si>
  <si>
    <t>GDTKINAWLMFGGVATSVVKSPDIIRPQNAKVGDGILLTKPLGTHLATTLYRWTADVEKMASVNTVITKSDIETSYNISLNSMIHLNRTAASLMHLFDAHAATDITGYGLIGHAETLVKYQNESVDFVIDKLPI</t>
  </si>
  <si>
    <t>KRKGTVLSSKMGRSRSRSKSPRRRHKKKHSHKRSKSRDRSHKHREKSRERSSKTRKRSRSASSSSSTDVSESKNVNSLKKKIFNSGKMDEVERLAELERQRRQREMEQKIVEEETAKRIEVLVNKRVEEELEKRKEEIEAEVLRRIEEAKKEMQREKMLE</t>
  </si>
  <si>
    <t>IDFTFYHKMELSEITLILFAIAITLFIYSLMKMLACYNYWKNHHISYLKPLPLFGNLLPVFSFKKSIGDFYKEAYHKFPNEKVVGVYETILPVLIVRDPKIVEKILVKDFQYFTDRPPFAEETGLFAYGLFQLRGSA</t>
  </si>
  <si>
    <t>SVDGECRYSGNPIQPDALVKKAKCVNGETSRVSGRCTEYWKCVRNEWKLMKCPKDTNFQEDACEQKPCPLIPVLNHCSKFMRPEDENTYECQFGYLFDGIERQCVYTAAARCAEGECVDGDKINHPTDCSKYKVCKDGTWETESCSVFFPHFDITLKQCRYWHYTCAYDPADCVTGNLRPNPTDCKAYESCESYTW</t>
  </si>
  <si>
    <t>IRKTDKMEGTTNTGESSGGKVQKNINETQAHVEEVVGIMRVNIEKVLERDQRLSDLDDRAEALNMSALKFEQQAAKLKRKMWWKNVKYWLVIGGIVGVLLLIIIVSTTGGDDNSSSNTGNNQP</t>
  </si>
  <si>
    <t>GDERSVYEALAGEPPLRDITPAYFRQVHYGGQTFIELQDLLHGFRDPYMMDVKLGTRTFLESEVQNTTARHDLYLKMVAVDAGAPTESERKVEAVTKLRYMQFREQQSSTCSLGFRIEAMKFRGTPPVTDLKRVKNTDDVSDTMALFLGSHEDVRQRIVARLQEIRNKLDQSHYFKKHEVVGSSILILYDDTKVGAWL</t>
  </si>
  <si>
    <t>RSPCSRCTSMRQRKTLANKMATATKTHLLQPGGLNTTSVKSGQQWDAPNGWAPLQWVATEGLQNYGQKEVAMDISWHFLTNVQHTYDREKKLVEKYDVSTTGTGGGGGEYPLQDGFGWTNGVTLKMLDLICPKEQPCDNVPATRPTVKSATTQPSTKEAQPTP</t>
  </si>
  <si>
    <t>AVDSVKLIYFLLFLTMKYFLLFLLAIPALVFMQNKAVMAAGPEEDDVDDEMVDVEGEETAVTGEDAVEEEETQEKPGGSPDADTTILFTKPAQATGTTLDLPGGVLVEFLVGFKNKGTQDFVLETLDASFRYPMDFNFYIQNFSTLAYERNVKPKQEATLLYSFIPAEAFAGRPFGLSVNLRYRDLSGNQFYESVYYETVNITELEQSLDGETLFLYVFLGAWCCIIINWLEKQLFNGRWENKKRGHQ</t>
  </si>
  <si>
    <t>SHSHSFFAIHFLRLPVLPLYESRKVSNGTEATEQDECLRDALTTICRAVESWVENNTALEPMEFQRHLEKLVDYTLGQNKACAAIGNEDEE</t>
  </si>
  <si>
    <t>VVSALDSHAEVPGSSPMLPLDFFFLGTSTAHCSVMDSVVCSERTLSGGQQCTEKAPGANDHRC</t>
  </si>
  <si>
    <t>VKTMDKITSSDKFKQLRINISTSVRSNNLRCSNNSENHRKKVGLKLTEQCERISGSKAARVSPRRSQETKKYDFNNLQCTFRNKTSSDKIVPPNNNEPTINPGRRQATTVHRENNSYKFDEKKTLMDKNERDSSGFLKPLNPAPRRTVHDPSVNEHLYSTKDQSGFLKPVNPGSNRSPHEHLVTE</t>
  </si>
  <si>
    <t>ICYFKFSFLFSTLHKLRDSGFCYYTLLLLKAKTILLTSSSASSSWTLIICITFVFTIINYIAPKSVRNIYLFSFKFFIFLLKIKKNIKKKKSSSIFVCC</t>
  </si>
  <si>
    <t>TVSIVWCSFVTHSLSYNSHPVALLPQNIILYTYNYNTCGGENLFLFIKSLLNFFFFFEETNILKQKKMKPPTPSTPQSRDIFGAEFSGTPSHHRVLKPPGGGSSDIFGTNSAQETNVRRVRNHLASNVFLSDEPSPAATMMNSGNGASAAVAASTTLAKQQSEHVNGDNTDGGHNGEQQAMVNGNSQPVMNGNRTTNNGAPSKNPKNSCSHLADFLLVFGENVLKVTSSSNNCNKHSKKNYSSPPLKKKEKKKKK</t>
  </si>
  <si>
    <t>AHHRLIESNHSQATQALFITVILGLYFTILQGYEYYESRFTIRDSAYGSCFFIATGFHGIHVIIGTTFLAVCLIRHIICHFRRKHHFGFEAAA</t>
  </si>
  <si>
    <t>LNTRKFKLEDLAPLNKSDEVYTNKEWFQFLRERWSTNFDSLEKYYMKIKIRYNETGEHFMKYEHYPNYYRAAKLDDGYWTNPFFDCDGKVKKWIIMYAVPFFGWDNLRNKLEFKGVVAVSMDLLQLDINQCPDKYYVPNAFKNTHKCDKTSYCVPILGRGYDAGGYKCECLQGYEYPFEDSITYYDGQLVEAEFLNLVVDNATRFDMFKCRIAGAPSLQENVILL</t>
  </si>
  <si>
    <t>GPESRCXPXDTEPLYPGDKWNPDTCTECTCTKNNVNCHRLQCTKESGSICERGFKSVVMVGTEDQCCPQYICVPEPTAGPVCPELQQPECGYGQVMKLEKTASGCQEFICQCKPPSECPPVEKKKKKKKKKP</t>
  </si>
  <si>
    <t>CFFFLFYLRGYKDFFVFSGGPPPFPQKGAPPKIFFKNPHFFTPFSHLKSPCPFFTQSGVQGKRNFGGNPFPALQAAFRNQKERVVLPLPEESPRRFNHNFSSE</t>
  </si>
  <si>
    <t>KWHCLLHHFPALGLLPIETTLANSCEGLTHNATYGQRKQGDGLVFRDHIVKRWKFLRYATADVKYPFRGQIPSNITYIEILDQYQNGNGGCPSIIDGGIGYNYVTIRIKSKFNRGFDFIINIYGRRRRKVQNYPPDK</t>
  </si>
  <si>
    <t>LFSVVYFTTNYYRNMLIGTCSRYIVGGKAVQTVYWRAQPKTSNGQTVNRIIKTKKTVLFPASDHPRPNITTSIRQIYNGS</t>
  </si>
  <si>
    <t>NPFIFFFFFFSPQKNHPPYYKFTFFPNSILFSLIPFNFFTFLFSKFILHPPLSSNFIFTFIYIXFFFTYTHIXPFIPIFIISXXYXLNPNSXSFKXIXIPKIILLPSXINSXXXILXNXFXLXNHPSFXXNSXXIFKNPTFFXNFSSISXIXI</t>
  </si>
  <si>
    <t>LRAEAVTKTKGGLFIPEKSQGKVLHGTVVAVGPGARSQNGEIIPPQVKVGDNVLLPEYGGTRVDIEENKEYHLFRETDILAKLEM</t>
  </si>
  <si>
    <t>KIKNYKQLFCFIKYNTEIDFWNLFFTINIFYIFEKTYIYIYYTYIYFILSLINWDIYLLECNHYFFLLICVIIFYLYNYMNTMVIESFLFYLFV</t>
  </si>
  <si>
    <t>NYRAMSQSMGTNQKNYGSTNERVPNVSFSGVQFSPTEMFDLSENVTANIYSINSHSKKFEQALKAIGTQKDSHSFREEMQTNLHSANKVVTQTTKDLYKLSSIVKKGDKRQKLQVEKLTNTFKEAVQMYSKVQKIQ</t>
  </si>
  <si>
    <t>HASFCWFWILIHRQSRAIINTCRMLTSTLCFWFSTYSWFTDENSSFFKNYMKETIK</t>
  </si>
  <si>
    <t>FFFSFIIFMSFIVLFYAFKNSCTKFFQIKEFFIVYNISTFRCFIVSLSSDLFFIYVNNFAVIHLC</t>
  </si>
  <si>
    <t>ATTQAGRGWEVVGVLDIPTKSLNNLRGDFNGKLLLKKIKKVLELFHCLFKVLINAKIASFSKLFTEINNAEIYKSVGAAICPGK</t>
  </si>
  <si>
    <t>PFSSHTANMFKKTIQIGHRRHWEEGIYMENENYIMKIVIVTSKLNLSTYLLPCL</t>
  </si>
  <si>
    <t>MGAITSYLPFTSPCFCISNMSLCGLPFMSGFYSKDLILEAIMGSGYNFFVFLIFFVSIGLTVSYTFRVIYYVIFYNVNMHVCHGYGEDKIMMKSIIVLALLAISGGRMLGWLIFSVPELFVLPLHLKLMPLVFIFLGG</t>
  </si>
  <si>
    <t>KVPISKSRWFWFLWPSLVIGLLDVFHGAKGIEDFQHVYLVTHLMGADLNNIVRTQQLTDEHVQFLVYQILRGLKYIHSAGIIHRDLKPSNIAVNADCELKILDFGLARPTENEMTGYVATRWYRAPEVMLNWMHYNQTVDIWS</t>
  </si>
  <si>
    <t>TVRRRMVEHQVTEHLKKTVNIYTYLYICIYIIYTHIYCYVHILFNMCVHECIIYTNHILTLITTQYQQ</t>
  </si>
  <si>
    <t>KRPRLSYQAVSDSYFSYNLHTIIFFSSLKYHLLTNLMFNSSSSICNYLTVLLIFFLVPKRIKTIILVQ</t>
  </si>
  <si>
    <t>FFFFFFFFLITATKCMKKFSKIPRFKCFDNCYCMLQS</t>
  </si>
  <si>
    <t>SKLPPTAWQTHSAISIINHLLLCFNVITWVVAFIVIGLCLWLRFDPDVGEWVTILQIHSFYVGLYILIVSSVLICASGFLSCAATVAENQFLLTVNIAMQLLIFILGLAGAAVLMDNSTYKSSIHPVIKTVMLSLINQAPANDEATAALAIVQENMGCCGGSGVDDYINPRRAIPSQCKKPVTGKTFLLGLCR</t>
  </si>
  <si>
    <t>NQFCKYFSSYYFNFESYMKRLKVLNTTMPNLCENLAKCSKRISGRWSSVNNTVLCQCREDTVILQKNLIPLNLNFDLKEILAQSGDQEVPSNDISINFQQRSDGTYVNFKNQFNGESFSQRIPSTIEGFLFTK</t>
  </si>
  <si>
    <t>KQRSGEGEYRYDGNHFINIEDLVSGYPGTTLMTVEGSCVINDRQYWKARLPALCLCQHYFKLRGIFFGYF</t>
  </si>
  <si>
    <t>DLQGILNNVKYLKELGVDAVWLTSIYPTNDVDFGYDITDMKNIYKLLDNGTVFDELVKKLHQEGIKLILDFVPNHTSNKHDWFLKSIGTEKYRNYYVWRAGSKDTITGTIKPPNNWAAAIGGGSAWTYDSFRTEFYLHHFLEEEPDLNYENEDRY</t>
  </si>
  <si>
    <t>LERILVGGLCYYLSPPENLGHILEDPIHAVLYIIFMLGSCAFFSKTWIEVSGSSAKDVAKQLKEQQMVMRGHRDNSMIHELNRYILTAAAFGGLCIGALSVLADFMGAIGSGTGILLAATIIYQYFEIFVKEQSEMGGMSTLLF</t>
  </si>
  <si>
    <t>SCCLGDRSSASFLNAXXXXXXXEGPLVMIFDVNKTVGEATKKEMAKKHGESHVEFICCDVSNDASFEDLFKETIKKFGKLDLLINNAGICNELQDGWKQTIQIDFIAVVKGTYLGMKYMGKHEGKPGGTVVNIGSMSIFTPFECIPVYSGTKAAVNQFSRSIGTKLHYDRTGVRVITVNPGFTDTAILPSISKYIEKYTEASYLNACKQYITPECGQYGVKG</t>
  </si>
  <si>
    <t>FIVSYILTLVCILVAVAFTTLMERRVLGYIQLRKGPNKVGYMGLLQPFSDGLKLFFKEQTYPYYSNFIIYYFSPVFMLMLSFSLWVLFPYMMNVYNFSFGVLFFLCCTGMGVYGVLLSGWRSNSNYALLGGLRSVAQTISYEVRIALILICMLVFIFRFNFVDFMKYQEYVWFIFFSFPLFFCWFSSCLAETNRSPFDFAEGESELVSGFNVEYRRGGFAFIFLSEYMNIIFMRLLCCVVFLGCDVYSLMFFFKLTFMVFCFYL</t>
  </si>
  <si>
    <t>HVEYIGLVLPLLFVLCEAQQQDLNKIKVELKELDTKLSDASREIGVIAARKIEGIVQQIKNKCGNDVYESAQVTSKTFLQHLKEINEELLDEILTIEDILKKLENKNIDEQAEEEIVKGFPDYKKSIVDGLTRSKKYIDLQYEELNRMLKTCSASRPADETIPQVGGTTNIPLAPVTLTMAAAFIAIKLAFH</t>
  </si>
  <si>
    <t>MTNEQLTGQAFVFLTAGFEATTLSMMFTLYELSKNPDIQEKARGEVQREVKNAGSLSYDAVKGMDYLEQCIKETMRKYPPVPFLFRKCTKDYTLPNGLTVVSGQRVFVSLLSLHYNPTFYPEPEKYKPERFGPDQTRPSCAYLPFGNGPRICIAMRFAMLQMKYCLAKLLINYKFRVSPKTKEPLTFSVKTFFTAPNEKIYFNVSKVNV</t>
  </si>
  <si>
    <t>YRRVMATFFGEVILPTSRVFFDDYDDSDNEEEYQVERTLELKLLDEKSLKHEFDLLIIVEGIVCRGFVDLYLINANT</t>
  </si>
  <si>
    <t>YNYFIKMKPLMLHGHERPITQIKYNREGDLLFSAAKDHCPNVWFSLNGERLGNFIGHNGAVWCLDINWESTKFMSGAADNTLKFWDCSNGVEIGNIETKSTVRTCVFSYSANMAAYSTDTQRRQVCEINVIDCRMSDSFGSEPILCIPIPDSKVTALQWGPLDEKIITGHENGKITQWDMRTGKQLNQVSGHNGSINDMQMSKEGMMFVTASSDHTAKLFDTEQLNNLKTYQTERPVNS</t>
  </si>
  <si>
    <t>CLLDISFLRYFVHKHYSYNILQQSYSYTIYSNLIATLNKIFFLNKKKKKRKKKKKKNFFFFGPPPPKKFWFPGF</t>
  </si>
  <si>
    <t>IVQIPSPWEPNDCNEKDAQHLINDLSIFRFVRILADHGQRKTVCVERTLKDREGKAILWLEKLPFSEESVKSLCTNKSLLHREFLNDIYGSYTCKTDPDING</t>
  </si>
  <si>
    <t>GHPIRSYRFRQSCRNLQAHLNPLESWCKKWKICKFLNVEKYNFHIRRGTLSPATFNKKILPTVKNVRNLGLFKDKKLIWNPHTRLKRKKKKKKKKKKKVRPPRPHSNPRIRER</t>
  </si>
  <si>
    <t>CEHSSDYDWPNSSNCRYYYHCHNGVATEESCFILFRKFNPVTLHCDWAWKVDCSVSPTKPWEHTKRR</t>
  </si>
  <si>
    <t>FIILFNMGKIMKASKVVLVLNGRYAGRKAVVLKTYDEGTQEKQYGHALIAGIDRYPRKVHKRMSKTKIHKRSKIKPFLKVMNYNHLMPTRYSVPEIIPDQKVAPKDLKDPMKKKRIRFQIRVKFEERYKQGKSKWFFDKLRF</t>
  </si>
  <si>
    <t>VAISRNQEALKRINRPSEQLFDSIERQCVSREDARCFEGECVDGDTTSVADDCTKYKLCENAKWVEKSCIWLAHYDVVTKQCKYVGCTCGYRQPTTTLTPPTTIVKKETCYEENEKRSVKGDCKRFQVCKNGEWTDDKCNVWGKFDVDEKQCVYFKTWAVHCA</t>
  </si>
  <si>
    <t>FAVKLNCVTLFNTYHHQYVGKVSLKNPTHVQENNYIYKKSVLQMQELVMSGAS</t>
  </si>
  <si>
    <t>LIMARGILITVLLVTCLYVTNGWPTKESGNHTIIIGRRRYNDEILFQKTVTKTNWNPWGTVSEDVTYPVKQVPGRIIITEIDAIDLDGNDNGGYGYILKGGTDTDYVTIHFKSQKGRGYKFDLTIFGRIYH</t>
  </si>
  <si>
    <t>SFSLETIFSDSLKAKKKKLNYKVVYNLWDFNSSASQNYMSKNCSKDLKVIIRTTIEGQVTEKTEIDKEAVQKQYKLSPKLEYQTEFGAEAATISDVLRDWASVYIRPSATLARVRLDAVTGELIQIQRLTTTELTAECQRLYKFNPKDRLTTVHSILVKISDLPAGTYVLCRKPKNGTFVDLCKSVESGGRTYIQFTSSL</t>
  </si>
  <si>
    <t>NKMGGKAVLGVEEIKSFEDLGKCLLAEFLGTMLLVLIGCGSCIAWGSEVPSVLQIAIAFGFIIASMVQSVGHISGCHINPAVTLGLFIMGRIGLLKSALYIPAQCAGAVAGAALLKYMVPDPLVKTLGATVVNNVITPGQGVAVEAAITAVLLLVGGAVTDPDRTDLANAAPIAIGLAITCCPIFVGPGNGFKYKSCQILGSCRLSNQFWDHPRGNTGVGPPSLGGAGSRGAGYRGLFF</t>
  </si>
  <si>
    <t>EVRVXIXXGMIGGEEXFNLIGVELIGEMXXIVVGSGDVIKLVGGEYEVD</t>
  </si>
  <si>
    <t>PISLWRVLCFAGLRHDCTLTSYLIFNASLTSPPLGWDLIVSHRYFKLINPRGGQMRNTLN</t>
  </si>
  <si>
    <t>LGFIILSRMTAHDQIRAMLDQLMGTGRNGENNRYHVKFSDPKVCKSFLLGCCPHEILSSTRMDLGECPKIHDLALRADFEHASKTRDYFYDIDAMEQLQTFIADCDRRTEVAKQRLLETQEELSAEVAEKANVVHEYAEEIGKKLAKAEALGADGFVDESLKLMEEIDELRKKKS</t>
  </si>
  <si>
    <t>IFFFNIRSPPFLRGGNFWAKRRASKIWARPQQKKFFPGFQKFRMGGGGAPHKVFFFFFFFFFYFLKNERKLKGGKNSKGKPAGKLKKPNFSHGPNSCSFKTKAPFGIHILPIGNVYPESLQIYHM</t>
  </si>
  <si>
    <t>LLNVGREIVSQVDQPAEANGNHTANDSQQGRSVGGQGTGPSSDPKALERNFLLAQARHVDTAPLPDQARHDSVLRANPYPEVTDRICRLPLPTLFYRLEAIDLGDLLRIWVRAGAGFLVALSRIFKVRREDPDTAVTAVLFAFQTLSPC</t>
  </si>
  <si>
    <t>GHYGRVVDLSCVVWGMTCGKTGNCWLYDGQKMRYLLNFTAAGLMVVATLLDIGVLLNVGKLKIYDEEEVEETLPKQDNEPFLSKVEKINKNMIKNN</t>
  </si>
  <si>
    <t>KKIIQLFNSISYVIYTEIISIKVHTMDWHFSRKMSCN</t>
  </si>
  <si>
    <t>LELKSTLPYCGLVPEKVRSLFFISLGNMDQISRVIEPSRQFAKDSLRLVKRCTKPDRKEFQKIAVATAIGFCIMGFIGFFVKLIHIPINNIIVGS</t>
  </si>
  <si>
    <t>LEQSHGCNNSLNIPPPEASSAATKPVKPPVQVFGLDGRYATALYSAASKLKQLDVVEKDLENVQKTLKADATLKEYLHSPVIKRHLKVEALKQMATKIKLTPPSVNLLSLLAENGRINRVDGVISAFSTIMGWKQREI</t>
  </si>
  <si>
    <t>SRMTGSQIFIKVINTEAMKVYFTIICLLVAAFGIIHSEADNPIDRLVKAVLEAIRKILKKYEPYVVPDMPEQTVQGDDILLKAKFSNVKISKASDFTVDHIENNLLEMWAKFAVTLPTMHVEGDYVTSGLVKGKHVTGQGTFKLDITKLVTGGYVELEVVDFYIQMKTLDIYYTIEDLKFSADGLSVEGLTPEQLRDLFSTSFLKYCQENEKFISSQVSAYVKQQANDIMKGKNLQQLLDWLKKIIHQFF</t>
  </si>
  <si>
    <t>PENDQQYHKSSHVDFLILLSALVLPPWLKEDVFPRTPVENDAEGLLGPLLTSYFELKNLIEEIKQHQETQEISSLVLAEKIASVPEHCLPTDTPHIKAWDSDACNNLKKSLAKAVTLAQNIGSWAYQAGLKICGKVINLLHCGNIDLVKAIKCIYK</t>
  </si>
  <si>
    <t>SSYSTLSWYDAIPNKRMYESFSVFCPDECIESLDLLATEDVLIDWTQPIYLNFTQCSIVERIEKFYNSIGITEKIAGDIYVQSEPPPEELQLDELQGEDCEVRELIAENAQAIHDLYPANDMEAVEVFEKLITRLPAYGVFSSGQLAAWMVQSYYGAMFSMQTRPEFRGKGYGIHLAQQLTRKVRSRGYIPYVVIRPENDASLSLYNKLGFKK</t>
  </si>
  <si>
    <t>ILFQLKKLCAKLMGKQKNWISYGFSHTDEKEDRIVMHSLMFVGITVVFVFGGFLLAYRPGDLGRDWAQREGYLELRRREQLGLPLVDPNYIPLDQIMLPTDEELGDTEIII</t>
  </si>
  <si>
    <t>HRKMSDNGTQSFSEKFKQFSKFGDTKSDGKQITLSQSDKWMKQAKVIDGKTITSTDTGIYFKKLKCHKVSEADYKKFLEDLAKNKKIDLEEIQKKMSSCGPPGLSSAAAITKTSGATERLTDSSKYTGSHKQRFDETGKGKGIAGRKDLVDQSGYVTGYANKDTYAKEHPPN</t>
  </si>
  <si>
    <t>FWRSGNSNDASFFISFFQRYYIIFRFQCITASIYFENDFRKFWNLFTIHNSNPINEFSTNSFKYRNNIFPGPMINEVPVSAIALQPFTHQFDPVKVLIPSIWNCQCFSSFKGIGTNVSFFTRSSLIPPNVISPPSESLAFLLR</t>
  </si>
  <si>
    <t>IMESFTKQLRKHLETIYSVHYHFPVKLLQRKFSFNKNDVSQWYKTLGVPDNSDQDTVRVAYIHLVKRFHPDSKSSEADVNKFQEIERAYRNLQDKFCRERYNNECEGEYGLYYNEKTDDEPIDHTAPQHRQYLSYEGIGSGTPFQR</t>
  </si>
  <si>
    <t>KKKKXGRKKGEEGGGEKRREKKKKKEGGKKKKKKKKEGRGRKRGGERGE</t>
  </si>
  <si>
    <t>LVYGIILFILFLSFNIIGDKVRVNYISFRFCWEFCRFEISY</t>
  </si>
  <si>
    <t>LYFLFIIAGRNEMSSRKSAGRRATTKKRAQRATSNVFAMFDQAQIQEFKEAFNMIDQNRDGFVDKEDLHDMLASLGKNPSDEYLEGMMNEAPGPINFTMFLTLFGERLQGTDPEEVIKNAFGCFDEDNTGYINEERLRELLTSMGDRFTDEDVDEMYREAPIKSGMFDYIEFTRILKHGAKDKDEQ</t>
  </si>
  <si>
    <t>SVLCSYQVKMAEMTKDELRKEITAILKGADLGSTSSKKVRQELETKLEVDLSSRKKEIDEIVMQCIKENEKKGKKPKKNGNKNDDEDEDEKDEDDDEKEDDDEDEEEEEEEVEVKKSKRGAPKKAAKRKASSDESDDASDDKGSDEEYSPIKKKKKKKKKNMSAA</t>
  </si>
  <si>
    <t>FYMDCIRNTAPLSPAIAPLVDRRPQHWSRTKYCCRRQTSYSVLKMSFSVADEEKLINLVAKCAVIYDVSHADYRNNLVKDKVWKIIGKELNKDGEVICSLIKWISLANETYMTKITCLTK</t>
  </si>
  <si>
    <t>MPQHVALXCXXLXXXSPFKEGIDRXXNXMFGGVXDVXXQGIDLSQDNVKLTTQLTSSAVEHGTNLGKMGVAAGTTLTSKGLGGVTDLGKQGLDLVGTIAEVIPGADLLPVRTVTDIGKTGVSVLNNIGQEGIKSASYLGNEVLDKTKNVSKINYWNCGKTYLSWNCNS</t>
  </si>
  <si>
    <t>KKIFFFRKPYYSKLLFEILALFIGFRTGNSLKQGFTKKQIYFFLFYPVRDFKGFYPVFKKALLRKKSP</t>
  </si>
  <si>
    <t>ISICLIFLFYVLITLQRIMINTGKLAGRTIFITGASRGIGKAIALKAARDGANIIIAAKTAEPHPKLPGTIYTAAKEVEDAGGKALPCIVDVRDEEQVQGAIENAIKTFGGIDVLINNASAISLTGTLETEMKRYDLMHNINTRGTFLVSKICIPYLKKAK</t>
  </si>
  <si>
    <t>KIHFLKEGLKNFKNWVPPPPKPPNLVFQIFLICHQHIFIIFLGPQTFFFFVIKNLFKGWLL</t>
  </si>
  <si>
    <t>NCCNHSIECSGPLVFNKVKENMSTDFDDNLEESASILVQSSSFLVNYGWYFVGLGIFYLVFKEKINQFLDEWYEKREESKYAAKYHKNPGLARARSEGLEAARQRMQEEVNRKAIEAEIRRKELEEKRRLEKLNKFIDTGGNRLGEASTSKNFKSEYNPLMNDAGGRYKPPKRSCCKKGGGCG</t>
  </si>
  <si>
    <t>CTFVVLLMLFSPPNPGDEFSFRVIKGAFWNSLVKLVQACAIYFYCLSQIFKYYFIKKHLLQ</t>
  </si>
  <si>
    <t>QQLLVHHTPYTSSSIQVRHLHHMTNRFQQFXAAQQMYPHVGVGTAMYSQAASPAGYYASAFTPMQAYYHPLAYTYPQXQLRPTNHDSKLDSMEVQRFD</t>
  </si>
  <si>
    <t>FFLFFFFLPTQALFKDQEVQVQGREEGHGQKASPAEGSLTVLGGQHGAHRGKEFVQRGMHRGGEIGRVVASQGHQQAVAQELEVDGIHTQLVGMQVAQSRQGTGQVIEVACSTGQRIGDLLAVTLDQGRAVAYIKVREVGLGGGEASKHPFQGFIKRFSTMATNLPPGSLVMGLSSP</t>
  </si>
  <si>
    <t>CKIGGVFVIFPPPYHFTYFAMQNDAGAFVDLYCPRKCSASNRIIHAKDHASIQINIAEVDPTTGQATDRSKMYAICGSIRRMGESDDCITRLAKKDGILPKNM</t>
  </si>
  <si>
    <t>VSTDRSELTALPSTTPRPVQKSSTDDSGSRHRTPRRVEPCYAKNPDLLYRIYHIVNHNGILSHKARATAVKFGRLLKSHCSEPFDSRDPLLNR</t>
  </si>
  <si>
    <t>NIHPPPRPVEHDLKSLMETTKIKKQAFIPGEVKCLMQQLLRAVAHLHDNWILHRDLKASNLLLSHKGVLKVGDFGLAREYGSPLKPYTPIVVTLWYRAPELLLGAKEYSTPIDMWSVGCIFAELMTMEPLFTGKSEQDQLNKIFKTLGTPNERIWPGYNKLPAVQKMTFAEFPVSTLRSRFKAVPTEVGLNLLNGFLTYNPAARLTAESALSHEYFSEIPLPIDPAMFP</t>
  </si>
  <si>
    <t>FVTDIHKRMDIKLVLLLILSISAASWAYPKTECGSEASHDLLQGQRQYGDRLLFTTREKMPKSFLRVKSRDVEWPAKHMQVYEHITRVEVLDQKHDGSGGCAFLANGGVGQSFVKLHLKTQRGGSFDFLINIYGK</t>
  </si>
  <si>
    <t>LFNCNTFALLFAVFEMSSPEDSPLPFMQTWLSDINLNNRTKLNNLLTFPQLTLLAEVEWDLLITRLQQFKSIGFGPYISIKSCNCGSCYTPRS</t>
  </si>
  <si>
    <t>RMFNLIINPAVRSLAQRQRYAALAPTAKRLTSYKGAPPPATMDDLPVPCGSWETQYNTNQAKYNMHLAIGVIFTVVTIIAAKASGLIYLNYSPPSLPKE</t>
  </si>
  <si>
    <t>GPSTAATKKTKGSPKKKVAAKAAKKKVTHPPTSQMVTAAIKDLKERGGSSLQAIKKYISTTYNVDSEKMSLFIRKYIKSAVESGELVQTKGKGAAGSFRLGGSEGSVKSKKTTTKAKPKKPATEKKATATKKKASPVKKKEAAAPPKAKKTKKPPTTPKAPKPKKATPSKKKKKKKKKNM</t>
  </si>
  <si>
    <t>EFGHYGRGSLLPSTNSGAFMFGEKYTSQKDILRRYQLLWTGRVSLDKSRMPGDAILQWTAAPQGLNLDINNPNQIWNALRDGATPIILNGYMFYRGGLRYRLVFPADFNENVWVQHHPDMPCDGNLTMKVNNQIHYADRFKNHNYGYYIQSTRVNNIVEFEVPFYQPGLFGLARIPVDSQFKTDLSDFIGLGDVVVGVQSTQIKDLDVQVYYSVADDFSCNVFKGYDPMVLCDEVWQTKKKKK</t>
  </si>
  <si>
    <t>KKEDVDKMVNDLEKQIAKREKYSRRRTHNDDADIDYINDRNMKFNKKLERFYGQYTTEIKQNLERGTAV</t>
  </si>
  <si>
    <t>YKNSYHTIGILVTSAFKDKALAARYDLTEATFLKRGFKTHPFRAGVWLAPIEQQSVEECLNWIHAGFDENEALLEVVRSSLDLAYSLGPEYFKLHLGKIQRGLTDLGLVFRSESWYERDRKIFQTEDISLNNKLNNSFFINTYDYIECKS</t>
  </si>
  <si>
    <t>TVYNTIYKFVQNIHNLIGTTITFKLNYTKSIYLQFIKEKKNIRNYKLH</t>
  </si>
  <si>
    <t>CNLTITFAFVASLTGDXXXXXXXXXNPFLGWVXXXXMXVCLIXMXXXGDVRRKAPMNFIFLGLFTLAESFLLGCAVATFRAEEVMLAVGICTVVTLGLTLFAFQTKIDFTMMGGVLFAATLILLIFGIILMFWNGKIATLIYASFGALIFSVYIIYDTQIMLGGNHKHSISPEEYIFAALSLYLDIVNLFMYILTIIATASRD</t>
  </si>
  <si>
    <t>LYNMKAILLLCLPFWGGVTEAKDITRPPLGRELLWQGIPRGDLPNWICLIETVSGRDTAAITGSDFDGVYYYGLIQISDRYWCMHGEPGHGCSAKCEDLLSDDITASVKCALLIKNQQGWNSWYLWRNQCKGQKLPNVDDCF</t>
  </si>
  <si>
    <t>PNIHKKKNKXFIYNKIKKNSKTITXIKLSIIKFPNXILQIYFNXXNIXKYLYF</t>
  </si>
  <si>
    <t>IMRYLLLLGLAAFSAVSAEKKDPPCVCPLIWKPVCGSDGQTYPSECILNCVKYALKKDIKVAYQGICKHVTFAAEEEQEVEGWKDPCECPRALHRVCGSDGNTYSNPCTLNCAKHERKSDLVQVHEGPCSPDEHDFEDPCECDNKFDPVCGTDEVTYRNLCHLECATFTTSPGVEVDYEGECLAETVLLEENHCACPRVL</t>
  </si>
  <si>
    <t>KSGRMSVASVHPASGGLTNRSQSFSSVSSLDDVPGYFTSDPVLSIEELRLQLNSCFTCGVSWHDEHVSLDCAECGGYSLERPCPLCEGHCSAVWKRDLTMSHACGKARWEGSCALLKPLKKEEETRLVQPTGKNSLLLPDLVRFLKK</t>
  </si>
  <si>
    <t>IIYTIYYKFLLLLTFFFSLIFTIKNNFKLWKVICYFMLLVKIMITAYKKKSSKNWRDKLLRLLYCFFFIIYLFIYFNLISVNNGIFVAHVLFIFIYIICTETHTEYFVTYKYIINDKLSFIL</t>
  </si>
  <si>
    <t>MRRIQEPETPIDYVQMDGLAVMKIVKHCHEECSGNLEVAQGALLGLVVDNRLEITNCFPFPKTYDETIDEDTQKTERGFLTLKAYRLTPQAINMYKEGEFSPDAMRSLKVSYENLLTEVPVIIRNSPLTNILMCQLQEMIPPQQGYNFLDLSTSS</t>
  </si>
  <si>
    <t>STIKKSRIRNEQLISLLKLFNPHNISITILLVSYLFLTIIAVTYVSNVYEGPLRIKSKKKKKKKKKKKKKKNL</t>
  </si>
  <si>
    <t>FFFFFFFFFSQPIVFISLVEFQRFVHLTCHYQGVHFLHSENNFYIYTYYIYVKLGLQRFY</t>
  </si>
  <si>
    <t>CIRQTAFRVKCTTPFWVVISVGFFAYVHCFLDSNGLCTTQEMTCSKNCSAVAYCPGVGAMPFLRGCNPETPYCNQGNCTNSYNPFCNQPYTPLIYCPYTDGTYPDPHDCTRFHICLNGIPYTSHCNRPGLVFSTETLSCVRESDEHQCGKAVCAGNGTWVTYSTDQRYAFYCLNSLPTIVKRCNESYVFNTKTEKCEFKCTKEGLFQDDGPNPASYIECSLLYGRDYLLTKRNCPNDENIRSVFDQKNFKMYSYTISFYYHCK</t>
  </si>
  <si>
    <t>SVEVYRVVLGLVLLHPKSIIQSKNRTKTYFIELQNKLMGLHQEELGKADDSTKTRRGWFGTRHVVTIMLFLGMANAYTMRTNMSVAIVAMVNQTALPKNPDVVTDECQNGPVQPTNETVTSAKDGSYIWSTTEQGYILSAFFYGYCVTQIPCGILTKKKKKKKKKN</t>
  </si>
  <si>
    <t>YIIFHLGLPQGRLPAASSRATDLVYGKRKGIAKMRLTFIILLSAVYSCLAGPVYPQQELPKAQKLYITDDMKMAMVKDLQNE</t>
  </si>
  <si>
    <t>HLDNRLKHYSSANISSSFKLFIGVTITKAIVNNILFCLYIIYRKKKKHNFVPKQCKLTSTKKLHKHL</t>
  </si>
  <si>
    <t>SFSSVPFRHDMFSYRCNFNFPGCLRLSSDSDEYLLAKNMAREPIVLNVYDMYWTNDYTTPIGLGVYHSGVEIYGQEYAYGGHPYPFTGIFCITPRDASELGEQFQFRQSVLIGYTDFTEHDVKRIVEEMGKEFRGDRYHLRHKNCIHFSGKFTKDLFGGEKNSFRGENAGFF</t>
  </si>
  <si>
    <t>SFFTLSSRKGKQQQEQVQVLLGPQVREGETVFGVAHIFASFNDTFVHVTDLSGRETIARVTGGMKVKADRDEASPYAAMLAAQDVAEKCKSLGITALHIKLRATGGNKTKTPGPGAQSALRALARSSMKIGRIEDVTPIPSDSTRRKGGRRGRRL</t>
  </si>
  <si>
    <t>KLLPIDPQLRQLKDFMEVYNRIAETCFNHCITSFADRKTSDEEAACADRCVMKYVGLNHQLMQVYVELQPEIVQRKIYEMSKLQEAV</t>
  </si>
  <si>
    <t>SGLLKANRLAETVLLGENDCACPRVLHRVCGSDGNTYSNPCTLDCAKHEGKPDLVQVHEGPCDPNDHDFEDPCECDNKFEPVCGTDEVTYSNLCHLECAAFTTSPGVEVKYEGECHAKIMEQHQILKSCICTKIYSPVCGTDGHTYSNLCVLKCRISSKPGLKLAHVGKCGIGLQAVETKEVRNPCACFRNYVPVCGSDGKTYGNPCMLNCAAQTKVPGLKLVHKGRCQRSDVEQF</t>
  </si>
  <si>
    <t>SLIFVLTFDQCATYNFQFYFEKITLIMGSLDMAVLTGFICRICSKMNKVVTHVYGEEGKKINLANQLQNYLGVDIFFNNDLPKTVCNSCIVKLKMHYEWMEIIKNAQTRIKNKRLKNQMERDRPA</t>
  </si>
  <si>
    <t>GALHEKXMMXXNWMKLSDMPGKQEILFMSSMNQNIIIPTKSQIFLIFVLKVKISNCD</t>
  </si>
  <si>
    <t>SEKMARSTDAPLWATLLDRGGYTVQPVPAPLSTKLLIRSKVRAGGSNQNLILFIRGNAISGAPIIKGTSQLPKPPIITGITMKKIIIKAWAVTITL</t>
  </si>
  <si>
    <t>IDQYKMFYLIIMASLLVSTPLSGADQAEDRTSKIRAVNDLHMWIATYINMNYVLFNDPTSFISSIDLSELHLVSNQTDVKVSLTELSMPVNLLLESTTNDVRNMCSTFKISQPIEVSGQYSATGKLDGQTISSSGAFRMNIKKMVLTGRIYVMPIDTTAKLIEDMFGLKKFDLLEHHQAIRPNFQNIPAMLKNSFNKLIELEVSKLIKHGIKMFN</t>
  </si>
  <si>
    <t>WKGGDKEESIKPHDDSKILRIIDVPKKPCPENMKRDIFGRCRPAANFETKPEQKQEKRETKEEQETENDDQKKQDEQEPIIPKNDSNVLNVITLPIKLYPENQEKDVLEKYRPAFN</t>
  </si>
  <si>
    <t>FGEMCCQQGFDANPSMNNMAKSFLNGGLKEHISGYKYSRLQQTPKYLRLAVVLTIMAVITTFYLLGDLTTDGYLSIIRHMEGFDADDRSVFFTYLNSSMAGRPPGGYIVWSPSCRIPDVPILHDSIRKFVYSVKPVHCNNTPHLTSVKKENGSHILRVHKDIAVKYYKDAMPKCC</t>
  </si>
  <si>
    <t>RGFRQWYLRSGPPRQGGNRGSQSGSAHPNNADGAEGNEGGAGSAESKPRRYRNRRFVSRGGGGGYFQRRNNQAAKNGDKAGGKQTDGGEGGGGDEENEGSVGPENRSRGDGGNRRYALNYQGNRSHVFSNKQPRLRGGNHQGRQGGEQGGNKDGDVGGEGGSEQRGGGRGPRGGRGGRIRPRYRRPQYNKEAPQQAVVNTTDESTA</t>
  </si>
  <si>
    <t>EHYFSRVKFFHLICQVSCLNTGHRRLDFFSYFRVESITKQNKNKEVRGYNFDVYVIFFCLTFIINLYTLHLPYRI</t>
  </si>
  <si>
    <t>GNRQSLLRIAMTETTEQPAAESPAPVAPAKKGKGSPKKKAATKSGAKKATHPPTSQMVTAAIKDLKERGGSSLQAIKKYISTTYHVDAEKMSFFIRKYIRSAVESGELVQTKGEGAAGSFRLGGGTEGSTKKSESTTKTK</t>
  </si>
  <si>
    <t>GGTYSCGSLSVLVLNMARGPKRHLKRLNAPKSWMLNKLGGVFAPRPSTGPHKLRECLPLVIFLRNRLKYALTNVEVTKIVMQRLIKVDGKVRTDPNYPAGFMDVITIEKTGEFFRLIYDVKGRYAIHRITADEAQYKLCKVKKVQTGPRGIPF</t>
  </si>
  <si>
    <t>KRPPVFFKKTLMGDLSQISPNKTNPKNFFKLKILRGGGAPKFFFFFFFFFFFFFYFFFFFFFFFFFFFFFFFFFFFFFFFFFFFFFFFFFFFFKDHFDVFIRISKLLKELQGDIYNKLQWKIFCIIVLYCLYLHILHEKSGKIYTYKSYIK</t>
  </si>
  <si>
    <t>FPFQFSDFPKLLCYAILFHLSELSELLFPVSLDQFSDFPKLLYTVILFQLSDFLKLLFPVILFQLSDLPEYLSPVILPSLVLIQLSSFPRTRLFGF</t>
  </si>
  <si>
    <t>DFMLHSRLVFVGSDRYLILLIHRQSVVLFNTKFFYGESSRTCKFLLHTTILDLISVIGDKN</t>
  </si>
  <si>
    <t>TPAQISLFPPRRSLHVYSPRVEMPLQIAKEKGIKCPVAVEIGGNIECTLEQLERRLQSDEQFNETDILRLDHKYQKGDKGPVVILYGEIGTPEFTEFHNFLKNKAEKGMLRYILRHWVKERVPKKLRLSGYGVELQMKSTEYKAQDDTKVEGTHTENSERKEDEEVEGFLFSKLKPPLSRPKKKKKK</t>
  </si>
  <si>
    <t>TCFFFFFFFFFLKNGSNDFLQTWYMKYAYKDLPLLFEMSLWKFHLRAVMWVGRSYVVL</t>
  </si>
  <si>
    <t>YHYQTSIQLFLKKLSSGQPITKTNPPPPEDDENKEKRTDDISSWDADFLKVDQGTLFELILAANYLDIKGLLDVTCKTAANTIKGKTPEEIRKTFNIKNDFSAAEEEQVRKE</t>
  </si>
  <si>
    <t>CVHRSAKMKLLIPLVVIVGAAHAIVTESDKGEMISNLEKSINRLENLENEVRGGLNKTISYMRHHTEEKCGDRDAKCFMKLLKPFEDDISLCIEECIGGYIRTSRTLINKLMSGEYNEEELEHTKHMLSKEGTYYEQMHNSINFTMNNIHQQTITFENNVKGKGNDVNDKAQNSDKVIMQMEKLENQINSELHATSYSLSQQANFLNGDYKKCYQELLTPYLNTVNSATKSN</t>
  </si>
  <si>
    <t>NGSKICGNGVSNPVTLCTGASRLRKHSSWIEAAISAPSPPVRGASWATRSLPVFRTDRSGGILKAAQVFEAVKGIGLNISRIFLSFFFSLAR</t>
  </si>
  <si>
    <t>LINNFYTLNNTTTLPLLISPNIYKYNKKIHPXTKXTSK</t>
  </si>
  <si>
    <t>YFEFYNYFFFCFSVFKEQINESTKNDYDYGGDRSVKILLYLLQYSISCNFLDFFLRPPMLVFFIFYLNYIQM</t>
  </si>
  <si>
    <t>PQYPENDQQYQSTMMPFFLILLSALVLAQGLKEEEFIPRTPVENDAEALLGPLLKEYFEFQNLIEEIRQHQETQQISSLVLAEQIASVPEHCLPTDMPDIKPLDSDACNNLKKSLAKAVSLAQNIGSWAYQAGLKICGKIISFHHCANINPFTSLKCVLNHIKDLKETIQGYKPDVLNFKEEIVALAKELKLEFNECVKNRRKLKLQLKR</t>
  </si>
  <si>
    <t>GGGGGGPPHTLFFFFFFFFFFLFFFFFFFFFYFFPPNKKNFFLIYCGPIFFKEKKKNFF</t>
  </si>
  <si>
    <t>IILKRDIMSSTSYEDLRKQARRIENEIDLNLISFCKLCAGKHEFHNKGDDSLTEPLLASERGRNVEAASLEIEALLQQLKAVNEQMSDIPPSTTGFAQHTLQRHREILADYTSEFNKTLENYRARKNKEDLMNSVRTEKNYKPGTSSGLNRRMDLYLKENEH</t>
  </si>
  <si>
    <t>ASQGSSFQSRRRGDHICRTNLLQVLRMTHLQTTHQLEVAQEEIKNLSMIIEQNHNSCQSSLDEITAKKEQLTQKEEMLACLQDELFKVRLREAENDALIRDLRAKIQDLEQDKKTLRESTVDNSVAHLQEELIAVKLREAEANLSLKDLRQKVTDLSAQWQSYLKET</t>
  </si>
  <si>
    <t>PYKGFRNAREREKYDPLADLFAVINTLQHVEKAYIRDCVTAHQYTAACSKLLVQYKAAFKQVQSSELPNIDAFVTNYRLDCPAAMERIKEDRPITIKDDKGKTSKCIADIVSLFITLMDKLRLEIRAMDELHPDLRDLAETMSRLSLIPADFEGRTKVNEWLATLDAMHASDELSDQQVRQPIFDLESAYNAFNKLLHNSS</t>
  </si>
  <si>
    <t>RGPESDRDRDRDLCRRDDDRIGFSRRVCDREDGFRRGERDDFMRRGGDRDDSFRRSERDREFGRGFEKRPEPQGQGSWRRGPESELPEPISKRGIDDRRAVDDKRSMDDRRAVDDKRGIDDRRRMDDRRGIDDKKEWRRTDAPLQKAVDKGEDSGDDGNWERVQRR</t>
  </si>
  <si>
    <t>IQTNIFNLLYSIFQKFFFFFLYXXXXKNXILXKTQHSQNXKNLLNLNFPLSPISNXKXXPNQXIXYS</t>
  </si>
  <si>
    <t>PGFRHSAALWRHAMSKEPSNFAKDLGNQEKEVSLLAEIPKLVVGLCNYTLPSIIRLIDMKILPPTKANWAEKETAELREELIEMLGTDGVLLFPSSSLDASYHYASFLRPCNFAYCGIFNVLNFPVTQVPLGLSKNGLPVGIQVVSTPYNDHLCIAVAEELEKAFGGWVPPYQT</t>
  </si>
  <si>
    <t>LVYVYLLSTQRSIIDLSSHFDVPFDPTFTQMQGDLDQQRLLGERHVPTIDPFIAKEIHNQERYDRLLRRAKTEDLTEVSGIGCLYQSGVDRFGRPVVVFVGKWFKFKDLDLDKALLYLICLLDPLVKSDYVIAYFHTNTSNVNYPSLTWLKEVYNILPYKYKKNLKAFYIVHPTFWTKMMTWWFTTFMAPAIKQKVHSLQGIKNLYGVIHPSQLEKPAFITEHNLTINGLRVFKPRFNPIN</t>
  </si>
  <si>
    <t>LVALVFTPPVPHQTEYCDFVXGXFPYKGSLCSQVSCLDNVCGMLPFFNSEVPDQFYRLLTSLFLHAGIIQLAISLAIQWFVMRDVEKLTGTLRLIILYIGSGVAGNLASAIFVPYRADVGPAGANSGLLACLIVEILNMWPMLQHPYYALFKHLLIALLLFIIGLLPWFDNFSSFFGFIFGFLLSYAILPYISVGEYERQKKIFLISV</t>
  </si>
  <si>
    <t>GSNRTISTLSASLSRIQLNLCPLTILSIKTIINLLFAFFFKSTLVKNIIYNLNWSFYTYLNSEEIQTSQI</t>
  </si>
  <si>
    <t>IISKDGYFIVNCKKYRTGKFGVIYSQFFRIYIYIYPALNYSYFSTNLKSN</t>
  </si>
  <si>
    <t>KKWSLRSVHCCGGSLFCIFTLIFSKSQSPATRSPIQNLFTIFIHLQLDNDCLGWMDTDISGGSISFLPLNSFNIDNVFLSVYLNDFAYLLSLIMSTNHLHFVIFPYGHSSYIILLPQFFRKWCRH</t>
  </si>
  <si>
    <t>YDQMICVLKHKFPLYDETECENFKQRVPPMYACDPSFNEHAFYKDIPEIDEVISIKEKQRIFEEYVNARLVEMEDPLMKEDKTLYEKFVLKWYDIKKDVQERFTFQNVTTGIEDFHLDKLFEEAIDKSLPNTCSALERLNVVGDEEDVKFERNTPSEEELRAHYLCYNEDPIPFIEDVLYNTGLHENTVREILAGYDSYPTFRHLMQVACHLAVKDFTVTPDNKDFRMSLPLIRYEMGFAL</t>
  </si>
  <si>
    <t>AVRQLCDHLYTPATAAVCNKYFILIRVEKKKKKKKKTLLGPPAPFNFKFEKF</t>
  </si>
  <si>
    <t>CNMELNKLNIVCLIFNLIIVCHAYNEQLSSKLDKMIRILNDIQSEELEHALSIIEQKKKLAKENSDAAVKCCEREGNKYLDQIENNNVAYASEFYKKLNGYWKHLENTESEKVEQAMKETLESLFEKTLTRLQTQGEIITLAFVAKANKCIGF</t>
  </si>
  <si>
    <t>ESYYXXSLLGISSRSSLGYNFVSSLRLNYSKNMSLPKVYFDMEADGQKVGRIVMELRNDVVPRTAENFRALCTGEKGFGYKGSTFHRVIPNFMCQGGDFTKHNGTGGKSIYGIKFEDENFSLKHTGPGVLSMANAGPNSNGSQFFITTVKTSWLDNRHVVFGTVVEGMDVVKKLKSYGISGVAKTS</t>
  </si>
  <si>
    <t>SQLAFSDINSPIIEQIVFFHDYSIIIILIITIITIYIIINIITNNFISRSLMEGQEIEII</t>
  </si>
  <si>
    <t>IKRAMGFCECTVKFALFVFNLACALLGLVIPTFSVLAVVQGKSFKTLLDGEITTTGIVMIVIGALVFLIAFFGCCGAIREDTCMLTTYGVILSAILLVQVAIGVMAFVYRGKFEDGFNKGIEQTFEDYRNPESMQVIDELQKNVKCCGVNGPNFWTTPTLPASCCGFDDGSTTCNRNQAYNDGCETKIKNLIKHSFKLL</t>
  </si>
  <si>
    <t>NSFSYLSKLYLLLHIKMRECISVHVGQAGVQIGNACWELYCLEHGIQPDGQMPSDKTIGGGDDSFNTFFSETGAGKHVPRAVFVDLEPTVVDEVRTGTYRQLFHPEQLITGKEDAANNYARGHYTIGKE</t>
  </si>
  <si>
    <t>GYQPERLRAGFYLLFYTLFASLPLLLGIFYIRRTSCRVFYFLIEVDCNFYLYLSLILAFLVKMPIIFVHF</t>
  </si>
  <si>
    <t>FFFFFFFWDYVIFIDWEILSMNGCSITMTFLFDWISLIFVGCVFVISSMVIYYRERYMGSDVDRVRFYFLVFLFVMSMMIIIVRPNLIRILIGWDGLGLVSYCLVIYFQNYKSYSAGILTILTNRVGDVAILLSIA</t>
  </si>
  <si>
    <t>ILLLCLTAFLGVSEARVFTRCGLAKELVAHGIPRRDLANWVCLIEAESGRNTAARGGPNHDGSYDNGLFQINDRFWCTYGKPGHDCHVRCEDLRTDDIRASVKCALLIKSRQGWKAWYGWQNKCRGRKLPNVDVCF</t>
  </si>
  <si>
    <t>YDICFRTVKLSTPTYGDLNHLVSLTMSGVTTCLRFPGQLNADLRKLAVNMVPFPRLHFFMPGFAPLTSRGSQQYRALTVPELTQQMFDAKNMMAACDPRHGRYLTVAAIFRGRMSMKEVDEQMLNIQNKNSSYFVEWIPNNVKTAVCDIPPRGLKMSATFIGNSTAIQELFKRISEQFTAMFRRKAFLHWYTGEGMDEMEFTEAESNMNDLVSEYQQYQETTADEDADFNQENEQEVQ</t>
  </si>
  <si>
    <t>IYHLRNMLRKRMLGVGIFLIGGRLGNFKKCIMQTKLYFKRGRKKICFHRLEFNKRCMHQVILCVCEQIFYTYCAISYTYILNISAIIYIYTRTQTHTWICLLY</t>
  </si>
  <si>
    <t>KKGVVERSLLHCHLHELLCYALASQSTPIRCHRRTSPTYSTTSIKLTSLRNANSLTGSRECIYRSFF</t>
  </si>
  <si>
    <t>KQWLIPVLLIPKPVNPTLLQTHVMFMVMNLTGFFIERRPCRICSLVFLSAVFLICYSGLGSCIFWSNNCDNVRCDDS</t>
  </si>
  <si>
    <t>EFLVKPVGMSVDKEELVQRAKLAEQAERYDDMASTMKAVTETGVELSNEERNLLSVAYKNVVGARRSSWRVISSIEQKTEGSERKQQMAREYREKVEKELRDICYDVLALLDRFLIPKASNAESKVFYLKMKGDYYRYLAEVATGDTRNAVVDDSQKAYQDAFEISKSKMQPTHPIRLGLALNFSVFYYEILSSPDKACHLAKQAFDDAIAELDTLNEDSYKDSTLIMQLLRDNLTLWTSDTQGDGDEPQEGGDN</t>
  </si>
  <si>
    <t>PPKAAADFTAQVIPSNHPGQIANGYTPVLDCHTAHIACKFAEIKEKCDRRTGKTTEENPKSIKSGDAAIINLVPTKPMCVESFQEFPPLGRFAVRDMRQTVAVGVIKSVTNKDVTTGKVTKAAEKAQKKK</t>
  </si>
  <si>
    <t>HPPPPPRPQKYFRKKKKKKKKKFFFKKFLKFFLKNFWGEYFFLKKFCPILFFGERKKKKKFLFFFFFFKKKIFQNFSFPAPNFCVTFF</t>
  </si>
  <si>
    <t>KKMGCFLKKIFPGFFLQKFIRGYNFFFFPPFGGGTNLGEGGMVGGLFFFFPPAGEKGGFCSRGIKLGNPRGFPPPRRLKRPAPGILIGFPFGGIAKWSSNFGPILNFFEFWIGWGRGGRQVFFFFFFFFFSKGTSTQTYTSIHQVVEQI</t>
  </si>
  <si>
    <t>FFFFFFFFLVEVVLCKESYSDYTLRERCSAKLYIPNQCYLKLNTRNNQFSSLG</t>
  </si>
  <si>
    <t>GSGGCMVAKNKEKKKKKSVGPFAL</t>
  </si>
  <si>
    <t>CFIYKYQNHPPPWKRIIKELQDLGRDPPAQCSAGPFLDDLFHWQATIMGPPDSPYQGGVFFLTIHFPTDYPFKPPKVAFTTRIYHPNINSNGSICLDILRSQWSPALTISKVLLSICSLLCDPNPDDPLVPEIARIYKTDREKYNELAREWTRKYAM</t>
  </si>
  <si>
    <t>WDVAVFSRPIPRHLVGSLAGHCGLWRHLYIMELMPDPFCRVCETEEETPIHLKTDCLGFEEIRFRTFGRSRMSVEELRLFPLKVIVRFIRTVVNLRWIKSGSGFLF</t>
  </si>
  <si>
    <t>VQILPHNPADLIHTDGRYAGPPGSLGHVDFYPNGGTAIQPGCGWDVLTLRSHRRAYWLFAESITTPEGFSAVPCDSWEHFEQNNCKDGNLTVMGEHVSPRARGAYYLRTNYKTPFALETVEKIRSNKK</t>
  </si>
  <si>
    <t>CYNLGFVKVVKNKQYFKRYQVKFKRRREGKTDYYARKRLIVQDKNKYNTPKYRLIVRLSNKDITCQVAYSRIEGDKIVCAAYSHELPVYGIKVGLTNYAASYCTGLLLARRLLQKLKLDKLYSGTTDVTGDEYNVENLDEGPGAFRCYLDV</t>
  </si>
  <si>
    <t>LSVEWARNSIFPSEGKVDXXMKXLXPSWADMLVLDHMHQRMHNRLPDETTLPNGQKFDLLSLGLLGVPSLSEHFTEISGKLTDLKFDPSDYICIKFLLLLNPDVRGLMNRKHVQEGHEQVQKALHDYCLNSYPQIQDKFNKLLLILPEIHILASRGEEHLYMKHCSGGAPTQTLLMEMLHAKRK</t>
  </si>
  <si>
    <t>CAFINMTETIEPSTVESSPTAATKKATLSPKKKVGAKAAKKKATHPPTSQMVTAAIKDLKERGGSSLQAIKKYISTTYNIDAEKMSLFIRKYIKSAVESGELVQTKGKGAAGSFRLGGSEGNVKSKKTTTKAKPKKPAAEKKATATKKKASPVKKKVAAPLKAKKAKKPPTTPKAPKAKKVTPTKTKKAATPKAKPKKAATKKAAHKKKKKKK</t>
  </si>
  <si>
    <t>PIQKSTYINEEGKIINIWHRNGTIFVLKNEAEITTNIVIPNEISFANYIKEKGFCSITVLKIIIKFNSLDPLILKSELTNGESKCLSPSIILKKSFGNKNPKISKPLKKKKKK</t>
  </si>
  <si>
    <t>LIIFHRCNYGWFRLIRGRKCYCFLSFYDSPNFLSINRLGSPIYPLYCTFPNSNISTARSDQHFVIKLTNSLKRFFDN</t>
  </si>
  <si>
    <t>ENAEYCKNILTKVLCIFKLISFSTSFENIYKASIFMAGPRIQLSTCCQGNVKSLPVRFLNEIRFII</t>
  </si>
  <si>
    <t>DWFLIIFGTSSNLVYLRGERENVRLLAKLLASRCEQAYIKNSLLQV</t>
  </si>
  <si>
    <t>KIIPPPPIYFIKKIIKNYKKIFFFFFFFFLFPPKKKIIKFFFKHKKKKNFFPFKKKKKILKPFSPPFISHPPKLKKNKFFFFLIPPFKNFFPH</t>
  </si>
  <si>
    <t>VISAKNALESYCFNPMSTVEDEKLKDKISLSDKNTILEKCNEVIRWLDANQLAEKEEFEHKQKELEQLCNPIITKLYQSGAAPGGMPGGFPGGFPGAGGAAPGAGGAAGAGGPTIEEVD</t>
  </si>
  <si>
    <t>FSTKCSKNIFSEIIQIELVNNILKSSLFEDLEFYNFYPWQCRCIFCVF</t>
  </si>
  <si>
    <t>VNNKMFLKIIYKPLLLILTTLLASVSDVVSFGDIIYAINAGGEAHTDIFGIRYERDPLFGKIGTPSDYGKQLLIGRVPANDQILYQTERYHHSTFGYDIPINQDGDYVLVLKFCEVYFNAPNMKVFDIVL</t>
  </si>
  <si>
    <t>KKKKKKKKKKKKKKKTPLLKKKKKKKKKKKKLEKKKKKKKKKTWWGPPAPSTFNLGKVLGGGPIWGSLGHFPLWGAFLNFRGRLFTPPGGENPGVSPFYSLGTTPPFPRGGKKQKAPPHSPFPTFAPPEGERKFERFNFL</t>
  </si>
  <si>
    <t>RMVYVQFLTLSMADQLVNGGSGNYNFKVVLLGEGCVGKTSVVLRYVEDKFNEKHLTTLQATFLNKKLSIGGKRINLAIWDTAGQERFHALGPIYYRMSNGAVLVYDITDEDSFQKVKNWVKELKKMLGSEICLTIAGNKIDLQKERNVPVETAENYAASVGAVHFHTSAKQNTGIEE</t>
  </si>
  <si>
    <t>LGLSLECSVSNKFVISFLPPVDIFCLFDSQPKMAGDQQQFFLKWNDFQSNMVTSFKHLRDEKSFTDVTLACDGQTRKAHKMVLSACSPYFKTLLEENPSKHPIIILKDVPFQHLSAILEFIYSGEVNVPQDQLNVFLKTAERLKVKGLTDPQHSNN</t>
  </si>
  <si>
    <t>TAILCYIQVSSNTKNLSLLRSALAPLARNSRSFVSSPISRTTTEVPPGYKHMQVKAGRFNLEDGKPVFIKGGTLDSILYKLTMGACVGAVVWDLILYYELAQR</t>
  </si>
  <si>
    <t>RWIMESQYISPLLSLHKYNTIGNFWPIFISVSVTQEPTQVEGGIYPDLLDLPHRKSVAVSTDQSYYATLPLVRRLPESPQVKLGPKYDNMGPRVTAAGSSTISLPDSGEPIAIGIEPATSDSTTPTATFEIGICLALKDSPLPITILYPPLNYIFSKIFLIRCFFPP</t>
  </si>
  <si>
    <t>IIKLLHIISLNKWLHWFFYFVLTFHCTPRKKIPFFLRLSATKAKTFKTLRCTT</t>
  </si>
  <si>
    <t>LLKILHLNKDLKIPSRGGEINESIEFRNPITTFVDDNPIITEQLIGDSPQPSGDVRSVSDARTHSIIDFLERPQFIGSFLWNTSDIENKEIFSLKLPDALMSPMIREKLSGFTSFSASTVFHIQVNAHPFQCGRLVLAAVPVPDILPLHRLNMLSFDVSNVVTLPHVQLDISKETEVLLKIPYVSPFVQYDLVXKKKKKKKKKNM</t>
  </si>
  <si>
    <t>GSLCKIKILIKNVTYWAKLFCIRTLFWNPTFFFYLFFFKKTHCSPGNFCLKKIFFKKKKKK</t>
  </si>
  <si>
    <t>NSNLLKAISTVVKATVTAARSRHSYLEFLALSQLSFGHHSYLKHLKLQHFSILTVYIAALYNLVNTI</t>
  </si>
  <si>
    <t>LANKTFLNILYFLKIIIYTLHILYLFNWRKLSIQFKIK</t>
  </si>
  <si>
    <t>CTVRTFLTILKIHSDSFFEVIVFEMKFGYMIKTATVSISLLMVIRCKKTC</t>
  </si>
  <si>
    <t>MRFTRPNFPRPYKVPIIIPVIVLVISMYLIVAPIIDTPQIEYLYASFFILGGLIFYIPFVHYGISSPFMERFTVFCQLLFEVSPTQSVYE</t>
  </si>
  <si>
    <t>WYSVKNPMPRDPSAEQLNEYKSAQKSASVLTTGTGAPLETKTATLTVGPKGPVLLQDFGFIDELAHFDRERIPERVVHAKGAGAFGYFEVTNDVSKYTKLSVFSKIGKRTPVAVRFSTVGGESGSADTARDPRGFAVKFYAEDGNWDVVGNNTPIFFIRDPILFPSFIHTQKRNPVTHLKDADMFWDFISLRPESTHQTMILFSDRGTPDGYRH</t>
  </si>
  <si>
    <t>RQYKGLCGAAVVVGNLNNGNGAIVGFHVAGGNGRGIAEPLYLEAVEQLTGHCKRKDPKVILPKVEEIDVTTINFEGNFLAYGKIDPKYAHTESGKTKYIPSPLAGSIYSVKTEPNPLKPNDPRQPPGSDPLRDGCKKHGSGDIRPFSKQILDMVKVD</t>
  </si>
  <si>
    <t>YIFFFSVLFPFFIWSLVRFCLMWAYNILINNYMSVR</t>
  </si>
  <si>
    <t>RSLTSLRRRTADLTEVAAVVETTQAPPATVLLHLLHDQMPTQVLFMAVFPQKEHGYFPCWVISIFLTILRKEAPYLVPYFPVIPTFLVCGAIFYTMVCFC</t>
  </si>
  <si>
    <t>REGNDADGVLTPKFLKEWPLPNSHSGKYWSLIPLKISPKKLQVVANDNSLNGTTYSLINNNCQHWVKVAAETISSDLADSLDKYRTSDEVPIVEQAVLGTWASSKATSSNVFSSLLGIAKAGWDAIEQ</t>
  </si>
  <si>
    <t>SFFTFRGVKCLITSYFYAILLTHCIGIKSDEKNNEEIESPSDIASVSKFIKEFHRKLEEDLYPIVDYDTSNDSDMNPPYINDNVTNSANKSGSSEKNVTSLVNCNTERKPGGLTV</t>
  </si>
  <si>
    <t>HSAILRVKIYNMKPITFLSVAAPVRKFMLINSYAEAKVCAGCVQDADPNDPEIKKLLVQVLVAQSEDCDIIKVIRAKTQVVSGIKYIIDFEVKERKTNKVKICSTNFLLANHGGSNYLWYNNFYV</t>
  </si>
  <si>
    <t>DTNLILPDILPDYIIFVVVVNSNILFLSSNLISPNKPTDYSSNTTYHINRLYYYRRRRNKQFFFFELLI</t>
  </si>
  <si>
    <t>NILIGFKNTANYIIIIIMGARQTKRSVDISTTPKKEKGEGVVEEKLEKIEEQDLAKVQNGTAHTENQEGGEGGDNAIVNGGGGGEEKVEEAKEVXXKK</t>
  </si>
  <si>
    <t>SQILNFTNHLFPSAHPKSNVHLSINFEITSKKKKKKKK</t>
  </si>
  <si>
    <t>MLNNNFLLKYNINKKNYTIFFRFFFFYIFFSFASYKIYNRYDLRKKIKKATQIKYKVKVSNNGLNSKNGKEIYNSIKGVVC</t>
  </si>
  <si>
    <t>MYKTPRPVEELQKELKVYKDGLKMYSMLKKSGREVLRNSFNTQYYGNITLGTPPQEFTVIFDTGSSNLWIPSAVCSSVACRVHNTYDHDRSSTYQPDGRILRLTYGTGSIAGIMSSDVLQIGDLQVKNQLFGEALQVSDSPFARAKPDGILGLAFPSIAQDHAVPPFFNMIKQELLDKPVFSVYL</t>
  </si>
  <si>
    <t>LGSAYWPVGLISQKLDPQTFYRVGALHGMINAEALAKIMNDLFGGVVYAGLDTDKYKYPIGSGRVTFSNYWSYMKAVVTAFIEIKTSQFTKKVQVDPCLEDSPCSTCNVQQGPYFCREMVCFRYYCRSCWSWQHSNESMRTHKMLTRNSKNTNITPLGKPRLN</t>
  </si>
  <si>
    <t>FFFFLFSLFFFFFLFFFNFLNLFIYLFFVCFYLFTIMILFTIPFTLNTI</t>
  </si>
  <si>
    <t>IQQEVLDQQLLQIVGLITGYIGWDHAWVEFWQLYFTHQFWQHHRKLKGLDSKQGDAQTA</t>
  </si>
  <si>
    <t>ARSPTCDISEGPIFLYSSNTISVFTDVRYGVSFGHKKTSGFHSKQKKKGKPVCL</t>
  </si>
  <si>
    <t>SSFGRLLKLCCSEDLCLFSLSLSSSSLLKSRALSSSAVPCPCSLNFNFVCPGRSLLEYCFDIALKSISPRPWPPRAGSNVGRAAVVIYIINMKQQ</t>
  </si>
  <si>
    <t>CIFTSLGAVAPRLERAFMDGTERLVLIDQRILYPYGVTVDFPREHVYWVDTNLDYIERVDYDGKNRITIGKGFPVQNLFDITVFENTLYVTSLRNPSVISINKFNSSDYIAIATNLRAYYLHVYHRQRQPD</t>
  </si>
  <si>
    <t>QLRTLSAFAMLILKLIILAVLVYTTICPARNVGTRPIIPFKQGPCVPASVVMKNFEPVKFFTGIWYERSSFDNDLTEGDGICSGLKSKIVGDKVVILFYHFESFLLNKYTFIKGEANLTDTSIASFPLAVKYDTTSTQELPIRIIDTDYENYAILYSCRPVPGNSTLNDEMVWTFTRKRGDDTNDRVVDKILKSSTLDPAKFTRYGTMTCPADEPTL</t>
  </si>
  <si>
    <t>NVMATNPTSEFQVHKLIDLVRTNRCLYDPLDVNHNNRAVINSAWRAISYEMCQPESVCREKWINLRSNYARELRKTRRKIHEMEVYPKRKSLSQWAHYEALSFLSPFVKTRLDTVEKEADSRVGIKLGRMDSLDADPLTLTEVAEEV</t>
  </si>
  <si>
    <t>IHSQMRRTGGTETSQYPEEKKSTEIPPVAASERGAAQSQHQNLPQEKGLERPAIKGDSPVSEAVSVVSSKSRAGHVLSCLNMGGPSSKAKYS</t>
  </si>
  <si>
    <t>TVLYINKTQTTIITFFYLIYSITVYCFKQLTTRLVIQCSIVFPCMLPRQPRISHPNISPPLWRSYKNNNLI</t>
  </si>
  <si>
    <t>FLNMIANHLLLELLHSELVSYVTNVENKEPGSKQGNLSTLEYFGFSTGFRMIERLTKEWPRFKDELDTVKFMCTDFWSSIYKKPIDNLRTNHQGVYVLQDNAFRFMNKISTGTQYLDVAPMYIAFTSGLLRGALANLGINCHVTAEVQSMPTCKFHIQVQRN</t>
  </si>
  <si>
    <t>KNIPPNRGVGADNVGSKQIFQIRMSLRGIAVVLMGKNTMMRKAIRGHIERNQALEKLLPHIRGNVGFVFTRGDLPDVRDKLLENKVRAPARAGAIAPCPVIIPAQNTGLGPEKTSFFQALSIPTKISKGTIEIINDVHILKEGDKVGASEATLLNMLNISPFSYGLVVEMVYDSGTIFEPRILDVKPADLRVKIFGGSI</t>
  </si>
  <si>
    <t>KQILLSIYSINIQKKKKKKKKKNMAGPPRPHPTFESKEIYARRPQFEVPLAKFPPLKGGQFKNPLGPAFFNPPRTGEKPPGVSPQLKSPLSKPHPPSFPPNGGEKKTKKRPPPPHTSPPPPPHKWVPPPPRERGGRKRKRKDIVKKKPAKK</t>
  </si>
  <si>
    <t>VFSDFITCLNDPDCVCIEKIIIYRFAIFNHLKSEEAIAIFLLLIKYSFIIFKM</t>
  </si>
  <si>
    <t>FSMGKVLIQAIVIPFYVLSAVLAYNYLPFKAVSGFCLLICSLYFAEDVLCYMREILDLYITPQAQSGGIESLWFCTNVFNALLFRNFKLKSLSEFARFIAIVPRAIQGVDCIGELISKAFEFARISFYKYVLKSDVPITQESPVTKWSGEVQKYYMKYLESQLVYDEINFNLLGSLYQEGIVMLNSHIFVTARPLISRLLAIISSILMEFKNGGFSESTIRNPPVTIYISGNNGGSKNTLS</t>
  </si>
  <si>
    <t>WLEVNQSSVNMKLSLLILFFIGTFVSNNGNLRVPLQKIYNEPRDFNEFMETATISQARYLLLQKSGVKHMLQKRLNSAYYGEISLGTPPQNFTVVFDTGSSDLWVPSISCFFSIACVNHRKYNRRQSTTYLKDGRSLKIVYGTGDVEGFLSTDTLTINSLNVVNQTFGEVYAESKKPFKNAKYDGILGLGYPSIATDNIAPPHYNMLDQGLIDSPVFSFYLNRNRSETY</t>
  </si>
  <si>
    <t>ITFLTQHNFYPNKKMRTVLCLLAALTTVMAAHESIVCPPDFCNTVQCSAELTEESCDGEFFPNSSFCECCPTCITYIKPGGYCNEALHKIFSALYLRVHRCSPGYHCVRNICIPKNNFI</t>
  </si>
  <si>
    <t>NIISTIMKHFLILLSALVLAQGLKQNEAISSHDAEELLGPLLNEYFELKNLIEEVKQYQGTQKISSLVLAEKIARVPPHCLPIDTPFIEAWDSDACNNLTESLQKAASLAQQIGNWAYQAGLNLWAKFSDLFQCGNVNPLTAFKCVVNDINELKKVIESYKPRALAYKKEIVALAKELKVEFKQCLGVQKEAQAIAEQVVVQAQLCDNTKL</t>
  </si>
  <si>
    <t>PLMPNVMYKITLYSSNILLGHSAADLFRFGFLLGAPLAISATALRDNFTGSSATVSLPTFSNFYLSSTSESTT</t>
  </si>
  <si>
    <t>ERSANGSTHDANIDYKAHVASWTPFTTDRTCRDMPVTPTGGEPTARHAEPTTSFLTATTLIYAIGAGITAAAGTRLALQWILVKGFKVYSFRLRGLNRVPYRYFLSLPPRAGSG</t>
  </si>
  <si>
    <t>YSLLELELPWLLAPDLPSNGSLLKDLKCTHSDYGASIESCIVIFCHYLPVPGVGNLRACCLPWDVVAVSQAPSPESKGDSPLPVRAHG</t>
  </si>
  <si>
    <t>PIDLIVRTGLLISSIRYKIRSLGKAMNTRIIAGRIVQINSMVWPSRRYRLVSLFMSTVPIMYPTRTVIVVRIIKVWSWKKLERAIRGELAS</t>
  </si>
  <si>
    <t>RIXXXFKYSSTSLPKQVLWTSPVHPQIIRNHVTVVDAPGQPTLLAYATGFFKYWRGGLVYTFRFVKTNYHSGRVQITFHPFVGYDDVMDSDGKIVRDEYVYRVVVDLRDQTEATLVVPFTSLTPYKVCADVFNSANRPEYNYEPRDFKVYDNTTDQFFTGTLCVSALTPLVSSSAVVSSTIDVLVEVKASDDFEVAVPNTPLWLPVDSLTERPSLDGVPIAQVGFASAGTRDIRSSYVEGKFIPQDITGMSRNHELDEQPSQECIGERILSFSELIKRNSWRYVSDEKSLIYPAYAFDNPAAMYTAADKLPVWTLTPRSGFPTLLTSIGAMYVFYRGGIRLKIVPGVADQPKPLVEVALFTMQDQGYIIKANDYSTDFCSSNIYXKKKKKKKKN</t>
  </si>
  <si>
    <t>VHRSTEMQILPLTLTGKTITLEVESSDTIENVKAKIQDKEGIPPDQQRLIFAGKQLEDNRTLSDYNIQKESTLHLVLRLRGGAKKRKKKNYSTPKKIKHKKKKIKLAVLKYYKVDENGKINFFKKKRQFKYFFCWGIYGLQLKKLN</t>
  </si>
  <si>
    <t>LTRFFALHFLLPFPLIALTIIHLLFLHQTGSSNPLGLTRNFDKIPFHPYYSIKDLIGVSITLIFFILLNL</t>
  </si>
  <si>
    <t>XXXKKKXXFILLGKSVYHLKITRRESQREIIVMSRTVLLLLVISVCSLVGCVAEPDIIQHSRAKRLTAFAKPASPSQPPIVGKGKECKSDRECEVIPYTTCTIDVRDQRRRCICKDGNPPANGQC</t>
  </si>
  <si>
    <t>TCSSTTSTKYFSPPPRCALSLITLFLAPALAYSHPAEWTEQQLDESLWEPAGEVTEEHVARLKRATCDLFSFQSKWVTPNHAACAAHCLLRGNRGGQCKGTICHCRK</t>
  </si>
  <si>
    <t>YSITPKLIGLGYYSYSNFIKINIYIIPVSKKVDVFNAANSVDNMLWEPDLVKSTVRRNRKNKSVFHTKNCSFCRLIHPVTNYTIWKQMGILHSFTHFGNAF</t>
  </si>
  <si>
    <t>KKPCKSDVSQPPYVTPSAPSTTSTIILSTPTPAPIKPECDKENDKRGVKNDCHRYQVCKGGKWIDEKCSVWGKFDIITKECFYFQTWKAKCEQ</t>
  </si>
  <si>
    <t>PNSNPGRLIIILPWLSRPGVASILIPRLGIVHEWITSAAVTKMRICLFIGKITRLSTSNSRKSLISKSLEGFI</t>
  </si>
  <si>
    <t>GLTSRFEDLENEEVVAQVGYLPGDDSKSKVRYLSGAIPSLIESHVFDWNKRWNNLIEKYPFLPSMKVIGGVMGLLAVGLGISTMFWKKTEKKESHVVSFSESCEKVEQRPVVKCESCEKDTQRPTVRCETSTLDMKVDNQPCDEFLTKSQGVLDLNASEVLGKKKKKKKKKKFLAPPAPFIFKFNQFFFCAPIWPPFAHSPLLGGI</t>
  </si>
  <si>
    <t>VPKSYLPPNNWVSLYGGSAWKYNTERQQFYLHQFREFQPDLNLRNPKVVDEIKNVMRYWLDIGVDGFRVDAVPYLVEDASLNPEDQIKGCNDINNYNCFTHYKTKDVDETYKILEELGKVFDEINIRINQENFS</t>
  </si>
  <si>
    <t>GMSISGLTAGARILTLHMRTECLSYLYSNRTQIPVIRLMNKITNMMQHSTQRYDRRPFGVGLLVAGYDNDGPHIFQICPSAIMYGCRAMAIGSRSQSARTYLEKHLDEIGICPNEADLIKHALRALRDSSPNDIELNNKNVAVAIVGKNTPLKELTEEEAQDYLNMVLSEERRTGGTSGGTGPGGSSDSGSRPADDGQPSQDPAPQVAMDTQ</t>
  </si>
  <si>
    <t>EIDVPIRSLDEHSKLKRSFVLDEERQQWIAPLTLDTVLETPSWIHRCDDPIEATVSNIEFALRELSLHSKQEWEKYAPVMLSEVTRLGRTTIFHDWADTRAFVLDDLSPDEIWNPTDLTM</t>
  </si>
  <si>
    <t>FYFDVNFVXGLIKLLYLYIFIEIRRVRVVVLFNVLKLLII</t>
  </si>
  <si>
    <t>KFPLEFRLLSPIAKSILTLTFYLILGVGVIKNNSTCSNMRKFYVGGNWKMNGSKKDVEALICNLSNADLDPATEIMVGVPSIYLDYVKKLLPKNIQLSAQNCYKVPNGAFTGEISPAMIKDVGGCWVILGHSERRHIYGESDQLVAEKVCHALSEGLCVVACVGEKIEERECGLTEEVVYRQTKAIADYVTDWSKVVIAYEPVWAIGTGKT</t>
  </si>
  <si>
    <t>IKMKLITLFLFIGPSFGVDIITKDIGESAWDEIIDQSIETARSAIIDNHLDLIHLPNLNQEFHKKVIGIPFYASVKIPDAEIWDISSVNRRGPVTLQQDDTTGNITLSTSLGLEKLVLNCNKLYLYLLGITVSGSMNIDCSSNEIEISLSLITDKESRCKAHINWARVTKFQDFTIQIAPSNVSNWLAKHIISFILNKFPSKITGIINFRLADELNAGIGNIDVCSYLHFR</t>
  </si>
  <si>
    <t>GLSNFNSQQIQEILDMASIKPVNVQVECHPYLNQTKLYKFCEANGITLTAYSPLGSPARPGAKPDDLILLKDPKLKELGDKYNKTPAQILIRYQIERDIIVIPKSVNKERIQSNFDSLSFTLSKDDMKILDGLDRQDGRMLKLENIADH</t>
  </si>
  <si>
    <t>ANMTEKAAKVTTTKTQPAKVKTEKKAKEKPAPSAASTTKSVEKPVEAKKPKKPQRMIRKRHGRLYAKAVFTGYKRGLRNQHENTALLSIEGCKSKSDSWFYVGKKCVFVYKAKNRTRAPGLSKNKTKVRAIWGKVTRPHGSSGAVRAKFKSNLPPTAMGRRIRIMLYPSKI</t>
  </si>
  <si>
    <t>TRSFNRPEGHPRGDHVKNHLCRLSLRSKLGFRPEGLSGVCEASPKRNTLKKAGRLAGRTLVPNFTGGYPAVGFERATSRSRVGRPNR</t>
  </si>
  <si>
    <t>RKKNYLAFKLGGGKERGWGKVIKFFFDFKGGKNFIFLGLKKFKIFFWGEKKKTPKRNLLRFLKFFKKKFWGGDYFFFFKKKKKKKIFVFWG</t>
  </si>
  <si>
    <t>IHIYWIDVLVLVFAAFYFIYVFAAFYFSLCGFLFYLSLRFFKNVCTYHRKINHLHLMTKPFHIYFSC</t>
  </si>
  <si>
    <t>VGHLHHYWLEKSSILYFILSSIETSLKKVKSFLLNSYFIKHNYSSFLFFFSKHPKLVFLTYCFLFSRRM</t>
  </si>
  <si>
    <t>FAGIKYKLNKSENFDEYMKALGVGLVTRKMGNTVSPVIELLEEDGEYTLKSSSTFKNTVIKFKLGEEFDQETPDGRKVKATITLEGDNKLVEVQKGEKETTLIREFSKDEVKMTLTVDDIVCTRIYKVIE</t>
  </si>
  <si>
    <t>PTDNMCDEEVAALVVDNGSGMCKAGFAGDDAPRAVFPSIVGRPRHQGVMVGMGQKDSYVGDEAQSKRGILTLKYPIEHGIVTNWDDMEKIWHHTFYNELRVAPEEHPVLLTEAPLNPKANREKMTQIMFETFNTPAMYVAIQAVLSLYASGRTTGIVLDSGDGVSHTVPIYEGYALPHAILRLDLAGRDLTDYLMKILTERGYSFTTTAEREIVRDIKEKLCYVALDFEQEMATAASSSSLGKSYELPDGQVITIGNERFRCPEALFQPSFLGMEACGIHETTYNSIMKCDVDIRKDLYANTVLSGGTTMYPGIADRMQKEITALAPSTMKIKIIAPPERKYSVWIGGSILASLSTFQQMWISKQEYDESGPSIVHRKCF</t>
  </si>
  <si>
    <t>XTXXYLFISNYFLFKLKXIIKYFKNKIYXIIYLXXHFISLXYFFIIITNXLSISKKFLFSXNLHLINKXFT</t>
  </si>
  <si>
    <t>RPLRTGCHARVAQGPPDQRTERGPAQLLDAFDHDHDDTCCRCSGRLLSVLQRRRLNALTATTLAEHSRNETDKGIKHRQSGGPXKKKKKKKKKNFLGPLAPFIFKFKKF</t>
  </si>
  <si>
    <t>KKIIVMTCEISDIDWQFGVVAASSEETLVGKTFVQIKLTVNNGAKVERLNLELSVQQFYSLLHDLEKARTKMEYT</t>
  </si>
  <si>
    <t>ISFKKKKNNPLKKPPPQILPLCVAPGFFSLPIYFRVFCLNLNRPQLTDYRENVHGGMTEPRKYKRKARHTLNPGFLQTQNYGSTFNSIYNSR</t>
  </si>
  <si>
    <t>PPLGGNAQKSPNWGPQKKLPRAKNPRGRGAPKVFFFFFFFFFEYFLFFCDFHFILLFFFFEGFFLIFFFFS</t>
  </si>
  <si>
    <t>PPYHQIVYQLIHQFWKPRTRMLVRLWRKKYKRVWILVKKITDWALKTGLTILKEIYHLIHCGNINPITAMKCVVQKINDIKAFIGANKPIALEYKDEIVTLAKELGLALKQCLGAQKK</t>
  </si>
  <si>
    <t>SVVSWFYSEIMASLLWMDSVWQTLVLEERQHPYLLAFAIIIILSFLISLLCNLCACCWTLCCTKSPRYNFINPSKANNYGTIQPIKQPGEKSYPYNPAIASSSGQNDKGLVKTV</t>
  </si>
  <si>
    <t>FVNMPKTKRSETNDTYDEDSFSGRGTKKAKKAKVDDDAAHAARDSMDGSARAHENGDVDSLTYEEKLAFVNPISKPMASKKFTKKLFKLAKKASKHKGHVYCGLKVVQTMIRKGQTGVVLLAGDVFPIDISCHIPAVCEEKGLPYI</t>
  </si>
  <si>
    <t>FTMADDGMDLCGAIWNHEMAMRRLLSLLRQSQHTRTDTQCFQPSNPTQGDSGLMLMMCWMALALVLYLLRPATIRNKENNLKPRDNGSGDGGNPPPTTPNAF</t>
  </si>
  <si>
    <t>FEDKNRRMSSKLVLISLFVCVLSLSQASIFDNKKFGSGPYLPWKVGRCLVPSVQEQFQTAKFFTGHWYELASFGNYLFLFKGICPTFEFNVTDSGEIEVLHYLYEKVLWKYDSVQGNSYTYFIKNNQGYLPITYPVLGGPATIDVPTFIVGTDYENWAVVYSCEQKLVLKAEMSWILTRTRNSTIQKQILETLEKNHLNYN</t>
  </si>
  <si>
    <t>DVEFVGDRNAAYDQPLEDLQKGGTGECRYGLFDFEYTHQCQGTSEASKKQKLFLMSWCPDTAKVKKKMLYSSSFDALKKSLVGVQKYIQATDLSEASQEAVEEKLRATDRQ</t>
  </si>
  <si>
    <t>FLDSSQSVEELHFKEQPLSKMSLLPILFNDVWDDYRRPFRADIYDQSFGMGLLNEEIQRARDALLSVPLRSRYFRPWRSLSVEDSGVSALHSDKNEFRVNLDVQQFKPEELNVKINDGFIVVNGKHEERTDQHGYISRQFTRRYKIPEEVDANAFVSNLSTDGVLSIFAPKKSIKEGADRVIPITQTNVPAVKKSDEKVIEVSKQE</t>
  </si>
  <si>
    <t>CIFHHLLAQQAHVAALGLFNNYLPLHLNFSVRYAYIEVPHIFSHAVPPPLGRTPSGDPSYPFLRSSCPPFCGQTTLAAALLQYVYEVILISSYASPYDFCCHVPLNVLLGIANFM</t>
  </si>
  <si>
    <t>EMDNVSVEAENKSIWCQHGCSAVADTGSSLITGPFDDVLEIIASTGAEIHNGVGFVPCDGIHKLRPITFHFNGRGYTLNPEDYMVKMTIKDETACTVGLAMMPLHTKNPFWILGNVFLGKFYTVFNVEKETVSFATLK</t>
  </si>
  <si>
    <t>FCFKKFNDKYGNNFIKILNKFFFFFSCDKAIIYRYRQQYHHYTIITVEVPMARKIYGQHCWTLTPEYPRTKSNVLPNPGAIPVPLYY</t>
  </si>
  <si>
    <t>VRTISDFEKCRLYFNKRGIFLLNFTVFLSVFSRDAILDNRLPFKFIYIEEYKYFLTKT</t>
  </si>
  <si>
    <t>NCFKKIFSSNSSFFFFFFFFNIKLLFFCFCYFFFVFLNYHFSLVFVILLFFCFSFPVAEQCNFNFFF</t>
  </si>
  <si>
    <t>GCWCIGYEHGLVSGRTPVRVQRITKFYICLKYVNSKVGASAPVHDT</t>
  </si>
  <si>
    <t>CLPLSAVALGGEWCIRIVCAYTLGVSFCICIIFIKFILLNLLQHQKKKKKKKK</t>
  </si>
  <si>
    <t>KLFEYPFYPANIMKCALSLVTLFLVAALAYSYPADLAQQPLDEAQWEQPAGEITEEHAARLKRATCDLFSFSSKWFTPNHAACAAHCILLGNRGGHCVGTVCHCRK</t>
  </si>
  <si>
    <t>SKSSRDHCCCTLHRAGXSWXVXNXSPFRGYSAFSKELLSAELGTYIGLAHVILTLLSDNNTEIDFNERFTWRGSGEMGESYKAGLERGLPFPILTVAEYFTLGQEGFTWGGNYRHAGYYASILLWTAFASWLVMNLLLVVVPRYGACAMVLTGCLMLASTLAYHCLLPVRPLTVRFEDTVLTFRFGWCFWLVIVAGALCILVGLNNLVIDLIYPNRFSTILEIEL</t>
  </si>
  <si>
    <t>RQRVCGIMGKPRGIPSARKHVNHRREQRWADKDYKKAHLGTRWKANPFGGASHAKGIVLEKVGVEAKQPNSAIRKCVRVQLIKNGKKITAFVPRDDCLNFIEENDEVLVAGFGRKGHAVGDIPGVRFKVVKVANVSLLALYKEKKERPRS</t>
  </si>
  <si>
    <t>LLFPFTLGVPTMGISRDHWHKRRKTGGKRKPIRKKRKHELGRPAANTKIGSKRVHTVRTRGGNAKFRALRLDHGNFSWGSECCTRKTRLIDVVYNASNNELVRTKTLVKNAIVVIDGTPFRQWYEAHYALPLGRKKNAKLTEAEEAVLYKKRSKKVENKYKIRQRLAKVESALEEQFQTGRILACIASRPGQCGRADGYILEGKELEFYLRKIKAKKGK</t>
  </si>
  <si>
    <t>IIRHYEIDLFYERMPFLGRKRRKVAKSNSAIIIKRKSVNAKIGSQRTRYAGICNPAVNLLLQRLRQELSETRTRLDDTQNELSAWKFTPDSNTGKRLMAKCRLLYQENEELGAMISKGRLAKLEGDLALQKSFSEEVKKSQSELDELLQDLDEDVEGMQSTIYYLQQELRKAKDTIAQLEQDNTNLKSSSSSGGGRQQQHQDENERLSHQQPVIMATTLNGLAPHSKWGEGDNGESDSLDSAQAADNGSA</t>
  </si>
  <si>
    <t>FFFFFFFFFLAVFLYCKLIHNRFLWVAVIGHLFSLYFILCLINSHICRRKLLKR</t>
  </si>
  <si>
    <t>WDGSAVKNALDGAVTDVLTKKYNYVENFALIDGRLLLCGIAVTVAMFALLWDWLYPFPQSRPVLIICVSTYFIFMGLLTLYTTYKEKGIFVVSIQKDPAGFVPDNIWEASSVLKKYDDKYNLSLAMKDGKTGIVRSATIVRSVANFIDENGVIVHELIEPEVSKLHNSPLSERKEK</t>
  </si>
  <si>
    <t>KKKGGVFFKRKKIYSGVFFLQKYFCGGNIFPHFLPKGGGPIGWEKGRGGGGSFFFFSPLAGKRGGFFIRGLSLGGAPGVFPRPSGLKTSPPFFLMAPPLGGISPRVPLGLGPAYKIFRSLKIGGPGGAKRLIFG</t>
  </si>
  <si>
    <t>QNNHCTLPFIVYIKTVPLYFTFYCLYQNCIIIFYRLYQNCISVFYLLLFITKLYHCILPFIGYNKTVSLYFLCEEGKKLWNCLLHNIHNHHMKELIYFFN</t>
  </si>
  <si>
    <t>QKMPKRAATSELDHFNWNQEEEEPEEECTTPKIASPEVLSNRVIRTAKRFTSSTSSAPSKSAFSNFTGFGCPSNTTNSDVKTTFSFLSNATTSIFSNTNGISVQKTEQAGKEDTQDNKSYNVNTDNEYLSKLKGLNETVLKWIKINGG</t>
  </si>
  <si>
    <t>LPPEKASTFTPFLININVGITLISYCMANSSHSSTSTLSTTISGLEDANSSSLGAIKRHKPHHVAESQLPLSCLLHQLEYSPHLQKILXEXP</t>
  </si>
  <si>
    <t>ASLKEMIIQLLPFLVFCGLTFASQGQGPFEEKVEPDYQETELASAEDSVSENSDSENNAIPDEWRPMLLHYKQLKEIVINLNKGVDKVLDFIREAFGALGEVSIPLPDITKSIGHSPYAGTINVTNGYFKNPTTIERTGDVEILVSNDTTISLKVGVGLKEVELGFGSYHLDILNVHQHGTISA</t>
  </si>
  <si>
    <t>AWDSEACNDLTKSLWKVWDLAIDINNWAFEVGAKVCGKFFGLIHCANINPITAIKCLVNDIKELKSIINLYKPDVMKYENKIVALGKELKVEAHKCFEVHGKTQALAEQIVAEAQLCVESRNH</t>
  </si>
  <si>
    <t>LNIRNKFGIKMLRQFIIYSYSNLFYNQLSLMIPLSLQRIIIVTKTSMRNEETSYRMHLS</t>
  </si>
  <si>
    <t>HQIIIYKLIHSQKKNKNILTRKTCTHYYTIIPLIDYRCIKLSFVDFKLSTF</t>
  </si>
  <si>
    <t>PFNNKIKSRNIIKLITDIENILTNIYTSDSHKNVIRNETSATIQNYIKKHITANKIAVTKNNNKTIVQLNLDKFHTSINQDAKCLKNFLKINQNITIIKSDKTKKYIFINKDELKIKMDLILDDKETYKKTRTNPIKALQKDIDKYTKKLIKYNYYKKPEISSMIEKNPILPRMYPLIKMHKEGHPIRPIVDCTGSIFKKLEYTLYKNPLKILSKKKKKKK</t>
  </si>
  <si>
    <t>KTKTKRIIDYCALVLNPQINTNKKTFFNFYIPLIKRGYFFGYNIF</t>
  </si>
  <si>
    <t>EFLRKFLIPFLWCSVCSFQLGRISLSQRPWPNPEKKKILQKFVENRPSDPLPILVSELEVNCPLSLTQQFNFDSDDDMDKWLLTSRQSTGTILNYDNNFGIYKAPFSEFMYCTCSECDSTRFDSEKCYFENIGEMFDIDPACINGLVIDRYERLKKISEKKKKK</t>
  </si>
  <si>
    <t>XSIXSSLPTNKFXLFNSKIKFSSLNQXXLIPLPTLHSXPQLKXKXLXYLXTXKIXXPFNSSXXXSLFL</t>
  </si>
  <si>
    <t>VAVVGCCRADTVVLNQLMDQVLDSVKTVITQAGMDHIKIPDMNNKWRYRWHFVKLSGNAGCQDGEASSLASIRRTGDTTLQTAGNHAVLKVRIGLGNLEFHFGRCRFKAKRLFSVSSRVKAKVKSNSIELQISLTGQGPQCVASLDHVVLDKFGGLHVDTGGGVLHKIENKIIQWASNHFHDKIVKIVNAKLADAVRKSLPKVDLCSRIPH</t>
  </si>
  <si>
    <t>VKVLLVVAVVPCCRADTVVLNQLMDQVLDSVKTVITQAGMDHIKIPDMNNKWRYRWHFVKLSGNAGCQDGEASSLASIRRTGDTTLQTAGNHAVLKVRIGLGNLEFHFGRCRFKAKHLFSVSSRVKAEVKSNSIELQISLTGQGPQCVASLDHVVLDKFGGLHVDTGGGVLHKIENKIIQWASNHFHDKIVKIVNAKLADAVRKSLPKVDLCSRIPH</t>
  </si>
  <si>
    <t>DNPAAMYTAADKLPVWTLTPRSGFPTLLTSIGAMYAFYRGGIRLKIVPGVADQPKPLVEVALFTMQDQGYIIKANDYSTDFCSSNIYENFVTKGIAEVQTPYYSRVNTSVVSAPVFYNAGNISPLMPNVMYKITSNSSNILLGHSAADDFRFGFLLGAPLAISATALRDNFTGSSATVSLPTFSNFYLSSTSESTT</t>
  </si>
  <si>
    <t>RVLDVISSALRFLAAPHVSKHKDAKLHEPGVLTNITPQGTSTVSVLKFIVLHFYINKS</t>
  </si>
  <si>
    <t>TVFLLKKKNYKKKIGGLKKKMGKNFIRTPPFFFLKIFWETPFFFVEKKKIKNLFPFIKRGLFPAPPKKKNKSKKKFRGGETFFVFCFFLKKKYK</t>
  </si>
  <si>
    <t>RIIKMKFFLIASFAFAAVVSGAYLPDDDNYEIILAPNVIDKLIRQALEVVRKMLKDHEPFQIPDFPAQHIVDKDIDLNVDLKEVKVSKADDFTVDHIENYLPGLWAKFGVTVPKMHLEGQYKVNGVVQQRKVSGAGTFAVDVDTLVQTGTIQMAMINHALQMKHVDLDFDLKGLKFDLSDLSIEGMTKEQVEELLNSKFLEYLQTNKKEVCEVTARLVVKEANQIMAGKTLKELLDWLKKFIPS</t>
  </si>
  <si>
    <t>ARIIKMKFFLIASFAFVAAVSGAYLPVDDNYEIILAQNVIDKLIRQALEVVRKMLKDHEPFQIPDFPAQHIVDKDIDLNVDLKEVKVSKADDFTVDHIENNLPGLWAKFGVTVPKMHLEGQYKVNGVVQQRKVSGAGTFAVDVDTLVQTGTIQMAMINHALQMKHVDLDFDLKGLKFDLSDLSIEGMTKEQVEELLNSKFLEYLQTNKKEVCEVVARQVVKGTKSKNGREKPLKKLLEWVKKIHPSKNQFSSWFF</t>
  </si>
  <si>
    <t>KIYNMKPITFFILPLLAVLFMLNSYAEAKVCAGCVQDADPNNPKIKKQLVDVLVAQSEDCEIIKVITAKTQVVSGIKYIIDFEVKERKTNKVKICSTTFVSQPWRFKLPLVQQFLCHDELSKSN</t>
  </si>
  <si>
    <t>HSPFLGVKIYNMKPITFFTVPLLAVLFMLINSYAEAKVCAGCVQDADPNDPEIKKLLVQVLVAQSEDCDIIKVIRAKTQVVSGIKYIIDFEVKERKTNKVKICSTTFVSQPWRFKLPLVQQFLCHDELSKSN</t>
  </si>
  <si>
    <t>LISCRWSILGLPWPSRVTGNQGSIPEREPEKRLPHPRKAAGTQITHSRHGEVVTKKKKKKKKKKH</t>
  </si>
  <si>
    <t>TLCLPWPSRVTGNQGSIPEREPEKRLPHPRKAAGTQITHSRHGEVVTKKKKKKKIYDLFIWLYLFTL</t>
  </si>
  <si>
    <t>DTCVIFCQMYRPSQTPRLAVSSNRITLGSMLPNSTTESTNAHVIRRINSVEEYPHLTRDKAYGRPSTTLGVWHENTVTPRWYHPDGRPPPHRVSKKTMKVVVFHCRQFKKLPPTYATPLMSSYSTRLESSSTGSSFPADFSKPVPLAVVSLDSR</t>
  </si>
  <si>
    <t>QMYRPSQTPRLAVSSNRITLGSMLPNSTTESTNAHVIRRINSVEEYPHLTRDKAYGRPSTTLGVWHENTVTPRWYHPDGRPPPHRVSKKTMKVVVFHCRQFKKLKTTYATPLMSSYSTRLESSSTGSSLQCGGVPSPFP</t>
  </si>
  <si>
    <t>NIQKNCICRWDTEIYKTMHIKIVVLLIFAISATSWAYPKTACGSGPTHDLLQGRRQLGDTLLYSTREKMPASFLRVQSRDVKWPAKHMQAYQHITRIEVWDQKHDGSGGCAFLASGGIGQNYVKLHLKTQRGGSFDFLINIYGR</t>
  </si>
  <si>
    <t>LGGTHDLLQGRRQLGDTLLYSTREKIPASFLRVQSRDVKWPAKHMQAYQHITRIEVWDQKHDGSGGCAFLASGGIGQNYVKLHLKTQRGGSFDFLINIYGR</t>
  </si>
  <si>
    <t>PGDSEIYKTMHNKIVVSLIFAISAIIVCRAKNCKLIRANTVFASGSYIIGSDTYCSHTNVKVCPQLCMSSDIAHRVKGQLRPRLAVLSLRPAXFGGSKT</t>
  </si>
  <si>
    <t>FFFNKISNYSVFYTMEDRDLLNSVNIHDRLHATKLTPLPDDEEDTDDLINTQYLNLNRLPENLHKVQLVNEQLTQEILSNHHVVELATNNDYSHTNTSHHQHDTTNPNVQQAGANVSTTNPTEQFYDEEEELLAN</t>
  </si>
  <si>
    <t>FNPPIAPVITDRIIIIGRRVLLVICERIHIGAIFCHVIRMVQFAHDIFSKISGNQKWNGGTPNLIIILNIKAVFKNSSPIMGEIIIEEFKSTDLNIRNDPKLWTKK</t>
  </si>
  <si>
    <t>LVYGIILFLLLLSSNILGDKLRVNYISFRFCWEFCRLEISHQLFRYRLFSFMIYLFGFICLLE</t>
  </si>
  <si>
    <t>VCSTFKFLHDLSSDRREPGQFLSLNLLYILVRKDRVYGIIFVNLINIKKKKKKKKKEKKKKKKK</t>
  </si>
  <si>
    <t>LRCRYLCSPSAGCLYFRISLTLFFLLEDGGFKKTDKHPAKDWGDVDSLGNLDPAGEFIISTRVRCGRSLEGYPFNPCLTEGQYKEMEEKVSATLSGFTGELKGTYYPLTGMTKETQQKLIDDHFLFKEGDMFLQAANACRFWPTGRGIFHNENKNF</t>
  </si>
  <si>
    <t>NTRMVDAAVLEKLESGFKKLEASDSKSLLKKYLTRELFDKLKNLKTPTFGSTLLDVIQSGLENHDSGVGIYAPDAEAYTIFADLFDPIIEDYHGGFKKTDKHPAKDWGDVDSLGNLDPAGEFIISTRVRCGRSLEGYPFNPCLTEGQYKEMEEKVSATLSGFTGELKGTYYPLTGMTKETQQKLIDDHFLFKEGDRFLQAANACRFWPTGRGIFHNENKTFLVWCNEEDHLRLISMQMGGDLGQVYRRLVSAVNDIEKRVPFSHHDRLGFLTFCPTNLGTTVRASVHIKVPKLAANKAKLEEVAGKFNLQVRGTRGEH</t>
  </si>
  <si>
    <t>GVHRNNYSWEQLMDNKKFLKFLSSFKEPRRHGNDISVPMDKSNCFSQSSGLDQDCLIWLIENEVLDFNFLNYDLFFKGKNIEMNKEYIMYYLVTLKSRRTKGPYGTRYYVCNHCGCVTSAYRKHFEQCYTDLEEDYITRMDETRFLQKLYQDFKQAVNDGYIPYTYRRALCSYYGEDYLEFCTHVEELNFKIIKDDEIEKKKKKKKKNL</t>
  </si>
  <si>
    <t>ETRFLQKLYQDFKQAVNDGYIPYTYRRALCPYYGEDYLEFCTHVEELNFKIIKNKKKKKKKKKK</t>
  </si>
  <si>
    <t>ITPQGIVITLLLVTCLSLTYGWPPHQYGNHSLIIGRKGYNDVILFQKTVSKKNWNPFGKVSEDVTYPVRPIPGRRPLITEIDTIDLDSNDKGGYAYVLKGGINRNNVTIHFKSQKGRGYKFNLTIFGRIY</t>
  </si>
  <si>
    <t>KNWNPFGKVSEDVTYPVRPIPGRRPLITEIDAIDLDSNDKGGYAYVLKGGINRNNVTIHFKSQKGRGYKFNLTIFGRIY</t>
  </si>
  <si>
    <t>XXXPFKEGWXPHQYGNHSLIIGRKGYNDVILFQKTVSKKNWNPFGKVSEDVTYPVRPIPGRRPLITEIDTIDLDSNDKGGYAYVLKGGINRNNVTIHFKSQKGRGYKFNLTIFGRIY</t>
  </si>
  <si>
    <t>ITHIMEGWHPLCGCGCSNPGIPCRGFVPPTPGGYGGYRGLTVSSPYATPPSYVPQRNHSSYGWIPPAHCMGTFRWQTCYGGSVPADAVHAGTDLNGGPIYVGRAFHSGDLLPAKVTPAHGCAYVSYAGTEISKQDNEVLCSSHVAWKFLPKRRITTGSYKKRQIQPWKKPCVWEKNYG</t>
  </si>
  <si>
    <t>MRPLRPGDKQYSIVISSMKIVLLLTFAGASLTLAFAASLENQGCLNVPAKEKFEPNKYFNGRWHLTYLQKAPISPTDVCQESLSNILEDGTISHKIYAYSEKRDPQFVELDCTSNLREIKDDLGKVPLHCKVAKNDKVLEFGMDGTIVETDYDHFALFYVCGKYQNNKIENLLLLNREKDGGTKRFKNLGKLLKKIRFRFNLLLAFKKNVNLKKNFLMFKVIKLKNLKNFVNNKKKKFCEVKKKKKKKKKKKKFLGGF</t>
  </si>
  <si>
    <t>INKQKDMFLLNRRALNLPSSYELINKIHKRGXFXXXXXXXSFKYLKSTNK</t>
  </si>
  <si>
    <t>DSEIHNYSYMLKYNVNLKNIMPLTHNFSVDRWRLTWPVWHRGDL</t>
  </si>
  <si>
    <t>EAHEEILKDDEIETEEVLKAKEIYLKGIQAAENGQVEEAIKLFTDALNVFQRASGYNNRAQAYRLLGRDEDALNDLNTALDISKEKGKSGCQALCQRGLLHRK</t>
  </si>
  <si>
    <t>SGISLNDKAVSNTGFNPLLPVEDAILDEVNEEILKDDEIETEEVLKAKEIEFKGIQAAENGQVEEAIKLFTDALNVFQRASGYNNRAQAYRLLGRDEDALNDLNTALDISKEKGKSGCQALCQRGLLHRKKGQTDLAKSDFAKAAQLGSKFAKQQLVELNPYAAMCNQMLNEMMTKLRQIETHENWRCIIRLLIFKNKKKTKKMVN</t>
  </si>
  <si>
    <t>HSALAGESFKGSNMMYWTVFGIFIASAACTQIDKGNSVIVNEFLDQTLSRINNEPNIDSKLNISKIHVDKYSFENGVLTNLKSWKRSGDTIMWSNSRKVSISAHVILQEMVFTADEMLIESEKATSPVLKIKDNLLYFLFQVELDSKSGCKVTDHIVSWKQLDGTIFSNNPKYNNKNFSLTQAELKHLNKPSNNEQVLKFLLENMIICPQIPKNLFLFERGKT</t>
  </si>
  <si>
    <t>PNIDSKLNISKIHVDKYSFENGVLTNLKSWKRSGDAIMWSNSRKVSISAHVILQEMVFTADEMLIESEKATSPVLKIKDNLLYFLFQVELDSKSGC</t>
  </si>
  <si>
    <t>KCTPANDAKETAIILVSLLSQSIAVPLKEECRYIKTTHQFDPVKYFGKTWYVTYALYAGVKLTPDDVACMKTEYNLLTNGIVRELDTTYIPKNATFLHSENYINLADFSDGTAAYVSVARPIDKDGRPLVKEFYPLQNNIVDTDYDTYSFAYTCVKIPNGKSLSVYYVLNRESAGTINGKILSILKEIGLKADDFTRINNDNCKEDKILK</t>
  </si>
  <si>
    <t>GRGQSSVRNKLIEKCTPAKMYKLTALVLVSILSQSLAAHLEEECRSIKTTHQFDPVKYFGKKWYVTYELYADVKLITPSDVACMKNEYNLLTNGIVRELDTTYIPKNETYFRSECYINLADFTDGTAVYVSVARPIDKDGRPLVKEFYPLQNNIVDTDYDTYSFVYTCLKLSNGKTLSMYNVLNRELTGTLNGKIL</t>
  </si>
  <si>
    <t>FCSLPHTPGSNNGTLRVPLYLLYKEPRDFHEFVETATISHANLHRYLLLQKSGVKEVLKNNLNSAYYGEISLGTPPQNFSVLFDTGSSDLWIPSSSCYFSLACWNHNKYKGSRSSTHVNDGRHLKLIYGTGDVEGFLSNDTLTISSLKVVNQTFAEMTSESRNPFREAKFDGILGLAYPSLSAYNVQPPHCNMFEQKLIDRPVFSFYLKR</t>
  </si>
  <si>
    <t>KLSLLILFFIGTLFSNNGTLRVPLYKIYKEPRDFHEFVETATISHANLHRYLLLQKSGVKEVLKNNLNSAYYGEISLGTPPQNFSVLFDTVHQIYGYHLLAVILV</t>
  </si>
  <si>
    <t>VLFGRQGIGLLHYVVLGPENSPYEGGMYHGKLIFPREFPFKPPSIYMITPNGRFKVNTRLCLSISDFHPDMWNPAWSVSTILTGLLSFMLEHSPTLGSIETSESEKKQLAFRSLSFNLNDPQFCEQFPGLVDVIKRELRAREEAEEEAKRRRLERLGTLNGDVNGLNGELGSSPSSTDASILSSALSNIGVLVGVAAF</t>
  </si>
  <si>
    <t>VLFGRQGIGLLHYVVLGPENSPYEGGMYHGKLIFPREFPFKPPSIYMITPNGRFKVNTRLCLSISDFHPDMWNPAWSVSTILTGLLSFMLEHSSPFRGV</t>
  </si>
  <si>
    <t>LVLGQFCTLFFMGKTLNIRPPILKKKKGSPNYFFLFFNLGRPPKRENPNPFTPNLTLFPTPFGNPPGSQKKKKKKKKKKKFLRPPPP</t>
  </si>
  <si>
    <t>GGVVGVCWWVALHERRGWVFYFIFVGWVVRTPSPGCFFFSPLCFPRVGFFIKRRGGARWDFFVIISAFSLLWGGYLVPKGGLLILGGAPQVFDFVGEV</t>
  </si>
  <si>
    <t>XLSGDYENVATTVFSPLEYGCVGLSEEAAINKLGQDNIEVYHAFYKPLEFFIPQRNPARCYLKVICKRQPPRTVIGMHFLGPQAGEVIQGFAAGVKCGMTFEQLENTVGIHPTVAEEFTRLVITKRSGLDPTPQSCCS</t>
  </si>
  <si>
    <t>QEXXEXXHAXXKXXEXXXXQXXPASCYLKVICKRQPPRTVIGMHFLGPQAGEVIQGFAAGVKCGMTFEQLENTVGIHPTVAEEFTRLVITKRSGLDPTPQSCCS</t>
  </si>
  <si>
    <t>VNHTQHMLAHLIPEGSPAILIPFIACIETIRNFIRPGALAVRLTANIIAGHLLISLLGDSVLNTPNYIIPLIIIFQLILVLFETAVSFIQAY</t>
  </si>
  <si>
    <t>VNHTQHMLAHLIPEGSPAILIPFIACIETIRNIIRPGALAVRLTANIIAGHLLISLLGDSILNTPNYIIPLIIIFQLILVLFETAVSFIQAYVFSVLRTLYTREVAEKKKKKK</t>
  </si>
  <si>
    <t>NLGGRKPHQQMANPLKSPKGTPPNLLPFQRRGLETLKKFFPPRELWGFQKKPKIKIWGNPLYISFLREKNFLITPPNTKTPQKKKFFPKKNSFFFYKKKKFFFFFYAFYFFFFLLKKKLPHQKKKKGSPSKKKKKKKKKKKKKKKKKGGGAPPPPPPPHPTKLLN</t>
  </si>
  <si>
    <t>FFLYLCFPKYFDSWIVSENIGLLFCIFIHFNFKKKGIKKKKSLNNKGVKNKFSFVNFFFKQIFFFCKIKSKIFLNSFLYF</t>
  </si>
  <si>
    <t>RFSFLNTFFIKLKCIKIQNNKPMCSGTNHGIKIFWKTKIQKKLVVQKKKMYDLKSFAYGTHLQNHILFFKKRKKKILHSKIRLILGSSYSVPKICLKSADW</t>
  </si>
  <si>
    <t>DEIGLNEIQQFWRNLLLEHNYFNSCSGRYFLHNNRFHDPDIDNVGDRQNLNVIHRRWSSSHELHVFRLLHQPALLGLHLMVAGVRSQLDVSRLGLLLRTELPKRAGRIS</t>
  </si>
  <si>
    <t>DKIGLNEIQQFWRNLLLKHNYFNCSNGRFFLYNDHFHDPDIDNVGYRENLNVIHRRWPSSYELYVFRLLHQLALLGLHLMVAGASQLDVSKLGLLLRTELPKRAGQTS</t>
  </si>
  <si>
    <t>ASLWKFRSLFPKNLSDVVERCTKFLLGTLKYQVRNMHWHFFYYGVIKLLYVL</t>
  </si>
  <si>
    <t>KVAFKVKPLFVELLYXNLXLYFQGVYXXXFNLXPNFFXXL</t>
  </si>
  <si>
    <t>SGMYNIKEKLLKYIGYAKFYFNKRPNNFIFLLFDYKTGFGFKKISNGLSKIKKKKGWISFLKFFSQKEYKSTFKIFTKTQKKGLIFPFQTWKKLRKNSLGLNFYSKKTPKKKFFWFKFGFFFFFFKEKNYPTSPPTLFLNQKKKKKKIFF</t>
  </si>
  <si>
    <t>VVLRXCAAVVVACFAAAGFTFGTVPGAQIAAVPALAGCNAAFGTCEAACVAALLIPTP</t>
  </si>
  <si>
    <t>IDIGKVRQRNNQSKGENSNTVGRRQPRSTKQTQSLFIKSHIKKAGTALSMATK</t>
  </si>
  <si>
    <t>LFLWRTLPMSMTLPCHYNSLNERNRNWERNWFKLLRQWLYIIGEFDIIDSNDLNHVKSLIPSILEKWTNYVVGLNIERAINSSYSTIYKR</t>
  </si>
  <si>
    <t>NCRKLVIMSMNSASKVGEIFTAAGAAFNKLAELTLQLHPTADSPSGAQIRSTLRKKAFEDAGLPTRQVMSGTSQTGAASSAMLATTGKSAEVTLNMLNAQETEVDIESMHDDVKLDYSTGGHDPVNP</t>
  </si>
  <si>
    <t>NCRKLXIMXMNSGXKXGEIXXXXGXXFXKLXELSLELYXXXDSPSGAQIRSTLRKKAFEDAGLPTRQVMSGTSQTGAASSAMLATTGKSAEVTLNMLNAQETEVDIESMHDDVKLDYSTGGHDPVNP</t>
  </si>
  <si>
    <t>Inf - nInf |H-I|</t>
  </si>
  <si>
    <t>salivary secreted protein</t>
  </si>
  <si>
    <t>s/</t>
  </si>
  <si>
    <t>NR-LIGHT</t>
  </si>
  <si>
    <t>Ribosomal protein L6e</t>
  </si>
  <si>
    <t>ps</t>
  </si>
  <si>
    <t>PFAM</t>
  </si>
  <si>
    <t>Unknown product</t>
  </si>
  <si>
    <t>uk</t>
  </si>
  <si>
    <t>Choline transporter-like protein</t>
  </si>
  <si>
    <t>tr</t>
  </si>
  <si>
    <t>KOG</t>
  </si>
  <si>
    <t>PLN02838 3-hydroxyacyl-CoA dehydratase subunit of elongase</t>
  </si>
  <si>
    <t>met/lipd</t>
  </si>
  <si>
    <t>PRK</t>
  </si>
  <si>
    <t>4-hydroxyphenylpyruvate dioxygenase</t>
  </si>
  <si>
    <t>met/aa</t>
  </si>
  <si>
    <t>Membrane-associated guanylate kinase MAGUK (contains PDZ SH3 HOOK and GUK )</t>
  </si>
  <si>
    <t>met/nuc</t>
  </si>
  <si>
    <t>cathepsin D</t>
  </si>
  <si>
    <t>pm</t>
  </si>
  <si>
    <t>CG8690 - alpha-glucosidase</t>
  </si>
  <si>
    <t>met/carb</t>
  </si>
  <si>
    <t>GO</t>
  </si>
  <si>
    <t>NBP2b protein</t>
  </si>
  <si>
    <t>uc</t>
  </si>
  <si>
    <t>Ornithine decarboxylase antizyme</t>
  </si>
  <si>
    <t>Nuclear protein contains WD40 repeats</t>
  </si>
  <si>
    <t>steroid reductase Ixodes scapularis</t>
  </si>
  <si>
    <t>hypothetical mucin</t>
  </si>
  <si>
    <t>Retrovirus-related Pol polyprotein from transposon opus</t>
  </si>
  <si>
    <t>te</t>
  </si>
  <si>
    <t>SWISSP</t>
  </si>
  <si>
    <t>cs</t>
  </si>
  <si>
    <t>Corticosteroid 11-beta-dehydrogenase</t>
  </si>
  <si>
    <t>Eukaryotic rRNA processing protein EBP2</t>
  </si>
  <si>
    <t>midasin - ribosomal large subunit assembly - rRNA processing - calcium ion binding - ATPase - ATP binding - nucleus</t>
  </si>
  <si>
    <t>hydrogen-transporting ATP synthase G-subunit Tribolium castaneum</t>
  </si>
  <si>
    <t>proteasome subunit beta type 58</t>
  </si>
  <si>
    <t>prot</t>
  </si>
  <si>
    <t>Insect pheromone/odorant binding protein</t>
  </si>
  <si>
    <t>SMART</t>
  </si>
  <si>
    <t>Acetyl-CoA hydrolase</t>
  </si>
  <si>
    <t>met/energy</t>
  </si>
  <si>
    <t>DNA-directed RNA polymerase I subunit RPA34</t>
  </si>
  <si>
    <t>tm</t>
  </si>
  <si>
    <t>enhancer of rudimentary Acyrthosiphon pisum</t>
  </si>
  <si>
    <t>Cathepsin_D2</t>
  </si>
  <si>
    <t>CDD</t>
  </si>
  <si>
    <t>RNA-binding protein musashi/mRNA cleavage and polyadenylation factor I complex subunit HRP1</t>
  </si>
  <si>
    <t>Selenophosphate synthetase</t>
  </si>
  <si>
    <t>st</t>
  </si>
  <si>
    <t>RNA helicase</t>
  </si>
  <si>
    <t>Cytochrome P450 CYP3/CYP5/CYP6/CYP9 subfamilies</t>
  </si>
  <si>
    <t>detox/ox</t>
  </si>
  <si>
    <t>Chitin-binding domain type 2</t>
  </si>
  <si>
    <t>extmat</t>
  </si>
  <si>
    <t>Synaptobrevin/VAMP-like protein</t>
  </si>
  <si>
    <t>pe</t>
  </si>
  <si>
    <t>1D-myo-inositol-triphosphate 3-kinase A</t>
  </si>
  <si>
    <t>Neutral trehalase Carbohydrate transport and metabolism</t>
  </si>
  <si>
    <t>Translocon-associated complex TRAP alpha subunit</t>
  </si>
  <si>
    <t>Actin regulatory protein (Wiskott-Aldrich syndrome protein)</t>
  </si>
  <si>
    <t>Probable G-protein coupled receptor 158</t>
  </si>
  <si>
    <t>hypothetical protein TcasGA2_TC012551</t>
  </si>
  <si>
    <t>hypothetical conserved insect secreted protein</t>
  </si>
  <si>
    <t>Creatine kinases</t>
  </si>
  <si>
    <t>10 kDa heat shock protein Pediculus humanus corporis</t>
  </si>
  <si>
    <t>Syntaxin 13 - cytokinesis after mitosis - cytokinesis after meiosis I - mitosis - male meiosis - female meiosis - vesicle-mediated transport</t>
  </si>
  <si>
    <t>NADH dehydrogenase subunits 2 5</t>
  </si>
  <si>
    <t>Mitogen-activated protein kinase</t>
  </si>
  <si>
    <t>Serpentine type 7TM GPCR chemoreceptor Srz</t>
  </si>
  <si>
    <t>nonstructural protein precursor Triatoma virus</t>
  </si>
  <si>
    <t>vir/</t>
  </si>
  <si>
    <t>alpha-amylase Aedes aegypti</t>
  </si>
  <si>
    <t>Transport protein Sec61 alpha subunit</t>
  </si>
  <si>
    <t>15-hydroxyprostaglandin dehydrogenase</t>
  </si>
  <si>
    <t>NADH dehydrogenase subunit 1</t>
  </si>
  <si>
    <t>Translation initiation factor 3 subunit i (eIF-3i)/TGF-beta receptor-interacting protein (TRIP-1)</t>
  </si>
  <si>
    <t>CG2091-PA isoform 1 partial</t>
  </si>
  <si>
    <t>Probable RNA-directed DNA polymerase from transposon BS</t>
  </si>
  <si>
    <t>Ribosomal protein L27 CG4759-PA Tribolium castaneum</t>
  </si>
  <si>
    <t>NMDA receptor-regulated gene protein 2</t>
  </si>
  <si>
    <t>Aquaporin (major intrinsic protein family)</t>
  </si>
  <si>
    <t>Spliceosome subunit</t>
  </si>
  <si>
    <t>rRNA promoter binding protein - rRNA transcription - cell proliferation - transcription factor binding - transcription factor - double-stranded DNA</t>
  </si>
  <si>
    <t>tf</t>
  </si>
  <si>
    <t>organic anion transporter</t>
  </si>
  <si>
    <t>Preprotein translocase gamma subunit</t>
  </si>
  <si>
    <t>Mitochondrial F1F0-ATP synthase subunit OSCP/ATP5</t>
  </si>
  <si>
    <t>Ribosomal protein S21e</t>
  </si>
  <si>
    <t>Juvenile hormone binding protein in insects</t>
  </si>
  <si>
    <t>hypothetical protein TcasGA2_TC000274</t>
  </si>
  <si>
    <t>ESSS subunit of NADH:ubiquinone oxidoreductase</t>
  </si>
  <si>
    <t>tubulin polymerization promoting protein</t>
  </si>
  <si>
    <t>Molecular chaperone (DnaJ superfamily)</t>
  </si>
  <si>
    <t>Myosin regulatory light chain EF-Hand protein superfamily</t>
  </si>
  <si>
    <t>eIF2-interacting protein ABC50 (ABC superfamily)</t>
  </si>
  <si>
    <t>Alcohol dehydrogenase transcription factor Myb/SANT-like</t>
  </si>
  <si>
    <t>hemolysin-like secreted salivary protein 1</t>
  </si>
  <si>
    <t>Hydroxysteroid dehydrogenase-like protein 2</t>
  </si>
  <si>
    <t>Selenoprotein S</t>
  </si>
  <si>
    <t>hemoglobin alpha adult chain 2 - regulation of sensory perception of pain - protein heterooligomerization - erythrocyte development - negative</t>
  </si>
  <si>
    <t>Cell wall-associated hydrolase</t>
  </si>
  <si>
    <t>Cdk activating kinase (CAK)/RNA polymerase II transcription initiation/nucleotide excision repair factor TFIIH/TFIIK kinase subunit CDK7</t>
  </si>
  <si>
    <t>nr</t>
  </si>
  <si>
    <t>fatbody protein 3Rev-G1 Bombyx mori</t>
  </si>
  <si>
    <t>hypothetical protein</t>
  </si>
  <si>
    <t>Histone H1</t>
  </si>
  <si>
    <t>polyprotein</t>
  </si>
  <si>
    <t>Cyclin D-interacting protein GCIP</t>
  </si>
  <si>
    <t>polyprotein Slow bee paralysis virus</t>
  </si>
  <si>
    <t>inorganic phosphate cotransporter</t>
  </si>
  <si>
    <t>N-methyl-D-aspartate receptor glutamate-binding subunit</t>
  </si>
  <si>
    <t>C-type lysozyme</t>
  </si>
  <si>
    <t>imm</t>
  </si>
  <si>
    <t>Kazal-type inhibitor</t>
  </si>
  <si>
    <t>s/protinh</t>
  </si>
  <si>
    <t>eukaryotic translation initiation factor 3 subunit Pediculus humanus corporis</t>
  </si>
  <si>
    <t>60S acidic ribosomal protein P0</t>
  </si>
  <si>
    <t>NADH dehydrogenase subunit 6</t>
  </si>
  <si>
    <t>NADH dehydrogenase subunit 4</t>
  </si>
  <si>
    <t>PPPDE peptidase domain containing 1 - cellular_component - molecular_function - convergent extension involved in gastrulation</t>
  </si>
  <si>
    <t>pm/protease</t>
  </si>
  <si>
    <t>40S ribosomal protein S14</t>
  </si>
  <si>
    <t>Mitochondrial import inner membrane translocase subunit TIM9</t>
  </si>
  <si>
    <t>Serine protease inhibitor dipetalogastin (Fragment)</t>
  </si>
  <si>
    <t>RE17222p</t>
  </si>
  <si>
    <t>PRK12678 transcription termination factor Rho; Provisional</t>
  </si>
  <si>
    <t>truncated histone H1</t>
  </si>
  <si>
    <t>40S ribosomal protein S4</t>
  </si>
  <si>
    <t>Presenilin</t>
  </si>
  <si>
    <t>UDP-glucose glycoprotein:glucosyltransferase</t>
  </si>
  <si>
    <t>S-phase kinase-associated protein Bombyx mori</t>
  </si>
  <si>
    <t>Branched chain alpha-keto acid dehydrogenase E1 beta subunit</t>
  </si>
  <si>
    <t>SNARE protein GS28</t>
  </si>
  <si>
    <t>ENSANGP00000001286</t>
  </si>
  <si>
    <t>Vacuolar sorting protein VPS28</t>
  </si>
  <si>
    <t>U4/U6-associated splicing factor PRP4</t>
  </si>
  <si>
    <t>CG5112 - lipid particle - fatty acid amide hydrolase</t>
  </si>
  <si>
    <t>CDC42 Rho GTPase-activating protein</t>
  </si>
  <si>
    <t>Rhomboid family</t>
  </si>
  <si>
    <t>mitochondrial ribosomal protein L33 - mitochondrion - mitochondrial large ribosomal subunit - structural constituent of ribosome - translation</t>
  </si>
  <si>
    <t>60S ribosomal protein L26</t>
  </si>
  <si>
    <t>Cyclophilin type peptidyl-prolyl cis-trans isomerase</t>
  </si>
  <si>
    <t>COX2 cytochrome c oxidase subunit II; Provisional</t>
  </si>
  <si>
    <t>Tetraspanin family</t>
  </si>
  <si>
    <t>Alpha tubulin</t>
  </si>
  <si>
    <t>NADH-ubiquinone oxidoreductase chain 5 - NADH dehydrogenase (ubiquinone) - mitochondrial electron transport NADH to ubiquinone</t>
  </si>
  <si>
    <t>Beta tubulin</t>
  </si>
  <si>
    <t>Glutaredoxin</t>
  </si>
  <si>
    <t>bc10 CG4867-PA</t>
  </si>
  <si>
    <t>multifunctional chaperone</t>
  </si>
  <si>
    <t>PTZ00141 elongation factor 1- alpha; Provisional</t>
  </si>
  <si>
    <t>effete - protein ubiquitination - compound eye photoreceptor cell differentiation - regulation of R7 cell differentiation - oogenesis - compound eye</t>
  </si>
  <si>
    <t>Pancreatic lipase-like enzymes</t>
  </si>
  <si>
    <t>60S ribosomal protein L5</t>
  </si>
  <si>
    <t>Nuclear hormone receptor FTZ-F1 Pediculus humanus corporis</t>
  </si>
  <si>
    <t>PTZ00009 heat shock 70 kDa protein; Provisional</t>
  </si>
  <si>
    <t>Predicted receptor-like serine/threonine kinase</t>
  </si>
  <si>
    <t>GTPase Rab5/YPT51</t>
  </si>
  <si>
    <t>lola like - protein binding - chromatin silencing - nucleus - specific RNA polymerase II transcription factor - regulation of transcription from RNA</t>
  </si>
  <si>
    <t>Cytochrome c oxidase subunit VIIa</t>
  </si>
  <si>
    <t>Amphoterin-induced protein 2 precursor Pediculus humanus corporis</t>
  </si>
  <si>
    <t>capsid protein precursor Triatoma virus</t>
  </si>
  <si>
    <t>cationic amino acid transporter Culex quinquefasciatus</t>
  </si>
  <si>
    <t>Catalase</t>
  </si>
  <si>
    <t>60S ribosomal protein L37</t>
  </si>
  <si>
    <t>Cystatin-like domain</t>
  </si>
  <si>
    <t>oo18 RNA-binding protein - positive regulation of oskar mRNA translation - protein binding - germ cell development - oocyte axis specification -</t>
  </si>
  <si>
    <t>Cwf15/Cwc15 cell cycle control protein</t>
  </si>
  <si>
    <t>low-density lipoprotein receptor Pediculus humanus corporis</t>
  </si>
  <si>
    <t>Apolipoprotein D/Lipocalin</t>
  </si>
  <si>
    <t>reverse transcriptase</t>
  </si>
  <si>
    <t>conserved hypothetical protein Escherichia sp. 3_2_53FAA</t>
  </si>
  <si>
    <t>Transport protein particle (TRAPP) complex subunit</t>
  </si>
  <si>
    <t>Eukaryotic aspartyl protease</t>
  </si>
  <si>
    <t>hypothetical protein Schistosoma mansoni</t>
  </si>
  <si>
    <t>Ribosomal protein L11 - mitotic spindle organization - mitotic spindle elongation - lipid particle - protein binding - ribosome - cytosolic large</t>
  </si>
  <si>
    <t>Cytochrome C oxidase subunit II</t>
  </si>
  <si>
    <t>Ubiquitin/40S ribosomal protein S27a fusion</t>
  </si>
  <si>
    <t>truncated cytochrome b</t>
  </si>
  <si>
    <t>ACYPI005242</t>
  </si>
  <si>
    <t>Knottins</t>
  </si>
  <si>
    <t>alpha-glucosidase Culex quinquefasciatus</t>
  </si>
  <si>
    <t>20S proteasome regulatory subunit alpha type PSMA1/PRE5</t>
  </si>
  <si>
    <t>Triosephosphate isomerase</t>
  </si>
  <si>
    <t>Aldo/keto reductase family</t>
  </si>
  <si>
    <t>ribosomal protein L35Ae Tribolium castaneum</t>
  </si>
  <si>
    <t>fatty acid-binding lipocalin</t>
  </si>
  <si>
    <t>Actin</t>
  </si>
  <si>
    <t>COMM domain containing 7 - NF-kappaB binding - tumor necrosis factor-mediated signaling pathway - negative regulation of NF-kappaB transcription</t>
  </si>
  <si>
    <t>Box H/ACA snoRNP component involved in ribosomal RNA pseudouridinylation</t>
  </si>
  <si>
    <t>Actin depolymerizing factor</t>
  </si>
  <si>
    <t>Dual oxidase maturation factor</t>
  </si>
  <si>
    <t>40S ribosomal protein S23</t>
  </si>
  <si>
    <t>40S ribosomal protein S8</t>
  </si>
  <si>
    <t>Splicing regulator</t>
  </si>
  <si>
    <t>microsomal signal peptidase 25 kD subunit</t>
  </si>
  <si>
    <t>Ribosomal protein S7e</t>
  </si>
  <si>
    <t>Nuclear pore complex component NPAP60L/NUP50</t>
  </si>
  <si>
    <t>ne</t>
  </si>
  <si>
    <t>Thioredoxin</t>
  </si>
  <si>
    <t>hypothetical protein Bm1_17870 Brugia malayi</t>
  </si>
  <si>
    <t>CG41536 CG41536-PA</t>
  </si>
  <si>
    <t>CG10527 - farnesoic acid O-methyltransferase</t>
  </si>
  <si>
    <t>Triabin</t>
  </si>
  <si>
    <t>TPR repeat-containing protein</t>
  </si>
  <si>
    <t>nitrophorin 1A precursor</t>
  </si>
  <si>
    <t>rhodnius biogenic aminebinding-like protein</t>
  </si>
  <si>
    <t>Ubiquitin-protein ligase</t>
  </si>
  <si>
    <t>Thioredoxin reductase</t>
  </si>
  <si>
    <t>ATP synthase F0 A subunit - hydrogen ion transporting ATP synthase  rotational mechanism - plasma membrane proton-transporting ATP synthase</t>
  </si>
  <si>
    <t>ATP synthase F0 subunit 6</t>
  </si>
  <si>
    <t>truncated ATPase subunit 6</t>
  </si>
  <si>
    <t>Arthropod defensin</t>
  </si>
  <si>
    <t>Translation initiation factor 4F helicase subunit (eIF-4A)</t>
  </si>
  <si>
    <t>secreted salivary peptide precursor</t>
  </si>
  <si>
    <t>CG33695-PE isoform E isoform 1</t>
  </si>
  <si>
    <t>Coverage</t>
  </si>
  <si>
    <t>Number of Contigs</t>
  </si>
  <si>
    <t>Number of ESTs</t>
  </si>
  <si>
    <t>EST's / Contig</t>
  </si>
  <si>
    <t>Secreted</t>
  </si>
  <si>
    <t>Nuclear regulation</t>
  </si>
  <si>
    <t>Transcription factor</t>
  </si>
  <si>
    <t>Transcription machinery</t>
  </si>
  <si>
    <t>Protein synthesis machinery</t>
  </si>
  <si>
    <t>Protein export machinery</t>
  </si>
  <si>
    <t>Protein modification machinery</t>
  </si>
  <si>
    <t>Proteasome machinery</t>
  </si>
  <si>
    <t>Transporters/storage</t>
  </si>
  <si>
    <t>Oxidant metabolism/detoxification</t>
  </si>
  <si>
    <t>Metabolism, carbohydrate</t>
  </si>
  <si>
    <t>Metabolism, nucleotide</t>
  </si>
  <si>
    <t>Metabolism, amino acid</t>
  </si>
  <si>
    <t>Metabolism, lipid</t>
  </si>
  <si>
    <t>Signal transduction</t>
  </si>
  <si>
    <t>Extracellular matrix/cell adhesion</t>
  </si>
  <si>
    <t>Cytoskeletal</t>
  </si>
  <si>
    <t>Transposable element</t>
  </si>
  <si>
    <t>Metabolism, energy</t>
  </si>
  <si>
    <t>Unknown</t>
  </si>
  <si>
    <t>Unknown, conserved</t>
  </si>
  <si>
    <t>Immunity</t>
  </si>
  <si>
    <t>Viral</t>
  </si>
  <si>
    <t>Nuclear export</t>
  </si>
  <si>
    <t>Secreted proteinase inhibitor</t>
  </si>
  <si>
    <t>Total</t>
  </si>
  <si>
    <t>Singletons</t>
  </si>
  <si>
    <t>Library name</t>
  </si>
  <si>
    <t>Total number of sequences</t>
  </si>
  <si>
    <t>Total number of residues</t>
  </si>
  <si>
    <t>Average length</t>
  </si>
  <si>
    <t>Smaller than 100 bp</t>
  </si>
  <si>
    <t>PolyA + polyT in</t>
  </si>
  <si>
    <t>Larger sequence size</t>
  </si>
  <si>
    <t>Smaller sequence size</t>
  </si>
  <si>
    <t>51-100</t>
  </si>
  <si>
    <t>101-200</t>
  </si>
  <si>
    <t>201-300</t>
  </si>
  <si>
    <t>301-400</t>
  </si>
  <si>
    <t>401-500</t>
  </si>
  <si>
    <t>501-1000</t>
  </si>
  <si>
    <t>TI_asb-fasta</t>
  </si>
  <si>
    <t>TI-cds</t>
  </si>
  <si>
    <t>Cytochrome oxidase subunit III</t>
  </si>
  <si>
    <t>ND5 NADH dehydrogenase subunit 5; Provisional</t>
  </si>
  <si>
    <t>Cytochrome c oxidase subunit I</t>
  </si>
  <si>
    <t>Spodoptera frugiperda</t>
  </si>
  <si>
    <t>Oncorhynchus mykiss</t>
  </si>
  <si>
    <t>Mus musculus</t>
  </si>
  <si>
    <t>Manduca sexta</t>
  </si>
  <si>
    <t>Drosophila melanogaster</t>
  </si>
  <si>
    <t>Anopheles gambiae</t>
  </si>
  <si>
    <t>Yarrowia lipolytica</t>
  </si>
  <si>
    <t>Xenopus tropicalis</t>
  </si>
  <si>
    <t>Xenopus laevis</t>
  </si>
  <si>
    <t>Wigglesworthia glossinidia brevipalpis</t>
  </si>
  <si>
    <t>Trypanosoma brucei brucei</t>
  </si>
  <si>
    <t>Triatoma pallidipennis</t>
  </si>
  <si>
    <t>Thalassophryne nattereri</t>
  </si>
  <si>
    <t>Tenebrio molitor</t>
  </si>
  <si>
    <t>Taenia solium</t>
  </si>
  <si>
    <t>Synechococcus sp. (strain CC9311)</t>
  </si>
  <si>
    <t>Synechococcus sp.</t>
  </si>
  <si>
    <t>Sulfurimonas denitrificans (strain ATCC 33889 / DSM 1251)</t>
  </si>
  <si>
    <t>Streptomyces griseus subsp. griseus (strain JCM 4626 / NBRC 13350)</t>
  </si>
  <si>
    <t>Streptococcus uberis (strain ATCC BAA-854 / 0140J)</t>
  </si>
  <si>
    <t>Streptococcus agalactiae serotype V</t>
  </si>
  <si>
    <t>Staphylococcus aureus (strain NCTC 8325)</t>
  </si>
  <si>
    <t>Sputnik virophage</t>
  </si>
  <si>
    <t>Solibacter usitatus (strain Ellin6076)</t>
  </si>
  <si>
    <t>Simian immunodeficiency virus agm.vervet (isolate AGM3)</t>
  </si>
  <si>
    <t>Shigella dysenteriae serotype 1 (strain Sd197)</t>
  </si>
  <si>
    <t>Schizosaccharomyces pombe</t>
  </si>
  <si>
    <t>Schistosoma japonicum</t>
  </si>
  <si>
    <t>Schistocerca gregaria</t>
  </si>
  <si>
    <t>Schistocerca americana</t>
  </si>
  <si>
    <t>Sarcophaga peregrina</t>
  </si>
  <si>
    <t>Saimiri sciureus</t>
  </si>
  <si>
    <t>Saguinus oedipus</t>
  </si>
  <si>
    <t>Saccharomyces cerevisiae</t>
  </si>
  <si>
    <t>Rinderpest virus (strain L)</t>
  </si>
  <si>
    <t>Riemerella anatipestifer</t>
  </si>
  <si>
    <t>Rickettsia prowazekii</t>
  </si>
  <si>
    <t>Rice tungro spherical virus (strain A)</t>
  </si>
  <si>
    <t>Rhizobium meliloti</t>
  </si>
  <si>
    <t>Rhipicephalus sanguineus</t>
  </si>
  <si>
    <t>Rattus norvegicus</t>
  </si>
  <si>
    <t>Pyrrhocoris apterus</t>
  </si>
  <si>
    <t>Pseudomonas stutzeri (strain A1501)</t>
  </si>
  <si>
    <t>Potato virus S (strain Peruvian)</t>
  </si>
  <si>
    <t>Pongo abelii</t>
  </si>
  <si>
    <t>Plasmodium falciparum (isolate 3D7)</t>
  </si>
  <si>
    <t>Plasmodium falciparum</t>
  </si>
  <si>
    <t>Pelagibacter ubique</t>
  </si>
  <si>
    <t>Papilio polyxenes</t>
  </si>
  <si>
    <t>Oryza sativa subsp. japonica</t>
  </si>
  <si>
    <t>Oryctes rhinoceros</t>
  </si>
  <si>
    <t>Odontella sinensis</t>
  </si>
  <si>
    <t>Nostoc sp. (strain PCC 7120 / UTEX 2576)</t>
  </si>
  <si>
    <t>Nicotiana tabacum</t>
  </si>
  <si>
    <t>Neurospora crassa</t>
  </si>
  <si>
    <t>Mycoplasma hyopneumoniae (strain 7448)</t>
  </si>
  <si>
    <t>Mycoplasma genitalium</t>
  </si>
  <si>
    <t>Mycobacterium tuberculosis</t>
  </si>
  <si>
    <t>Murex brandaris</t>
  </si>
  <si>
    <t>Methanobacterium thermoautotrophicum</t>
  </si>
  <si>
    <t>Macaca fascicularis</t>
  </si>
  <si>
    <t>Lucilia cuprina</t>
  </si>
  <si>
    <t>Locusta migratoria</t>
  </si>
  <si>
    <t>Listeria monocytogenes</t>
  </si>
  <si>
    <t>Lepidoglyphus destructor</t>
  </si>
  <si>
    <t>Legionella pneumophila (strain Lens)</t>
  </si>
  <si>
    <t>Lathyrus vestitus</t>
  </si>
  <si>
    <t>Lactobacillus pentosus</t>
  </si>
  <si>
    <t>Lactobacillus acidophilus</t>
  </si>
  <si>
    <t>Kluyveromyces lactis</t>
  </si>
  <si>
    <t>Human coronavirus 229E</t>
  </si>
  <si>
    <t>Homo sapiens</t>
  </si>
  <si>
    <t>Homarus gammarus</t>
  </si>
  <si>
    <t>Herpetosiphon aurantiacus (strain ATCC 23779 / DSM 785)</t>
  </si>
  <si>
    <t>Gryllotalpa orientalis</t>
  </si>
  <si>
    <t>Gallus gallus</t>
  </si>
  <si>
    <t>Flavobacterium psychrophilum (strain JIP02/86 / ATCC 49511)</t>
  </si>
  <si>
    <t>Felis catus</t>
  </si>
  <si>
    <t>Escherichia coli (strain SE11)</t>
  </si>
  <si>
    <t>Escherichia coli (strain K12)</t>
  </si>
  <si>
    <t>Escherichia coli</t>
  </si>
  <si>
    <t>Enterobacteria phage T4</t>
  </si>
  <si>
    <t>Emericella nidulans</t>
  </si>
  <si>
    <t>Drosophila yakuba</t>
  </si>
  <si>
    <t>Drosophila virilis</t>
  </si>
  <si>
    <t>Drosophila simulans</t>
  </si>
  <si>
    <t>Drosophila pseudoobscura pseudoobscura</t>
  </si>
  <si>
    <t>Drosophila grimshawi</t>
  </si>
  <si>
    <t>Drosophila C virus (strain EB)</t>
  </si>
  <si>
    <t>Dipetalogaster maximus</t>
  </si>
  <si>
    <t>Dictyostelium discoideum</t>
  </si>
  <si>
    <t>Dermatophagoides farinae</t>
  </si>
  <si>
    <t>Debaryomyces hansenii</t>
  </si>
  <si>
    <t>Danio rerio</t>
  </si>
  <si>
    <t>Cynara cardunculus</t>
  </si>
  <si>
    <t>Cricket paralysis virus</t>
  </si>
  <si>
    <t>Coxiella burnetii</t>
  </si>
  <si>
    <t>Clostridium phytofermentans (strain ATCC 700394 / DSM 18823 / ISDg)</t>
  </si>
  <si>
    <t>Clostridium kluyveri (strain ATCC 8527 / DSM 555 / NCIMB 10680)</t>
  </si>
  <si>
    <t>Cicadella viridis</t>
  </si>
  <si>
    <t>Choristoneura biennis</t>
  </si>
  <si>
    <t>Chlamydia trachomatis serovar L2b (strain UCH-1/proctitis)</t>
  </si>
  <si>
    <t>Chinchilla lanigera</t>
  </si>
  <si>
    <t>Ceratitis capitata</t>
  </si>
  <si>
    <t>Cavia porcellus</t>
  </si>
  <si>
    <t>Carsonella ruddii (strain PV)</t>
  </si>
  <si>
    <t>Carabus granulatus</t>
  </si>
  <si>
    <t>Canis familiaris</t>
  </si>
  <si>
    <t>Candida albicans</t>
  </si>
  <si>
    <t>Caenorhabditis elegans</t>
  </si>
  <si>
    <t>Buchnera aphidicola subsp. Schizaphis graminum</t>
  </si>
  <si>
    <t>Buchnera aphidicola subsp. Cinara cedri</t>
  </si>
  <si>
    <t>Buchnera aphidicola subsp. Baizongia pistaciae (strain Bp)</t>
  </si>
  <si>
    <t>Bos taurus</t>
  </si>
  <si>
    <t>Borrelia garinii</t>
  </si>
  <si>
    <t>Bombyx mori</t>
  </si>
  <si>
    <t>Blattella germanica</t>
  </si>
  <si>
    <t>Bacillus thuringiensis subsp. higo</t>
  </si>
  <si>
    <t>Bacillus subtilis</t>
  </si>
  <si>
    <t>Bacillus halodurans</t>
  </si>
  <si>
    <t>Astasia longa</t>
  </si>
  <si>
    <t>Aspergillus terreus (strain NIH 2624 / FGSC A1156)</t>
  </si>
  <si>
    <t>Ashbya gossypii</t>
  </si>
  <si>
    <t>Arabidopsis thaliana</t>
  </si>
  <si>
    <t>Apis mellifera</t>
  </si>
  <si>
    <t>Antirrhinum hispanicum</t>
  </si>
  <si>
    <t>Antheraea mylitta</t>
  </si>
  <si>
    <t>Anopheles quadrimaculatus</t>
  </si>
  <si>
    <t>Aliivibrio salmonicida (strain LFI1238)</t>
  </si>
  <si>
    <t>African swine fever virus (isolate Warthog/Namibia/Wart80/1980)</t>
  </si>
  <si>
    <t>Aethionema cordifolium</t>
  </si>
  <si>
    <t>Aedes aegypti</t>
  </si>
  <si>
    <t>Acidithiobacillus ferrooxidans (strain ATCC 53993)</t>
  </si>
  <si>
    <t>Acanthamoeba polyphaga mimivirus</t>
  </si>
  <si>
    <t xml:space="preserve"> Oncorhynchus mykiss</t>
  </si>
  <si>
    <t xml:space="preserve"> Solenopsis invicta</t>
  </si>
  <si>
    <t xml:space="preserve"> Glossina morsitans morsitans</t>
  </si>
  <si>
    <t>Trypanosoma cruzi</t>
  </si>
  <si>
    <t>Trypanosoma brucei gambiense DAL972</t>
  </si>
  <si>
    <t>Trypanosoma brucei</t>
  </si>
  <si>
    <t>Tribolium castaneum</t>
  </si>
  <si>
    <t>Triatoma vitticeps</t>
  </si>
  <si>
    <t>Triatoma virus</t>
  </si>
  <si>
    <t>Triatoma rubrovaria</t>
  </si>
  <si>
    <t>Triatoma matogrossensis</t>
  </si>
  <si>
    <t>Triatoma infestans</t>
  </si>
  <si>
    <t>Triatoma dimidiata</t>
  </si>
  <si>
    <t>Triatoma brasiliensis</t>
  </si>
  <si>
    <t>Toxoplasma gondii VEG</t>
  </si>
  <si>
    <t>Toxoplasma gondii ME49</t>
  </si>
  <si>
    <t>Toxoplasma gondii GT1</t>
  </si>
  <si>
    <t>synthetic construct</t>
  </si>
  <si>
    <t>Sus scrofa</t>
  </si>
  <si>
    <t>Strongylocentrotus purpuratus</t>
  </si>
  <si>
    <t>Streptomyces viridochromogenes DSM 40736</t>
  </si>
  <si>
    <t>Streptococcus mutans NN2025</t>
  </si>
  <si>
    <t>Streptococcus cristatus ATCC 51100</t>
  </si>
  <si>
    <t>Solenopsis invicta</t>
  </si>
  <si>
    <t>Slow bee paralysis virus</t>
  </si>
  <si>
    <t>Simian immunodeficiency virus</t>
  </si>
  <si>
    <t>Schistosoma mansoni</t>
  </si>
  <si>
    <t>Rhodnius prolixus</t>
  </si>
  <si>
    <t>Pseudomonas putida BIRD-1</t>
  </si>
  <si>
    <t>Plasmodium yoelii yoelii</t>
  </si>
  <si>
    <t>Plasmodium vivax</t>
  </si>
  <si>
    <t>Plasmodium knowlesi strain H</t>
  </si>
  <si>
    <t>Plasmodium falciparum 3D7</t>
  </si>
  <si>
    <t>Plasmodium berghei</t>
  </si>
  <si>
    <t>Phlebotomus papatasi</t>
  </si>
  <si>
    <t>Pediculus humanus corporis</t>
  </si>
  <si>
    <t>Ornithodoros coriaceus</t>
  </si>
  <si>
    <t>Nasonia vitripennis</t>
  </si>
  <si>
    <t>Leishmania amazonensis</t>
  </si>
  <si>
    <t>Ixodes scapularis</t>
  </si>
  <si>
    <t>Hydra magnipapillata</t>
  </si>
  <si>
    <t>Harpegnathos saltator</t>
  </si>
  <si>
    <t>Haemaphysalis qinghaiensis</t>
  </si>
  <si>
    <t>Glossina morsitans morsitans</t>
  </si>
  <si>
    <t>Fowlpox virus</t>
  </si>
  <si>
    <t>Escherichia sp. 3_2_53FAA</t>
  </si>
  <si>
    <t>Escherichia coli TA143</t>
  </si>
  <si>
    <t>Escherichia coli MS 57-2</t>
  </si>
  <si>
    <t>Escherichia coli MS 146-1</t>
  </si>
  <si>
    <t>Daphnia pulex</t>
  </si>
  <si>
    <t>Culex quinquefasciatus</t>
  </si>
  <si>
    <t>Ciona intestinalis</t>
  </si>
  <si>
    <t>Cimex lectularius</t>
  </si>
  <si>
    <t>Brugia malayi</t>
  </si>
  <si>
    <t>Branchiostoma floridae</t>
  </si>
  <si>
    <t>Bombyx mori densovirus Zhenjiang</t>
  </si>
  <si>
    <t>Argas monolakensis</t>
  </si>
  <si>
    <t>Arabidopsis lyrata subsp. lyrata</t>
  </si>
  <si>
    <t>Anopheles gambiae str. PEST</t>
  </si>
  <si>
    <t>Anopheles darlingi</t>
  </si>
  <si>
    <t>Agrotis ipsilon multiple nucleopolyhedrovirus</t>
  </si>
  <si>
    <t>Acyrthosiphon pisum</t>
  </si>
  <si>
    <t>swissP</t>
  </si>
  <si>
    <t>nr-light</t>
  </si>
  <si>
    <t>dif infedted - non infected</t>
  </si>
  <si>
    <t>Best match to KOG database</t>
  </si>
  <si>
    <t>General class</t>
  </si>
  <si>
    <t>Kog domain</t>
  </si>
  <si>
    <t>General function prediction only, Signal transduction mechanisms</t>
  </si>
  <si>
    <t>Translation, ribosomal structure and biogenesis</t>
  </si>
  <si>
    <t>Lipid transport and metabolism</t>
  </si>
  <si>
    <t>Posttranslational modification, protein turnover, chaperones, Transcription, Lipid transport and metabolism, Signal transduction mechanisms</t>
  </si>
  <si>
    <t>Lipid transport and metabolism, General function prediction only</t>
  </si>
  <si>
    <t>General function prediction only</t>
  </si>
  <si>
    <t>Amino acid transport and metabolism</t>
  </si>
  <si>
    <t>Nucleotide transport and metabolism</t>
  </si>
  <si>
    <t>Posttranslational modification, protein turnover, chaperones</t>
  </si>
  <si>
    <t>Carbohydrate transport and metabolism</t>
  </si>
  <si>
    <t>Signal transduction mechanisms</t>
  </si>
  <si>
    <t>Transcription</t>
  </si>
  <si>
    <t>Cytoskeleton</t>
  </si>
  <si>
    <t>Secondary metabolites biosynthesis, transport and catabolism, General function prediction only</t>
  </si>
  <si>
    <t>Secondary metabolites biosynthesis, transport and catabolism</t>
  </si>
  <si>
    <t>Function unknown</t>
  </si>
  <si>
    <t>RNA processing and modification</t>
  </si>
  <si>
    <t>Energy production and conversion</t>
  </si>
  <si>
    <t>Carbohydrate transport and metabolism, Posttranslational modification, protein turnover, chaperones</t>
  </si>
  <si>
    <t>RNA processing and modification, Translation, ribosomal structure and biogenesis</t>
  </si>
  <si>
    <t>Intracellular trafficking, secretion, and vesicular transport</t>
  </si>
  <si>
    <t>Signal transduction mechanisms, Cytoskeleton</t>
  </si>
  <si>
    <t>Chromatin structure and dynamics</t>
  </si>
  <si>
    <t>Replication, recombination and repair</t>
  </si>
  <si>
    <t>Signal transduction mechanisms, Extracellular structures</t>
  </si>
  <si>
    <t>Intracellular trafficking, secretion, and vesicular transport, Posttranslational modification, protein turnover, chaperones</t>
  </si>
  <si>
    <t>Cell cycle control, cell division, chromosome partitioning</t>
  </si>
  <si>
    <t>Translation, ribosomal structure and biogenesis, Signal transduction mechanisms</t>
  </si>
  <si>
    <t>Translation, ribosomal structure and biogenesis, Cell cycle control, cell division, chromosome partitioning</t>
  </si>
  <si>
    <t>Inorganic ion transport and metabolism</t>
  </si>
  <si>
    <t>Carbohydrate transport and metabolism, Amino acid transport and metabolism</t>
  </si>
  <si>
    <t>Cell cycle control, cell division, chromosome partitioning, RNA processing and modification</t>
  </si>
  <si>
    <t>Inorganic ion transport and metabolism, Signal transduction mechanisms</t>
  </si>
  <si>
    <t>Translation, ribosomal structure and biogenesis, Lipid transport and metabolism, Signal transduction mechanisms</t>
  </si>
  <si>
    <t>Cell wall/membrane/envelope biogenesis</t>
  </si>
  <si>
    <t>Defense mechanisms</t>
  </si>
  <si>
    <t>Extracellular structures</t>
  </si>
  <si>
    <r>
      <t xml:space="preserve">Table </t>
    </r>
    <r>
      <rPr>
        <sz val="11"/>
        <color rgb="FFFF0000"/>
        <rFont val="Calibri"/>
        <family val="2"/>
        <scheme val="minor"/>
      </rPr>
      <t>X</t>
    </r>
    <r>
      <rPr>
        <sz val="11"/>
        <color theme="1"/>
        <rFont val="Calibri"/>
        <family val="2"/>
        <scheme val="minor"/>
      </rPr>
      <t>: Functional classification of transcripts from all contigs</t>
    </r>
  </si>
  <si>
    <r>
      <t xml:space="preserve">Table </t>
    </r>
    <r>
      <rPr>
        <sz val="11"/>
        <color rgb="FFFF0000"/>
        <rFont val="Calibri"/>
        <family val="2"/>
        <scheme val="minor"/>
      </rPr>
      <t>Y</t>
    </r>
    <r>
      <rPr>
        <sz val="11"/>
        <color theme="1"/>
        <rFont val="Calibri"/>
        <family val="2"/>
        <scheme val="minor"/>
      </rPr>
      <t>: Functional classification of transcripts originating from up regulated contigs</t>
    </r>
  </si>
  <si>
    <r>
      <t xml:space="preserve">Table </t>
    </r>
    <r>
      <rPr>
        <sz val="11"/>
        <color rgb="FFFF0000"/>
        <rFont val="Calibri"/>
        <family val="2"/>
        <scheme val="minor"/>
      </rPr>
      <t>Z</t>
    </r>
    <r>
      <rPr>
        <sz val="11"/>
        <color theme="1"/>
        <rFont val="Calibri"/>
        <family val="2"/>
        <scheme val="minor"/>
      </rPr>
      <t>: Functional classification of transcripts originating from down regulated transcripts</t>
    </r>
  </si>
  <si>
    <t xml:space="preserve">&lt; 50 </t>
  </si>
  <si>
    <r>
      <rPr>
        <sz val="11"/>
        <color theme="1"/>
        <rFont val="Calibri"/>
        <family val="2"/>
        <scheme val="minor"/>
      </rPr>
      <t>&lt; 50</t>
    </r>
    <r>
      <rPr>
        <b/>
        <sz val="11"/>
        <color theme="1"/>
        <rFont val="Calibri"/>
        <family val="2"/>
        <scheme val="minor"/>
      </rPr>
      <t xml:space="preserve"> </t>
    </r>
  </si>
  <si>
    <t>(number of bases)</t>
  </si>
  <si>
    <t>Number of contigs</t>
  </si>
  <si>
    <t>(number of contigs)</t>
  </si>
  <si>
    <t>&gt;1000</t>
  </si>
  <si>
    <t xml:space="preserve"> 2.5</t>
  </si>
  <si>
    <t xml:space="preserve"> 2.25</t>
  </si>
  <si>
    <t xml:space="preserve"> 4.5</t>
  </si>
  <si>
    <t>1.14</t>
  </si>
  <si>
    <t xml:space="preserve"> 3.25</t>
  </si>
</sst>
</file>

<file path=xl/styles.xml><?xml version="1.0" encoding="utf-8"?>
<styleSheet xmlns="http://schemas.openxmlformats.org/spreadsheetml/2006/main">
  <numFmts count="1">
    <numFmt numFmtId="164" formatCode="0.0"/>
  </numFmts>
  <fonts count="2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0000FF"/>
      <name val="Calibri"/>
      <family val="2"/>
      <scheme val="minor"/>
    </font>
    <font>
      <u/>
      <sz val="11"/>
      <color theme="10"/>
      <name val="Calibri"/>
      <family val="2"/>
      <scheme val="minor"/>
    </font>
    <font>
      <sz val="11"/>
      <name val="Calibri"/>
      <family val="2"/>
      <scheme val="minor"/>
    </font>
    <font>
      <u/>
      <sz val="1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99"/>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applyNumberFormat="0" applyFill="0" applyBorder="0" applyAlignment="0" applyProtection="0"/>
  </cellStyleXfs>
  <cellXfs count="50">
    <xf numFmtId="0" fontId="0" fillId="0" borderId="0" xfId="0"/>
    <xf numFmtId="0" fontId="18" fillId="33" borderId="10" xfId="0" applyFont="1" applyFill="1" applyBorder="1" applyAlignment="1">
      <alignment horizontal="center" vertical="center" wrapText="1"/>
    </xf>
    <xf numFmtId="0" fontId="18" fillId="33" borderId="11" xfId="0" applyFont="1" applyFill="1" applyBorder="1" applyAlignment="1">
      <alignment horizontal="center" vertical="center" wrapText="1"/>
    </xf>
    <xf numFmtId="0" fontId="0" fillId="0" borderId="0" xfId="0"/>
    <xf numFmtId="0" fontId="0" fillId="0" borderId="0" xfId="0" applyNumberFormat="1"/>
    <xf numFmtId="0" fontId="0" fillId="0" borderId="0" xfId="0"/>
    <xf numFmtId="0" fontId="0" fillId="0" borderId="0" xfId="0"/>
    <xf numFmtId="11" fontId="0" fillId="0" borderId="0" xfId="0" applyNumberFormat="1"/>
    <xf numFmtId="0" fontId="0" fillId="0" borderId="0" xfId="0" applyAlignment="1">
      <alignment wrapText="1"/>
    </xf>
    <xf numFmtId="0" fontId="0" fillId="0" borderId="12" xfId="0" applyBorder="1"/>
    <xf numFmtId="0" fontId="0" fillId="0" borderId="13" xfId="0" applyBorder="1"/>
    <xf numFmtId="0" fontId="0" fillId="0" borderId="14" xfId="0" applyBorder="1"/>
    <xf numFmtId="0" fontId="0" fillId="0" borderId="15" xfId="0" applyBorder="1"/>
    <xf numFmtId="0" fontId="0" fillId="0" borderId="0" xfId="0" applyBorder="1"/>
    <xf numFmtId="0" fontId="0" fillId="0" borderId="16" xfId="0" applyBorder="1"/>
    <xf numFmtId="0" fontId="16" fillId="0" borderId="12" xfId="0" applyFont="1" applyBorder="1"/>
    <xf numFmtId="164" fontId="0" fillId="0" borderId="0" xfId="0" applyNumberFormat="1"/>
    <xf numFmtId="0" fontId="0" fillId="0" borderId="0" xfId="0" applyAlignment="1">
      <alignment horizontal="center" wrapText="1"/>
    </xf>
    <xf numFmtId="0" fontId="16" fillId="0" borderId="0" xfId="0" applyFont="1" applyAlignment="1">
      <alignment horizontal="center" wrapText="1"/>
    </xf>
    <xf numFmtId="0" fontId="0" fillId="0" borderId="0" xfId="0" applyAlignment="1">
      <alignment horizontal="right"/>
    </xf>
    <xf numFmtId="0" fontId="0" fillId="0" borderId="0" xfId="0" applyAlignment="1">
      <alignment horizontal="center"/>
    </xf>
    <xf numFmtId="0" fontId="0" fillId="0" borderId="0" xfId="0"/>
    <xf numFmtId="164" fontId="0" fillId="0" borderId="0" xfId="0" applyNumberFormat="1"/>
    <xf numFmtId="0" fontId="0" fillId="0" borderId="0" xfId="0" applyNumberFormat="1" applyAlignment="1">
      <alignment horizontal="right"/>
    </xf>
    <xf numFmtId="0" fontId="16" fillId="0" borderId="0" xfId="0" applyFont="1"/>
    <xf numFmtId="0" fontId="16" fillId="0" borderId="15" xfId="0" applyFont="1" applyBorder="1"/>
    <xf numFmtId="0" fontId="20" fillId="0" borderId="0" xfId="0" applyFont="1"/>
    <xf numFmtId="0" fontId="20" fillId="0" borderId="0" xfId="42" applyFont="1"/>
    <xf numFmtId="11" fontId="20" fillId="0" borderId="0" xfId="0" applyNumberFormat="1" applyFont="1"/>
    <xf numFmtId="0" fontId="20" fillId="0" borderId="0" xfId="0" applyFont="1" applyAlignment="1">
      <alignment horizontal="right"/>
    </xf>
    <xf numFmtId="0" fontId="0" fillId="0" borderId="0" xfId="0" applyFill="1" applyBorder="1"/>
    <xf numFmtId="0" fontId="0" fillId="0" borderId="0" xfId="0" applyAlignment="1">
      <alignment horizontal="right" vertical="center"/>
    </xf>
    <xf numFmtId="0" fontId="0" fillId="0" borderId="0" xfId="0" applyAlignment="1">
      <alignment horizontal="left" vertical="center"/>
    </xf>
    <xf numFmtId="0" fontId="0" fillId="0" borderId="0" xfId="0" applyAlignment="1">
      <alignment horizontal="right" vertical="center"/>
    </xf>
    <xf numFmtId="0" fontId="0" fillId="0" borderId="0" xfId="0" applyAlignment="1">
      <alignment horizontal="left" vertical="center"/>
    </xf>
    <xf numFmtId="0" fontId="0" fillId="0" borderId="0" xfId="0" applyAlignment="1">
      <alignment horizontal="right" vertical="center"/>
    </xf>
    <xf numFmtId="0" fontId="0" fillId="0" borderId="0" xfId="0" applyAlignment="1">
      <alignment horizontal="left" vertical="center"/>
    </xf>
    <xf numFmtId="0" fontId="0" fillId="0" borderId="0" xfId="0" applyAlignment="1">
      <alignment horizontal="right" vertical="center"/>
    </xf>
    <xf numFmtId="0" fontId="0" fillId="0" borderId="0" xfId="0" applyAlignment="1">
      <alignment horizontal="left" vertical="center"/>
    </xf>
    <xf numFmtId="0" fontId="0" fillId="0" borderId="0" xfId="0" applyAlignment="1">
      <alignment horizontal="right" vertical="center"/>
    </xf>
    <xf numFmtId="3" fontId="0" fillId="0" borderId="0" xfId="0" applyNumberFormat="1" applyAlignment="1">
      <alignment horizontal="right" vertical="center"/>
    </xf>
    <xf numFmtId="0" fontId="0" fillId="0" borderId="0" xfId="0" applyAlignment="1">
      <alignment horizontal="left" vertical="center"/>
    </xf>
    <xf numFmtId="0" fontId="0" fillId="0" borderId="0" xfId="0"/>
    <xf numFmtId="0" fontId="0" fillId="0" borderId="0" xfId="0" applyAlignment="1">
      <alignment horizontal="right" vertical="center"/>
    </xf>
    <xf numFmtId="0" fontId="0" fillId="0" borderId="0" xfId="0" applyAlignment="1">
      <alignment horizontal="left" vertical="center"/>
    </xf>
    <xf numFmtId="0" fontId="0" fillId="0" borderId="0" xfId="0" applyAlignment="1">
      <alignment horizontal="right"/>
    </xf>
    <xf numFmtId="0" fontId="0" fillId="0" borderId="0" xfId="0" applyAlignment="1">
      <alignment horizontal="right"/>
    </xf>
    <xf numFmtId="0" fontId="0" fillId="0" borderId="0" xfId="0"/>
    <xf numFmtId="0" fontId="0" fillId="0" borderId="0" xfId="0" applyAlignment="1">
      <alignment horizontal="right"/>
    </xf>
    <xf numFmtId="0" fontId="21" fillId="0" borderId="0" xfId="42" applyFont="1"/>
  </cellXfs>
  <cellStyles count="43">
    <cellStyle name="20% - Ênfase1" xfId="19" builtinId="30" customBuiltin="1"/>
    <cellStyle name="20% - Ênfase2" xfId="23" builtinId="34" customBuiltin="1"/>
    <cellStyle name="20% - Ênfase3" xfId="27" builtinId="38" customBuiltin="1"/>
    <cellStyle name="20% - Ênfase4" xfId="31" builtinId="42" customBuiltin="1"/>
    <cellStyle name="20% - Ênfase5" xfId="35" builtinId="46" customBuiltin="1"/>
    <cellStyle name="20% - Ênfase6" xfId="39" builtinId="50" customBuiltin="1"/>
    <cellStyle name="40% - Ênfase1" xfId="20" builtinId="31" customBuiltin="1"/>
    <cellStyle name="40% - Ênfase2" xfId="24" builtinId="35" customBuiltin="1"/>
    <cellStyle name="40% - Ênfase3" xfId="28" builtinId="39" customBuiltin="1"/>
    <cellStyle name="40% - Ênfase4" xfId="32" builtinId="43" customBuiltin="1"/>
    <cellStyle name="40% - Ênfase5" xfId="36" builtinId="47" customBuiltin="1"/>
    <cellStyle name="40% - Ênfase6" xfId="40" builtinId="51" customBuiltin="1"/>
    <cellStyle name="60% - Ênfase1" xfId="21" builtinId="32" customBuiltin="1"/>
    <cellStyle name="60% - Ênfase2" xfId="25" builtinId="36" customBuiltin="1"/>
    <cellStyle name="60% - Ênfase3" xfId="29" builtinId="40" customBuiltin="1"/>
    <cellStyle name="60% - Ênfase4" xfId="33" builtinId="44" customBuiltin="1"/>
    <cellStyle name="60% - Ênfase5" xfId="37" builtinId="48" customBuiltin="1"/>
    <cellStyle name="60% - Ênfase6" xfId="41" builtinId="52" customBuiltin="1"/>
    <cellStyle name="Bom" xfId="6" builtinId="26" customBuiltin="1"/>
    <cellStyle name="Cálculo" xfId="11" builtinId="22" customBuiltin="1"/>
    <cellStyle name="Célula de Verificação" xfId="13" builtinId="23" customBuiltin="1"/>
    <cellStyle name="Célula Vinculada" xfId="12" builtinId="24" customBuiltin="1"/>
    <cellStyle name="Ênfase1" xfId="18" builtinId="29" customBuiltin="1"/>
    <cellStyle name="Ênfase2" xfId="22" builtinId="33" customBuiltin="1"/>
    <cellStyle name="Ênfase3" xfId="26" builtinId="37" customBuiltin="1"/>
    <cellStyle name="Ênfase4" xfId="30" builtinId="41" customBuiltin="1"/>
    <cellStyle name="Ênfase5" xfId="34" builtinId="45" customBuiltin="1"/>
    <cellStyle name="Ênfase6" xfId="38" builtinId="49" customBuiltin="1"/>
    <cellStyle name="Entrada" xfId="9" builtinId="20" customBuiltin="1"/>
    <cellStyle name="Hyperlink" xfId="42" builtinId="8"/>
    <cellStyle name="Incorreto" xfId="7" builtinId="27" customBuiltin="1"/>
    <cellStyle name="Neutra" xfId="8" builtinId="28" customBuiltin="1"/>
    <cellStyle name="Normal" xfId="0" builtinId="0"/>
    <cellStyle name="Nota" xfId="15" builtinId="10" customBuiltin="1"/>
    <cellStyle name="Saída" xfId="10" builtinId="21" customBuiltin="1"/>
    <cellStyle name="Texto de Aviso"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ítulo 4" xfId="5" builtinId="19" customBuiltin="1"/>
    <cellStyle name="Total" xfId="17" builtinId="25" customBuiltin="1"/>
  </cellStyles>
  <dxfs count="0"/>
  <tableStyles count="0" defaultTableStyle="TableStyleMedium9" defaultPivotStyle="PivotStyleLight16"/>
  <colors>
    <mruColors>
      <color rgb="FF0000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EQ382"/>
  <sheetViews>
    <sheetView tabSelected="1" workbookViewId="0">
      <pane xSplit="1" ySplit="1" topLeftCell="B2" activePane="bottomRight" state="frozen"/>
      <selection pane="topRight" activeCell="B1" sqref="B1"/>
      <selection pane="bottomLeft" activeCell="A2" sqref="A2"/>
      <selection pane="bottomRight" activeCell="C350" sqref="C350"/>
    </sheetView>
  </sheetViews>
  <sheetFormatPr defaultRowHeight="15"/>
  <cols>
    <col min="1" max="1" width="14.85546875" customWidth="1"/>
    <col min="2" max="2" width="7.7109375" customWidth="1"/>
    <col min="4" max="5" width="10" bestFit="1" customWidth="1"/>
    <col min="6" max="6" width="9.28515625" bestFit="1" customWidth="1"/>
    <col min="8" max="10" width="10" bestFit="1" customWidth="1"/>
    <col min="11" max="11" width="10" style="6" bestFit="1" customWidth="1"/>
    <col min="12" max="14" width="9.140625" style="5"/>
    <col min="15" max="15" width="12.42578125" style="5" bestFit="1" customWidth="1"/>
    <col min="16" max="16" width="10" style="5" bestFit="1" customWidth="1"/>
    <col min="17" max="18" width="10" bestFit="1" customWidth="1"/>
    <col min="20" max="20" width="10" bestFit="1" customWidth="1"/>
    <col min="24" max="24" width="20.7109375" customWidth="1"/>
    <col min="25" max="35" width="10" bestFit="1" customWidth="1"/>
    <col min="38" max="38" width="24.5703125" customWidth="1"/>
    <col min="40" max="40" width="9.140625" style="19"/>
    <col min="43" max="53" width="9.85546875" bestFit="1" customWidth="1"/>
    <col min="60" max="60" width="10" bestFit="1" customWidth="1"/>
    <col min="63" max="72" width="10" bestFit="1" customWidth="1"/>
    <col min="77" max="77" width="10" bestFit="1" customWidth="1"/>
    <col min="79" max="88" width="10" bestFit="1" customWidth="1"/>
    <col min="91" max="91" width="12" bestFit="1" customWidth="1"/>
    <col min="96" max="96" width="12" bestFit="1" customWidth="1"/>
    <col min="101" max="101" width="12" bestFit="1" customWidth="1"/>
    <col min="106" max="106" width="12" bestFit="1" customWidth="1"/>
    <col min="113" max="113" width="9.7109375" bestFit="1" customWidth="1"/>
    <col min="114" max="117" width="9.140625" style="6"/>
    <col min="120" max="147" width="9.140625" style="3"/>
  </cols>
  <sheetData>
    <row r="1" spans="1:147" s="1" customFormat="1" ht="90">
      <c r="A1" s="1" t="s">
        <v>0</v>
      </c>
      <c r="B1" s="1" t="s">
        <v>1</v>
      </c>
      <c r="C1" s="1" t="s">
        <v>2</v>
      </c>
      <c r="D1" s="1" t="s">
        <v>3</v>
      </c>
      <c r="E1" s="1" t="s">
        <v>4</v>
      </c>
      <c r="F1" s="1" t="s">
        <v>5</v>
      </c>
      <c r="G1" s="1" t="s">
        <v>6</v>
      </c>
      <c r="H1" s="1" t="s">
        <v>3474</v>
      </c>
      <c r="I1" s="1" t="s">
        <v>3475</v>
      </c>
      <c r="J1" s="1" t="s">
        <v>3861</v>
      </c>
      <c r="K1" s="2" t="s">
        <v>4328</v>
      </c>
      <c r="L1" s="2" t="s">
        <v>3471</v>
      </c>
      <c r="M1" s="2" t="s">
        <v>3472</v>
      </c>
      <c r="N1" s="2" t="s">
        <v>3473</v>
      </c>
      <c r="O1" s="2" t="s">
        <v>8</v>
      </c>
      <c r="P1" s="2" t="s">
        <v>4080</v>
      </c>
      <c r="Q1" s="1" t="s">
        <v>3476</v>
      </c>
      <c r="R1" s="1" t="s">
        <v>3477</v>
      </c>
      <c r="S1" s="1" t="s">
        <v>3478</v>
      </c>
      <c r="T1" s="1" t="s">
        <v>3479</v>
      </c>
      <c r="U1" s="1" t="s">
        <v>7</v>
      </c>
      <c r="V1" s="1" t="s">
        <v>8</v>
      </c>
      <c r="W1" s="1" t="s">
        <v>9</v>
      </c>
      <c r="X1" s="1" t="s">
        <v>10</v>
      </c>
      <c r="Y1" s="1" t="s">
        <v>11</v>
      </c>
      <c r="Z1" s="1" t="s">
        <v>12</v>
      </c>
      <c r="AA1" s="1" t="s">
        <v>13</v>
      </c>
      <c r="AB1" s="1" t="s">
        <v>14</v>
      </c>
      <c r="AC1" s="1" t="s">
        <v>15</v>
      </c>
      <c r="AD1" s="1" t="s">
        <v>16</v>
      </c>
      <c r="AE1" s="1" t="s">
        <v>17</v>
      </c>
      <c r="AF1" s="1" t="s">
        <v>18</v>
      </c>
      <c r="AG1" s="1" t="s">
        <v>19</v>
      </c>
      <c r="AH1" s="1" t="s">
        <v>20</v>
      </c>
      <c r="AI1" s="1" t="s">
        <v>21</v>
      </c>
      <c r="AJ1" s="1" t="s">
        <v>22</v>
      </c>
      <c r="AK1" s="1" t="s">
        <v>23</v>
      </c>
      <c r="AL1" s="1" t="s">
        <v>24</v>
      </c>
      <c r="AM1" s="1" t="s">
        <v>25</v>
      </c>
      <c r="AN1" s="1" t="s">
        <v>8</v>
      </c>
      <c r="AO1" s="1" t="s">
        <v>9</v>
      </c>
      <c r="AP1" s="1" t="s">
        <v>10</v>
      </c>
      <c r="AQ1" s="1" t="s">
        <v>11</v>
      </c>
      <c r="AR1" s="1" t="s">
        <v>12</v>
      </c>
      <c r="AS1" s="1" t="s">
        <v>13</v>
      </c>
      <c r="AT1" s="1" t="s">
        <v>14</v>
      </c>
      <c r="AU1" s="1" t="s">
        <v>15</v>
      </c>
      <c r="AV1" s="1" t="s">
        <v>16</v>
      </c>
      <c r="AW1" s="1" t="s">
        <v>17</v>
      </c>
      <c r="AX1" s="1" t="s">
        <v>18</v>
      </c>
      <c r="AY1" s="1" t="s">
        <v>19</v>
      </c>
      <c r="AZ1" s="1" t="s">
        <v>20</v>
      </c>
      <c r="BA1" s="1" t="s">
        <v>21</v>
      </c>
      <c r="BB1" s="1" t="s">
        <v>22</v>
      </c>
      <c r="BC1" s="1" t="s">
        <v>23</v>
      </c>
      <c r="BD1" s="1" t="s">
        <v>24</v>
      </c>
      <c r="BE1" s="1" t="s">
        <v>26</v>
      </c>
      <c r="BF1" s="1" t="s">
        <v>27</v>
      </c>
      <c r="BG1" s="1" t="s">
        <v>28</v>
      </c>
      <c r="BH1" s="1" t="s">
        <v>8</v>
      </c>
      <c r="BI1" s="1" t="s">
        <v>9</v>
      </c>
      <c r="BJ1" s="1" t="s">
        <v>10</v>
      </c>
      <c r="BK1" s="1" t="s">
        <v>11</v>
      </c>
      <c r="BL1" s="1" t="s">
        <v>12</v>
      </c>
      <c r="BM1" s="1" t="s">
        <v>13</v>
      </c>
      <c r="BN1" s="1" t="s">
        <v>14</v>
      </c>
      <c r="BO1" s="1" t="s">
        <v>15</v>
      </c>
      <c r="BP1" s="1" t="s">
        <v>16</v>
      </c>
      <c r="BQ1" s="1" t="s">
        <v>17</v>
      </c>
      <c r="BR1" s="1" t="s">
        <v>18</v>
      </c>
      <c r="BS1" s="1" t="s">
        <v>19</v>
      </c>
      <c r="BT1" s="1" t="s">
        <v>20</v>
      </c>
      <c r="BU1" s="1" t="s">
        <v>23</v>
      </c>
      <c r="BV1" s="1" t="s">
        <v>26</v>
      </c>
      <c r="BW1" s="1" t="s">
        <v>27</v>
      </c>
      <c r="BX1" s="1" t="s">
        <v>29</v>
      </c>
      <c r="BY1" s="1" t="s">
        <v>8</v>
      </c>
      <c r="BZ1" s="1" t="s">
        <v>10</v>
      </c>
      <c r="CA1" s="1" t="s">
        <v>11</v>
      </c>
      <c r="CB1" s="1" t="s">
        <v>12</v>
      </c>
      <c r="CC1" s="1" t="s">
        <v>13</v>
      </c>
      <c r="CD1" s="1" t="s">
        <v>14</v>
      </c>
      <c r="CE1" s="1" t="s">
        <v>15</v>
      </c>
      <c r="CF1" s="1" t="s">
        <v>16</v>
      </c>
      <c r="CG1" s="1" t="s">
        <v>17</v>
      </c>
      <c r="CH1" s="1" t="s">
        <v>18</v>
      </c>
      <c r="CI1" s="1" t="s">
        <v>19</v>
      </c>
      <c r="CJ1" s="1" t="s">
        <v>20</v>
      </c>
      <c r="CK1" s="1" t="s">
        <v>30</v>
      </c>
      <c r="CL1" s="1" t="s">
        <v>31</v>
      </c>
      <c r="CM1" s="1" t="s">
        <v>8</v>
      </c>
      <c r="CN1" s="1" t="s">
        <v>32</v>
      </c>
      <c r="CO1" s="1" t="s">
        <v>33</v>
      </c>
      <c r="CP1" s="1" t="s">
        <v>34</v>
      </c>
      <c r="CQ1" s="1" t="s">
        <v>35</v>
      </c>
      <c r="CR1" s="1" t="s">
        <v>36</v>
      </c>
      <c r="CS1" s="1" t="s">
        <v>37</v>
      </c>
      <c r="CT1" s="1" t="s">
        <v>38</v>
      </c>
      <c r="CU1" s="1" t="s">
        <v>39</v>
      </c>
      <c r="CV1" s="1" t="s">
        <v>35</v>
      </c>
      <c r="CW1" s="1" t="s">
        <v>40</v>
      </c>
      <c r="CX1" s="1" t="s">
        <v>41</v>
      </c>
      <c r="CY1" s="1" t="s">
        <v>42</v>
      </c>
      <c r="CZ1" s="1" t="s">
        <v>43</v>
      </c>
      <c r="DA1" s="1" t="s">
        <v>35</v>
      </c>
      <c r="DB1" s="1" t="s">
        <v>44</v>
      </c>
      <c r="DC1" s="1" t="s">
        <v>45</v>
      </c>
      <c r="DD1" s="1" t="s">
        <v>8</v>
      </c>
      <c r="DE1" s="1" t="s">
        <v>46</v>
      </c>
      <c r="DF1" s="1" t="s">
        <v>47</v>
      </c>
      <c r="DG1" s="1" t="s">
        <v>48</v>
      </c>
      <c r="DH1" s="1" t="s">
        <v>49</v>
      </c>
      <c r="DI1" s="1" t="s">
        <v>48</v>
      </c>
      <c r="DJ1" s="1" t="s">
        <v>4329</v>
      </c>
      <c r="DK1" s="1" t="s">
        <v>8</v>
      </c>
      <c r="DL1" s="1" t="s">
        <v>4330</v>
      </c>
      <c r="DM1" s="1" t="s">
        <v>4331</v>
      </c>
      <c r="DN1" s="1" t="s">
        <v>50</v>
      </c>
      <c r="DO1" s="1" t="s">
        <v>48</v>
      </c>
      <c r="DP1" s="1" t="s">
        <v>51</v>
      </c>
      <c r="DQ1" s="1" t="s">
        <v>8</v>
      </c>
      <c r="DR1" s="1" t="s">
        <v>10</v>
      </c>
      <c r="DS1" s="1" t="s">
        <v>11</v>
      </c>
      <c r="DT1" s="1" t="s">
        <v>12</v>
      </c>
      <c r="DU1" s="1" t="s">
        <v>13</v>
      </c>
      <c r="DV1" s="1" t="s">
        <v>14</v>
      </c>
      <c r="DW1" s="1" t="s">
        <v>15</v>
      </c>
      <c r="DX1" s="1" t="s">
        <v>16</v>
      </c>
      <c r="DY1" s="1" t="s">
        <v>17</v>
      </c>
      <c r="DZ1" s="1" t="s">
        <v>18</v>
      </c>
      <c r="EA1" s="1" t="s">
        <v>19</v>
      </c>
      <c r="EB1" s="1" t="s">
        <v>20</v>
      </c>
      <c r="EC1" s="1" t="s">
        <v>23</v>
      </c>
      <c r="ED1" s="1" t="s">
        <v>52</v>
      </c>
      <c r="EE1" s="1" t="s">
        <v>8</v>
      </c>
      <c r="EF1" s="1" t="s">
        <v>10</v>
      </c>
      <c r="EG1" s="1" t="s">
        <v>11</v>
      </c>
      <c r="EH1" s="1" t="s">
        <v>12</v>
      </c>
      <c r="EI1" s="1" t="s">
        <v>13</v>
      </c>
      <c r="EJ1" s="1" t="s">
        <v>14</v>
      </c>
      <c r="EK1" s="1" t="s">
        <v>15</v>
      </c>
      <c r="EL1" s="1" t="s">
        <v>16</v>
      </c>
      <c r="EM1" s="1" t="s">
        <v>17</v>
      </c>
      <c r="EN1" s="1" t="s">
        <v>18</v>
      </c>
      <c r="EO1" s="1" t="s">
        <v>19</v>
      </c>
      <c r="EP1" s="1" t="s">
        <v>20</v>
      </c>
      <c r="EQ1" s="1" t="s">
        <v>23</v>
      </c>
    </row>
    <row r="2" spans="1:147">
      <c r="A2" t="str">
        <f>HYPERLINK(".\links\seq\TI_asb-2-seq.txt","TI_asb-2")</f>
        <v>TI_asb-2</v>
      </c>
      <c r="B2">
        <v>2</v>
      </c>
      <c r="C2" t="str">
        <f>HYPERLINK(".\links\tsa\TI_asb-2-tsa.txt","1")</f>
        <v>1</v>
      </c>
      <c r="D2">
        <v>1</v>
      </c>
      <c r="E2">
        <v>537</v>
      </c>
      <c r="F2">
        <v>488</v>
      </c>
      <c r="G2" t="str">
        <f>HYPERLINK(".\links\qual\TI_asb-2-qual.txt","59")</f>
        <v>59</v>
      </c>
      <c r="H2">
        <v>1</v>
      </c>
      <c r="I2">
        <v>0</v>
      </c>
      <c r="J2">
        <f t="shared" ref="J2:J38" si="0">ABS(H2-I2)</f>
        <v>1</v>
      </c>
      <c r="K2" s="6">
        <f t="shared" ref="K2:K38" si="1">H2-I2</f>
        <v>1</v>
      </c>
      <c r="L2" s="6" t="s">
        <v>3865</v>
      </c>
      <c r="M2" s="6" t="s">
        <v>3866</v>
      </c>
      <c r="N2" s="6" t="s">
        <v>3867</v>
      </c>
      <c r="O2" s="7">
        <v>1.9999999999999999E-38</v>
      </c>
      <c r="P2" s="6">
        <v>103.7</v>
      </c>
      <c r="Q2" s="3">
        <v>537</v>
      </c>
      <c r="R2" s="3">
        <v>354</v>
      </c>
      <c r="S2" s="6" t="s">
        <v>3480</v>
      </c>
      <c r="T2" s="3">
        <v>2</v>
      </c>
      <c r="U2" t="str">
        <f>HYPERLINK(".\links\NR-LIGHT\TI_asb-2-NR-LIGHT.txt","ribosomal protein L6")</f>
        <v>ribosomal protein L6</v>
      </c>
      <c r="V2" t="str">
        <f>HYPERLINK("http://www.ncbi.nlm.nih.gov/sutils/blink.cgi?pid=253683402","4E-024")</f>
        <v>4E-024</v>
      </c>
      <c r="W2" t="str">
        <f>HYPERLINK(".\links\NR-LIGHT\TI_asb-2-NR-LIGHT.txt"," 10")</f>
        <v xml:space="preserve"> 10</v>
      </c>
      <c r="X2" t="str">
        <f>HYPERLINK("http://www.ncbi.nlm.nih.gov/protein/253683402","gi|253683402")</f>
        <v>gi|253683402</v>
      </c>
      <c r="Y2">
        <v>111</v>
      </c>
      <c r="Z2">
        <v>115</v>
      </c>
      <c r="AA2">
        <v>273</v>
      </c>
      <c r="AB2">
        <v>49</v>
      </c>
      <c r="AC2">
        <v>42</v>
      </c>
      <c r="AD2">
        <v>58</v>
      </c>
      <c r="AE2">
        <v>0</v>
      </c>
      <c r="AF2">
        <v>144</v>
      </c>
      <c r="AG2">
        <v>1</v>
      </c>
      <c r="AH2">
        <v>2</v>
      </c>
      <c r="AI2">
        <v>2</v>
      </c>
      <c r="AJ2" t="s">
        <v>65</v>
      </c>
      <c r="AK2" t="s">
        <v>54</v>
      </c>
      <c r="AL2" s="6" t="s">
        <v>66</v>
      </c>
      <c r="AM2" t="str">
        <f>HYPERLINK(".\links\SWISSP\TI_asb-2-SWISSP.txt","60S ribosomal protein L6 OS=Chinchilla lanigera GN=RPL6 PE=2 SV=3")</f>
        <v>60S ribosomal protein L6 OS=Chinchilla lanigera GN=RPL6 PE=2 SV=3</v>
      </c>
      <c r="AN2" s="19" t="str">
        <f>HYPERLINK("http://www.uniprot.org/uniprot/Q6QMZ4","4E-016")</f>
        <v>4E-016</v>
      </c>
      <c r="AO2" t="str">
        <f>HYPERLINK(".\links\SWISSP\TI_asb-2-SWISSP.txt"," 10")</f>
        <v xml:space="preserve"> 10</v>
      </c>
      <c r="AP2" t="s">
        <v>67</v>
      </c>
      <c r="AQ2">
        <v>84.3</v>
      </c>
      <c r="AR2">
        <v>115</v>
      </c>
      <c r="AS2">
        <v>288</v>
      </c>
      <c r="AT2">
        <v>39</v>
      </c>
      <c r="AU2">
        <v>40</v>
      </c>
      <c r="AV2">
        <v>70</v>
      </c>
      <c r="AW2">
        <v>0</v>
      </c>
      <c r="AX2">
        <v>177</v>
      </c>
      <c r="AY2">
        <v>47</v>
      </c>
      <c r="AZ2">
        <v>1</v>
      </c>
      <c r="BA2">
        <v>2</v>
      </c>
      <c r="BB2" t="s">
        <v>53</v>
      </c>
      <c r="BC2" t="s">
        <v>54</v>
      </c>
      <c r="BD2" s="6" t="s">
        <v>68</v>
      </c>
      <c r="BE2" t="s">
        <v>69</v>
      </c>
      <c r="BF2" t="s">
        <v>70</v>
      </c>
      <c r="BG2" t="str">
        <f>HYPERLINK(".\links\PREV-RHOD-PEP\TI_asb-2-PREV-RHOD-PEP.txt","Contig17971_343")</f>
        <v>Contig17971_343</v>
      </c>
      <c r="BH2" s="7">
        <v>9.9999999999999998E-46</v>
      </c>
      <c r="BI2" t="str">
        <f>HYPERLINK(".\links\PREV-RHOD-PEP\TI_asb-2-PREV-RHOD-PEP.txt"," 5")</f>
        <v xml:space="preserve"> 5</v>
      </c>
      <c r="BJ2" t="s">
        <v>71</v>
      </c>
      <c r="BK2">
        <v>172</v>
      </c>
      <c r="BL2">
        <v>115</v>
      </c>
      <c r="BM2">
        <v>285</v>
      </c>
      <c r="BN2">
        <v>73</v>
      </c>
      <c r="BO2">
        <v>40</v>
      </c>
      <c r="BP2">
        <v>30</v>
      </c>
      <c r="BQ2">
        <v>0</v>
      </c>
      <c r="BR2">
        <v>156</v>
      </c>
      <c r="BS2">
        <v>1</v>
      </c>
      <c r="BT2">
        <v>2</v>
      </c>
      <c r="BU2" t="s">
        <v>54</v>
      </c>
      <c r="BV2" t="s">
        <v>72</v>
      </c>
      <c r="BW2" t="s">
        <v>56</v>
      </c>
      <c r="BX2" t="str">
        <f>HYPERLINK(".\links\PREV-RHOD-CDS\TI_asb-2-PREV-RHOD-CDS.txt","Contig17971_343")</f>
        <v>Contig17971_343</v>
      </c>
      <c r="BY2" s="7">
        <v>1.0000000000000001E-111</v>
      </c>
      <c r="BZ2" t="s">
        <v>71</v>
      </c>
      <c r="CA2">
        <v>400</v>
      </c>
      <c r="CB2">
        <v>392</v>
      </c>
      <c r="CC2">
        <v>858</v>
      </c>
      <c r="CD2">
        <v>88</v>
      </c>
      <c r="CE2">
        <v>46</v>
      </c>
      <c r="CF2">
        <v>47</v>
      </c>
      <c r="CG2">
        <v>1</v>
      </c>
      <c r="CH2">
        <v>466</v>
      </c>
      <c r="CI2">
        <v>1</v>
      </c>
      <c r="CJ2">
        <v>1</v>
      </c>
      <c r="CK2" t="s">
        <v>54</v>
      </c>
      <c r="CL2" t="s">
        <v>73</v>
      </c>
      <c r="CM2">
        <f>HYPERLINK(".\links\GO\TI_asb-2-GO.txt",0.0000000000000000001)</f>
        <v>9.9999999999999998E-20</v>
      </c>
      <c r="CN2" t="s">
        <v>58</v>
      </c>
      <c r="CO2" t="s">
        <v>58</v>
      </c>
      <c r="CQ2" t="s">
        <v>59</v>
      </c>
      <c r="CR2" s="6">
        <v>1.0000000000000001E-15</v>
      </c>
      <c r="CS2" t="s">
        <v>74</v>
      </c>
      <c r="CT2" t="s">
        <v>75</v>
      </c>
      <c r="CU2" t="s">
        <v>76</v>
      </c>
      <c r="CV2" t="s">
        <v>77</v>
      </c>
      <c r="CW2" s="6">
        <v>1.0000000000000001E-15</v>
      </c>
      <c r="CX2" t="s">
        <v>62</v>
      </c>
      <c r="CY2" t="s">
        <v>58</v>
      </c>
      <c r="DA2" t="s">
        <v>63</v>
      </c>
      <c r="DB2" s="6">
        <v>1.0000000000000001E-15</v>
      </c>
      <c r="DC2" t="str">
        <f>HYPERLINK(".\links\CDD\TI_asb-2-CDD.txt","Ribosomal_L6e")</f>
        <v>Ribosomal_L6e</v>
      </c>
      <c r="DD2" t="str">
        <f>HYPERLINK("http://www.ncbi.nlm.nih.gov/Structure/cdd/cddsrv.cgi?uid=pfam01159&amp;version=v4.0","9E-038")</f>
        <v>9E-038</v>
      </c>
      <c r="DE2" t="s">
        <v>78</v>
      </c>
      <c r="DF2" t="str">
        <f>HYPERLINK(".\links\PFAM\TI_asb-2-PFAM.txt","Ribosomal_L6e")</f>
        <v>Ribosomal_L6e</v>
      </c>
      <c r="DG2" t="str">
        <f>HYPERLINK("http://pfam.sanger.ac.uk/family?acc=PF01159","2E-038")</f>
        <v>2E-038</v>
      </c>
      <c r="DH2" t="str">
        <f>HYPERLINK(".\links\PRK\TI_asb-2-PRK.txt","NADH dehydrogenase subunit 5")</f>
        <v>NADH dehydrogenase subunit 5</v>
      </c>
      <c r="DI2" s="7">
        <v>2.0000000000000001E-4</v>
      </c>
      <c r="DJ2" s="6" t="str">
        <f>HYPERLINK(".\links\KOG\TI_asb-2-KOG.txt","60s ribosomal protein L6")</f>
        <v>60s ribosomal protein L6</v>
      </c>
      <c r="DK2" s="6" t="str">
        <f>HYPERLINK("http://www.ncbi.nlm.nih.gov/COG/grace/shokog.cgi?KOG1694","1E-026")</f>
        <v>1E-026</v>
      </c>
      <c r="DL2" s="6" t="s">
        <v>4333</v>
      </c>
      <c r="DM2" s="6" t="str">
        <f>HYPERLINK(".\links\KOG\TI_asb-2-KOG.txt","KOG1694")</f>
        <v>KOG1694</v>
      </c>
      <c r="DN2" t="str">
        <f>HYPERLINK(".\links\SMART\TI_asb-2-SMART.txt","TOPEUc")</f>
        <v>TOPEUc</v>
      </c>
      <c r="DO2" t="str">
        <f>HYPERLINK("http://smart.embl-heidelberg.de/smart/do_annotation.pl?DOMAIN=TOPEUc&amp;BLAST=DUMMY","0.063")</f>
        <v>0.063</v>
      </c>
      <c r="DP2" s="3" t="s">
        <v>56</v>
      </c>
      <c r="ED2" s="3" t="s">
        <v>56</v>
      </c>
    </row>
    <row r="3" spans="1:147">
      <c r="A3" t="str">
        <f>HYPERLINK(".\links\seq\TI_asb-5-seq.txt","TI_asb-5")</f>
        <v>TI_asb-5</v>
      </c>
      <c r="B3">
        <v>5</v>
      </c>
      <c r="C3" t="str">
        <f>HYPERLINK(".\links\tsa\TI_asb-5-tsa.txt","3")</f>
        <v>3</v>
      </c>
      <c r="D3">
        <v>3</v>
      </c>
      <c r="E3">
        <v>710</v>
      </c>
      <c r="G3" t="str">
        <f>HYPERLINK(".\links\qual\TI_asb-5-qual.txt","81")</f>
        <v>81</v>
      </c>
      <c r="H3">
        <v>3</v>
      </c>
      <c r="I3">
        <v>0</v>
      </c>
      <c r="J3">
        <f t="shared" si="0"/>
        <v>3</v>
      </c>
      <c r="K3" s="6">
        <f t="shared" si="1"/>
        <v>3</v>
      </c>
      <c r="L3" s="6" t="s">
        <v>3870</v>
      </c>
      <c r="M3" s="6" t="s">
        <v>3871</v>
      </c>
      <c r="N3" s="6" t="s">
        <v>3872</v>
      </c>
      <c r="O3" s="7">
        <v>1.9999999999999999E-36</v>
      </c>
      <c r="P3" s="6">
        <v>40.5</v>
      </c>
      <c r="Q3" s="3">
        <v>710</v>
      </c>
      <c r="R3" s="3">
        <v>705</v>
      </c>
      <c r="S3" s="6" t="s">
        <v>3481</v>
      </c>
      <c r="T3" s="3">
        <v>2</v>
      </c>
      <c r="U3" t="str">
        <f>HYPERLINK(".\links\NR-LIGHT\TI_asb-5-NR-LIGHT.txt","hypothetical protein TcasGA2_TC001323")</f>
        <v>hypothetical protein TcasGA2_TC001323</v>
      </c>
      <c r="V3" t="str">
        <f>HYPERLINK("http://www.ncbi.nlm.nih.gov/sutils/blink.cgi?pid=270002312","9E-049")</f>
        <v>9E-049</v>
      </c>
      <c r="W3" t="str">
        <f>HYPERLINK(".\links\NR-LIGHT\TI_asb-5-NR-LIGHT.txt"," 10")</f>
        <v xml:space="preserve"> 10</v>
      </c>
      <c r="X3" t="str">
        <f>HYPERLINK("http://www.ncbi.nlm.nih.gov/protein/270002312","gi|270002312")</f>
        <v>gi|270002312</v>
      </c>
      <c r="Y3">
        <v>195</v>
      </c>
      <c r="Z3">
        <v>206</v>
      </c>
      <c r="AA3">
        <v>753</v>
      </c>
      <c r="AB3">
        <v>45</v>
      </c>
      <c r="AC3">
        <v>27</v>
      </c>
      <c r="AD3">
        <v>112</v>
      </c>
      <c r="AE3">
        <v>0</v>
      </c>
      <c r="AF3">
        <v>386</v>
      </c>
      <c r="AG3">
        <v>92</v>
      </c>
      <c r="AH3">
        <v>1</v>
      </c>
      <c r="AI3">
        <v>2</v>
      </c>
      <c r="AJ3" t="s">
        <v>53</v>
      </c>
      <c r="AK3" t="s">
        <v>54</v>
      </c>
      <c r="AL3" s="6" t="s">
        <v>79</v>
      </c>
      <c r="AM3" t="str">
        <f>HYPERLINK(".\links\SWISSP\TI_asb-5-SWISSP.txt","CTL-like protein 2 OS=Anopheles gambiae GN=AGAP010343 PE=3 SV=4")</f>
        <v>CTL-like protein 2 OS=Anopheles gambiae GN=AGAP010343 PE=3 SV=4</v>
      </c>
      <c r="AN3" s="19" t="str">
        <f>HYPERLINK("http://www.uniprot.org/uniprot/Q7PRJ0","2E-046")</f>
        <v>2E-046</v>
      </c>
      <c r="AO3" t="str">
        <f>HYPERLINK(".\links\SWISSP\TI_asb-5-SWISSP.txt"," 10")</f>
        <v xml:space="preserve"> 10</v>
      </c>
      <c r="AP3" t="s">
        <v>80</v>
      </c>
      <c r="AQ3">
        <v>185</v>
      </c>
      <c r="AR3">
        <v>211</v>
      </c>
      <c r="AS3">
        <v>790</v>
      </c>
      <c r="AT3">
        <v>43</v>
      </c>
      <c r="AU3">
        <v>27</v>
      </c>
      <c r="AV3">
        <v>120</v>
      </c>
      <c r="AW3">
        <v>5</v>
      </c>
      <c r="AX3">
        <v>421</v>
      </c>
      <c r="AY3">
        <v>92</v>
      </c>
      <c r="AZ3">
        <v>1</v>
      </c>
      <c r="BA3">
        <v>2</v>
      </c>
      <c r="BB3" t="s">
        <v>53</v>
      </c>
      <c r="BC3" t="s">
        <v>54</v>
      </c>
      <c r="BD3" s="6" t="s">
        <v>81</v>
      </c>
      <c r="BE3" t="s">
        <v>82</v>
      </c>
      <c r="BF3" t="s">
        <v>83</v>
      </c>
      <c r="BG3" t="str">
        <f>HYPERLINK(".\links\PREV-RHOD-PEP\TI_asb-5-PREV-RHOD-PEP.txt","Contig17825_23")</f>
        <v>Contig17825_23</v>
      </c>
      <c r="BH3" s="7">
        <v>3.9999999999999998E-94</v>
      </c>
      <c r="BI3" t="str">
        <f>HYPERLINK(".\links\PREV-RHOD-PEP\TI_asb-5-PREV-RHOD-PEP.txt"," 8")</f>
        <v xml:space="preserve"> 8</v>
      </c>
      <c r="BJ3" t="s">
        <v>84</v>
      </c>
      <c r="BK3">
        <v>340</v>
      </c>
      <c r="BL3">
        <v>244</v>
      </c>
      <c r="BM3">
        <v>684</v>
      </c>
      <c r="BN3">
        <v>66</v>
      </c>
      <c r="BO3">
        <v>36</v>
      </c>
      <c r="BP3">
        <v>81</v>
      </c>
      <c r="BQ3">
        <v>8</v>
      </c>
      <c r="BR3">
        <v>288</v>
      </c>
      <c r="BS3">
        <v>2</v>
      </c>
      <c r="BT3">
        <v>1</v>
      </c>
      <c r="BU3" t="s">
        <v>54</v>
      </c>
      <c r="BV3" t="s">
        <v>85</v>
      </c>
      <c r="BW3" t="s">
        <v>56</v>
      </c>
      <c r="BX3" t="str">
        <f>HYPERLINK(".\links\PREV-RHOD-CDS\TI_asb-5-PREV-RHOD-CDS.txt","Contig17825_23")</f>
        <v>Contig17825_23</v>
      </c>
      <c r="BY3" s="7">
        <v>1.0000000000000001E-115</v>
      </c>
      <c r="BZ3" t="s">
        <v>84</v>
      </c>
      <c r="CA3">
        <v>414</v>
      </c>
      <c r="CB3">
        <v>716</v>
      </c>
      <c r="CC3">
        <v>2055</v>
      </c>
      <c r="CD3">
        <v>84</v>
      </c>
      <c r="CE3">
        <v>35</v>
      </c>
      <c r="CF3">
        <v>89</v>
      </c>
      <c r="CG3">
        <v>3</v>
      </c>
      <c r="CH3">
        <v>861</v>
      </c>
      <c r="CI3">
        <v>1</v>
      </c>
      <c r="CJ3">
        <v>2</v>
      </c>
      <c r="CK3" t="s">
        <v>54</v>
      </c>
      <c r="CL3" t="s">
        <v>86</v>
      </c>
      <c r="CM3">
        <f>HYPERLINK(".\links\GO\TI_asb-5-GO.txt",1E-23)</f>
        <v>9.9999999999999996E-24</v>
      </c>
      <c r="CN3" t="s">
        <v>87</v>
      </c>
      <c r="CO3" t="s">
        <v>88</v>
      </c>
      <c r="CP3" t="s">
        <v>89</v>
      </c>
      <c r="CQ3" t="s">
        <v>90</v>
      </c>
      <c r="CR3" s="6">
        <v>9.9999999999999995E-8</v>
      </c>
      <c r="CS3" t="s">
        <v>91</v>
      </c>
      <c r="CT3" t="s">
        <v>75</v>
      </c>
      <c r="CU3" t="s">
        <v>92</v>
      </c>
      <c r="CV3" t="s">
        <v>93</v>
      </c>
      <c r="CW3" s="6">
        <v>9.9999999999999995E-8</v>
      </c>
      <c r="CX3" t="s">
        <v>94</v>
      </c>
      <c r="CY3" t="s">
        <v>88</v>
      </c>
      <c r="CZ3" t="s">
        <v>89</v>
      </c>
      <c r="DA3" t="s">
        <v>95</v>
      </c>
      <c r="DB3" s="6">
        <v>9.9999999999999995E-8</v>
      </c>
      <c r="DC3" t="str">
        <f>HYPERLINK(".\links\CDD\TI_asb-5-CDD.txt","DUF580")</f>
        <v>DUF580</v>
      </c>
      <c r="DD3" t="str">
        <f>HYPERLINK("http://www.ncbi.nlm.nih.gov/Structure/cdd/cddsrv.cgi?uid=pfam04515&amp;version=v4.0","8E-026")</f>
        <v>8E-026</v>
      </c>
      <c r="DE3" t="s">
        <v>96</v>
      </c>
      <c r="DF3" t="str">
        <f>HYPERLINK(".\links\PFAM\TI_asb-5-PFAM.txt","DUF580")</f>
        <v>DUF580</v>
      </c>
      <c r="DG3" t="str">
        <f>HYPERLINK("http://pfam.sanger.ac.uk/family?acc=PF04515","2E-026")</f>
        <v>2E-026</v>
      </c>
      <c r="DH3" t="str">
        <f>HYPERLINK(".\links\PRK\TI_asb-5-PRK.txt","4-hydroxybenzoate polyprenyltransferase")</f>
        <v>4-hydroxybenzoate polyprenyltransferase</v>
      </c>
      <c r="DI3" s="6">
        <v>3.3000000000000002E-2</v>
      </c>
      <c r="DJ3" s="6" t="str">
        <f>HYPERLINK(".\links\KOG\TI_asb-5-KOG.txt","Choline transporter-like protein")</f>
        <v>Choline transporter-like protein</v>
      </c>
      <c r="DK3" s="6" t="str">
        <f>HYPERLINK("http://www.ncbi.nlm.nih.gov/COG/grace/shokog.cgi?KOG1362","2E-036")</f>
        <v>2E-036</v>
      </c>
      <c r="DL3" s="6" t="s">
        <v>4334</v>
      </c>
      <c r="DM3" s="6" t="str">
        <f>HYPERLINK(".\links\KOG\TI_asb-5-KOG.txt","KOG1362")</f>
        <v>KOG1362</v>
      </c>
      <c r="DN3" t="str">
        <f>HYPERLINK(".\links\SMART\TI_asb-5-SMART.txt","AgrB")</f>
        <v>AgrB</v>
      </c>
      <c r="DO3" t="str">
        <f>HYPERLINK("http://smart.embl-heidelberg.de/smart/do_annotation.pl?DOMAIN=AgrB&amp;BLAST=DUMMY","0.002")</f>
        <v>0.002</v>
      </c>
      <c r="DP3" s="3" t="s">
        <v>56</v>
      </c>
      <c r="ED3" s="3" t="s">
        <v>56</v>
      </c>
    </row>
    <row r="4" spans="1:147">
      <c r="A4" t="str">
        <f>HYPERLINK(".\links\seq\TI_asb-6-seq.txt","TI_asb-6")</f>
        <v>TI_asb-6</v>
      </c>
      <c r="B4">
        <v>6</v>
      </c>
      <c r="C4" t="str">
        <f>HYPERLINK(".\links\tsa\TI_asb-6-tsa.txt","1")</f>
        <v>1</v>
      </c>
      <c r="D4">
        <v>1</v>
      </c>
      <c r="E4">
        <v>1006</v>
      </c>
      <c r="F4">
        <v>835</v>
      </c>
      <c r="G4" t="str">
        <f>HYPERLINK(".\links\qual\TI_asb-6-qual.txt","35")</f>
        <v>35</v>
      </c>
      <c r="H4">
        <v>1</v>
      </c>
      <c r="I4">
        <v>0</v>
      </c>
      <c r="J4">
        <f t="shared" si="0"/>
        <v>1</v>
      </c>
      <c r="K4" s="6">
        <f t="shared" si="1"/>
        <v>1</v>
      </c>
      <c r="L4" s="6" t="s">
        <v>3868</v>
      </c>
      <c r="M4" s="6" t="s">
        <v>3869</v>
      </c>
      <c r="N4" s="6"/>
      <c r="O4" s="6"/>
      <c r="P4" s="6"/>
      <c r="Q4" s="3">
        <v>1006</v>
      </c>
      <c r="R4" s="3">
        <v>231</v>
      </c>
      <c r="S4" s="6" t="s">
        <v>3482</v>
      </c>
      <c r="T4" s="3">
        <v>4</v>
      </c>
      <c r="U4" t="s">
        <v>56</v>
      </c>
      <c r="V4" t="s">
        <v>56</v>
      </c>
      <c r="W4" t="s">
        <v>56</v>
      </c>
      <c r="X4" t="s">
        <v>56</v>
      </c>
      <c r="Y4" t="s">
        <v>56</v>
      </c>
      <c r="Z4" t="s">
        <v>56</v>
      </c>
      <c r="AA4" t="s">
        <v>56</v>
      </c>
      <c r="AB4" t="s">
        <v>56</v>
      </c>
      <c r="AC4" t="s">
        <v>56</v>
      </c>
      <c r="AD4" t="s">
        <v>56</v>
      </c>
      <c r="AE4" t="s">
        <v>56</v>
      </c>
      <c r="AF4" t="s">
        <v>56</v>
      </c>
      <c r="AG4" t="s">
        <v>56</v>
      </c>
      <c r="AH4" t="s">
        <v>56</v>
      </c>
      <c r="AI4" t="s">
        <v>56</v>
      </c>
      <c r="AJ4" t="s">
        <v>56</v>
      </c>
      <c r="AK4" t="s">
        <v>56</v>
      </c>
      <c r="AL4" s="6" t="s">
        <v>56</v>
      </c>
      <c r="AM4" t="s">
        <v>56</v>
      </c>
      <c r="AN4" s="19" t="s">
        <v>56</v>
      </c>
      <c r="AO4" t="s">
        <v>56</v>
      </c>
      <c r="AP4" t="s">
        <v>56</v>
      </c>
      <c r="AQ4" t="s">
        <v>56</v>
      </c>
      <c r="AR4" t="s">
        <v>56</v>
      </c>
      <c r="AS4" t="s">
        <v>56</v>
      </c>
      <c r="AT4" t="s">
        <v>56</v>
      </c>
      <c r="AU4" t="s">
        <v>56</v>
      </c>
      <c r="AV4" t="s">
        <v>56</v>
      </c>
      <c r="AW4" t="s">
        <v>56</v>
      </c>
      <c r="AX4" t="s">
        <v>56</v>
      </c>
      <c r="AY4" t="s">
        <v>56</v>
      </c>
      <c r="AZ4" t="s">
        <v>56</v>
      </c>
      <c r="BA4" t="s">
        <v>56</v>
      </c>
      <c r="BB4" t="s">
        <v>56</v>
      </c>
      <c r="BC4" t="s">
        <v>56</v>
      </c>
      <c r="BD4" s="6" t="s">
        <v>56</v>
      </c>
      <c r="BE4" t="s">
        <v>56</v>
      </c>
      <c r="BF4" t="s">
        <v>56</v>
      </c>
      <c r="BG4" t="str">
        <f>HYPERLINK(".\links\PREV-RHOD-PEP\TI_asb-6-PREV-RHOD-PEP.txt","Contig17936_54")</f>
        <v>Contig17936_54</v>
      </c>
      <c r="BH4" s="6">
        <v>9.9</v>
      </c>
      <c r="BI4" t="str">
        <f>HYPERLINK(".\links\PREV-RHOD-PEP\TI_asb-6-PREV-RHOD-PEP.txt"," 1")</f>
        <v xml:space="preserve"> 1</v>
      </c>
      <c r="BJ4" t="s">
        <v>97</v>
      </c>
      <c r="BK4">
        <v>27.3</v>
      </c>
      <c r="BL4">
        <v>58</v>
      </c>
      <c r="BM4">
        <v>106</v>
      </c>
      <c r="BN4">
        <v>32</v>
      </c>
      <c r="BO4">
        <v>55</v>
      </c>
      <c r="BP4">
        <v>39</v>
      </c>
      <c r="BQ4">
        <v>0</v>
      </c>
      <c r="BR4">
        <v>20</v>
      </c>
      <c r="BS4">
        <v>157</v>
      </c>
      <c r="BT4">
        <v>1</v>
      </c>
      <c r="BU4" t="s">
        <v>64</v>
      </c>
      <c r="BV4" t="s">
        <v>98</v>
      </c>
      <c r="BW4" t="s">
        <v>56</v>
      </c>
      <c r="BX4" t="str">
        <f>HYPERLINK(".\links\PREV-RHOD-CDS\TI_asb-6-PREV-RHOD-CDS.txt","Contig1337_1")</f>
        <v>Contig1337_1</v>
      </c>
      <c r="BY4" s="6">
        <v>8.0000000000000002E-3</v>
      </c>
      <c r="BZ4" t="s">
        <v>99</v>
      </c>
      <c r="CA4">
        <v>42.1</v>
      </c>
      <c r="CB4">
        <v>28</v>
      </c>
      <c r="CC4">
        <v>39</v>
      </c>
      <c r="CD4">
        <v>93</v>
      </c>
      <c r="CE4">
        <v>74</v>
      </c>
      <c r="CF4">
        <v>2</v>
      </c>
      <c r="CG4">
        <v>0</v>
      </c>
      <c r="CH4">
        <v>9</v>
      </c>
      <c r="CI4">
        <v>663</v>
      </c>
      <c r="CJ4">
        <v>1</v>
      </c>
      <c r="CK4" t="s">
        <v>64</v>
      </c>
      <c r="CL4" t="s">
        <v>100</v>
      </c>
      <c r="CM4">
        <f>HYPERLINK(".\links\GO\TI_asb-6-GO.txt",3.4)</f>
        <v>3.4</v>
      </c>
      <c r="CN4" t="s">
        <v>101</v>
      </c>
      <c r="CO4" t="s">
        <v>102</v>
      </c>
      <c r="CP4" t="s">
        <v>103</v>
      </c>
      <c r="CQ4" t="s">
        <v>104</v>
      </c>
      <c r="CR4" s="6">
        <v>3.4</v>
      </c>
      <c r="CS4" t="s">
        <v>105</v>
      </c>
      <c r="CT4" t="s">
        <v>75</v>
      </c>
      <c r="CU4" t="s">
        <v>106</v>
      </c>
      <c r="CV4" t="s">
        <v>107</v>
      </c>
      <c r="CW4" s="6">
        <v>3.4</v>
      </c>
      <c r="CX4" t="s">
        <v>108</v>
      </c>
      <c r="CY4" t="s">
        <v>102</v>
      </c>
      <c r="CZ4" t="s">
        <v>103</v>
      </c>
      <c r="DA4" t="s">
        <v>109</v>
      </c>
      <c r="DB4" s="6">
        <v>3.4</v>
      </c>
      <c r="DC4" t="str">
        <f>HYPERLINK(".\links\CDD\TI_asb-6-CDD.txt","ND4")</f>
        <v>ND4</v>
      </c>
      <c r="DD4" t="str">
        <f>HYPERLINK("http://www.ncbi.nlm.nih.gov/Structure/cdd/cddsrv.cgi?uid=MTH00094&amp;version=v4.0","4E-006")</f>
        <v>4E-006</v>
      </c>
      <c r="DE4" t="s">
        <v>110</v>
      </c>
      <c r="DF4" t="str">
        <f>HYPERLINK(".\links\PFAM\TI_asb-6-PFAM.txt","7TM_GPCR_Srz")</f>
        <v>7TM_GPCR_Srz</v>
      </c>
      <c r="DG4" t="str">
        <f>HYPERLINK("http://pfam.sanger.ac.uk/family?acc=PF10325","0.002")</f>
        <v>0.002</v>
      </c>
      <c r="DH4" t="str">
        <f>HYPERLINK(".\links\PRK\TI_asb-6-PRK.txt","NADH dehydrogenase subunit 5")</f>
        <v>NADH dehydrogenase subunit 5</v>
      </c>
      <c r="DI4" s="7">
        <v>1.9999999999999999E-6</v>
      </c>
      <c r="DJ4" s="6" t="str">
        <f>HYPERLINK(".\links\KOG\TI_asb-6-KOG.txt","Alpha-1,2 glucosyltransferase/transcriptional activator")</f>
        <v>Alpha-1,2 glucosyltransferase/transcriptional activator</v>
      </c>
      <c r="DK4" s="6" t="str">
        <f>HYPERLINK("http://www.ncbi.nlm.nih.gov/COG/grace/shokog.cgi?KOG2642","8E-004")</f>
        <v>8E-004</v>
      </c>
      <c r="DL4" s="6" t="s">
        <v>4335</v>
      </c>
      <c r="DM4" s="6" t="str">
        <f>HYPERLINK(".\links\KOG\TI_asb-6-KOG.txt","KOG2642")</f>
        <v>KOG2642</v>
      </c>
      <c r="DN4" t="str">
        <f>HYPERLINK(".\links\SMART\TI_asb-6-SMART.txt","PSN")</f>
        <v>PSN</v>
      </c>
      <c r="DO4" t="str">
        <f>HYPERLINK("http://smart.embl-heidelberg.de/smart/do_annotation.pl?DOMAIN=PSN&amp;BLAST=DUMMY","0.004")</f>
        <v>0.004</v>
      </c>
      <c r="DP4" s="3" t="s">
        <v>56</v>
      </c>
      <c r="ED4" s="3" t="s">
        <v>56</v>
      </c>
    </row>
    <row r="5" spans="1:147">
      <c r="A5" t="str">
        <f>HYPERLINK(".\links\seq\TI_asb-8-seq.txt","TI_asb-8")</f>
        <v>TI_asb-8</v>
      </c>
      <c r="B5">
        <v>8</v>
      </c>
      <c r="C5" t="str">
        <f>HYPERLINK(".\links\tsa\TI_asb-8-tsa.txt","1")</f>
        <v>1</v>
      </c>
      <c r="D5">
        <v>1</v>
      </c>
      <c r="E5">
        <v>641</v>
      </c>
      <c r="G5" t="str">
        <f>HYPERLINK(".\links\qual\TI_asb-8-qual.txt","53")</f>
        <v>53</v>
      </c>
      <c r="H5">
        <v>0</v>
      </c>
      <c r="I5">
        <v>1</v>
      </c>
      <c r="J5">
        <f t="shared" si="0"/>
        <v>1</v>
      </c>
      <c r="K5" s="6">
        <f t="shared" si="1"/>
        <v>-1</v>
      </c>
      <c r="L5" s="6" t="s">
        <v>3873</v>
      </c>
      <c r="M5" s="6" t="s">
        <v>3874</v>
      </c>
      <c r="N5" s="6" t="s">
        <v>3875</v>
      </c>
      <c r="O5" s="7">
        <v>3.9999999999999998E-38</v>
      </c>
      <c r="P5" s="6">
        <v>77.3</v>
      </c>
      <c r="Q5" s="3">
        <v>641</v>
      </c>
      <c r="R5" s="3">
        <v>573</v>
      </c>
      <c r="S5" s="6" t="s">
        <v>3483</v>
      </c>
      <c r="T5" s="3">
        <v>2</v>
      </c>
      <c r="U5" t="str">
        <f>HYPERLINK(".\links\NR-LIGHT\TI_asb-8-NR-LIGHT.txt","ptpla domain protein")</f>
        <v>ptpla domain protein</v>
      </c>
      <c r="V5" t="str">
        <f>HYPERLINK("http://www.ncbi.nlm.nih.gov/sutils/blink.cgi?pid=170050795","9E-050")</f>
        <v>9E-050</v>
      </c>
      <c r="W5" t="str">
        <f>HYPERLINK(".\links\NR-LIGHT\TI_asb-8-NR-LIGHT.txt"," 10")</f>
        <v xml:space="preserve"> 10</v>
      </c>
      <c r="X5" t="str">
        <f>HYPERLINK("http://www.ncbi.nlm.nih.gov/protein/170050795","gi|170050795")</f>
        <v>gi|170050795</v>
      </c>
      <c r="Y5">
        <v>198</v>
      </c>
      <c r="Z5">
        <v>173</v>
      </c>
      <c r="AA5">
        <v>232</v>
      </c>
      <c r="AB5">
        <v>56</v>
      </c>
      <c r="AC5">
        <v>75</v>
      </c>
      <c r="AD5">
        <v>76</v>
      </c>
      <c r="AE5">
        <v>0</v>
      </c>
      <c r="AF5">
        <v>45</v>
      </c>
      <c r="AG5">
        <v>29</v>
      </c>
      <c r="AH5">
        <v>1</v>
      </c>
      <c r="AI5">
        <v>2</v>
      </c>
      <c r="AJ5" t="s">
        <v>53</v>
      </c>
      <c r="AK5" t="s">
        <v>54</v>
      </c>
      <c r="AL5" s="6" t="s">
        <v>111</v>
      </c>
      <c r="AM5" t="str">
        <f>HYPERLINK(".\links\SWISSP\TI_asb-8-SWISSP.txt","3-hydroxyacyl-CoA dehydratase 2 OS=Bos taurus GN=PTPLB PE=2 SV=2")</f>
        <v>3-hydroxyacyl-CoA dehydratase 2 OS=Bos taurus GN=PTPLB PE=2 SV=2</v>
      </c>
      <c r="AN5" s="19" t="str">
        <f>HYPERLINK("http://www.uniprot.org/uniprot/Q2KIP8","4E-035")</f>
        <v>4E-035</v>
      </c>
      <c r="AO5" t="str">
        <f>HYPERLINK(".\links\SWISSP\TI_asb-8-SWISSP.txt"," 10")</f>
        <v xml:space="preserve"> 10</v>
      </c>
      <c r="AP5" t="s">
        <v>112</v>
      </c>
      <c r="AQ5">
        <v>147</v>
      </c>
      <c r="AR5">
        <v>186</v>
      </c>
      <c r="AS5">
        <v>254</v>
      </c>
      <c r="AT5">
        <v>40</v>
      </c>
      <c r="AU5">
        <v>73</v>
      </c>
      <c r="AV5">
        <v>111</v>
      </c>
      <c r="AW5">
        <v>0</v>
      </c>
      <c r="AX5">
        <v>64</v>
      </c>
      <c r="AY5">
        <v>5</v>
      </c>
      <c r="AZ5">
        <v>1</v>
      </c>
      <c r="BA5">
        <v>2</v>
      </c>
      <c r="BB5" t="s">
        <v>53</v>
      </c>
      <c r="BC5" t="s">
        <v>54</v>
      </c>
      <c r="BD5" t="s">
        <v>113</v>
      </c>
      <c r="BE5" t="s">
        <v>114</v>
      </c>
      <c r="BF5" t="s">
        <v>115</v>
      </c>
      <c r="BG5" t="str">
        <f>HYPERLINK(".\links\PREV-RHOD-PEP\TI_asb-8-PREV-RHOD-PEP.txt","Contig17896_130")</f>
        <v>Contig17896_130</v>
      </c>
      <c r="BH5" s="7">
        <v>5.0000000000000002E-85</v>
      </c>
      <c r="BI5" t="str">
        <f>HYPERLINK(".\links\PREV-RHOD-PEP\TI_asb-8-PREV-RHOD-PEP.txt"," 10")</f>
        <v xml:space="preserve"> 10</v>
      </c>
      <c r="BJ5" t="s">
        <v>116</v>
      </c>
      <c r="BK5">
        <v>309</v>
      </c>
      <c r="BL5">
        <v>187</v>
      </c>
      <c r="BM5">
        <v>238</v>
      </c>
      <c r="BN5">
        <v>78</v>
      </c>
      <c r="BO5">
        <v>79</v>
      </c>
      <c r="BP5">
        <v>41</v>
      </c>
      <c r="BQ5">
        <v>0</v>
      </c>
      <c r="BR5">
        <v>45</v>
      </c>
      <c r="BS5">
        <v>2</v>
      </c>
      <c r="BT5">
        <v>1</v>
      </c>
      <c r="BU5" t="s">
        <v>54</v>
      </c>
      <c r="BV5" t="s">
        <v>117</v>
      </c>
      <c r="BW5" t="s">
        <v>56</v>
      </c>
      <c r="BX5" t="str">
        <f>HYPERLINK(".\links\PREV-RHOD-CDS\TI_asb-8-PREV-RHOD-CDS.txt","Contig17896_130")</f>
        <v>Contig17896_130</v>
      </c>
      <c r="BY5" s="7">
        <v>2.9999999999999999E-81</v>
      </c>
      <c r="BZ5" t="s">
        <v>116</v>
      </c>
      <c r="CA5">
        <v>301</v>
      </c>
      <c r="CB5">
        <v>547</v>
      </c>
      <c r="CC5">
        <v>717</v>
      </c>
      <c r="CD5">
        <v>81</v>
      </c>
      <c r="CE5">
        <v>76</v>
      </c>
      <c r="CF5">
        <v>99</v>
      </c>
      <c r="CG5">
        <v>0</v>
      </c>
      <c r="CH5">
        <v>159</v>
      </c>
      <c r="CI5">
        <v>28</v>
      </c>
      <c r="CJ5">
        <v>1</v>
      </c>
      <c r="CK5" t="s">
        <v>54</v>
      </c>
      <c r="CL5" t="s">
        <v>118</v>
      </c>
      <c r="CM5">
        <f>HYPERLINK(".\links\GO\TI_asb-8-GO.txt",2E-38)</f>
        <v>1.9999999999999999E-38</v>
      </c>
      <c r="CN5" t="s">
        <v>58</v>
      </c>
      <c r="CO5" t="s">
        <v>58</v>
      </c>
      <c r="CQ5" t="s">
        <v>59</v>
      </c>
      <c r="CR5" s="7">
        <v>2E-35</v>
      </c>
      <c r="CS5" t="s">
        <v>60</v>
      </c>
      <c r="CT5" t="s">
        <v>60</v>
      </c>
      <c r="CV5" t="s">
        <v>61</v>
      </c>
      <c r="CW5" s="7">
        <v>2E-35</v>
      </c>
      <c r="CX5" t="s">
        <v>62</v>
      </c>
      <c r="CY5" t="s">
        <v>58</v>
      </c>
      <c r="DA5" t="s">
        <v>63</v>
      </c>
      <c r="DB5" s="7">
        <v>2E-35</v>
      </c>
      <c r="DC5" t="str">
        <f>HYPERLINK(".\links\CDD\TI_asb-8-CDD.txt","PTPLA")</f>
        <v>PTPLA</v>
      </c>
      <c r="DD5" t="str">
        <f>HYPERLINK("http://www.ncbi.nlm.nih.gov/Structure/cdd/cddsrv.cgi?uid=pfam04387&amp;version=v4.0","1E-056")</f>
        <v>1E-056</v>
      </c>
      <c r="DE5" t="s">
        <v>119</v>
      </c>
      <c r="DF5" t="str">
        <f>HYPERLINK(".\links\PFAM\TI_asb-8-PFAM.txt","PTPLA")</f>
        <v>PTPLA</v>
      </c>
      <c r="DG5" t="str">
        <f>HYPERLINK("http://pfam.sanger.ac.uk/family?acc=PF04387","2E-057")</f>
        <v>2E-057</v>
      </c>
      <c r="DH5" t="str">
        <f>HYPERLINK(".\links\PRK\TI_asb-8-PRK.txt","3-hydroxyacyl-CoA dehydratase subunit of elongase.")</f>
        <v>3-hydroxyacyl-CoA dehydratase subunit of elongase.</v>
      </c>
      <c r="DI5" s="7">
        <v>3.9999999999999998E-38</v>
      </c>
      <c r="DJ5" s="6" t="str">
        <f>HYPERLINK(".\links\KOG\TI_asb-8-KOG.txt","Protein tyrosine phosphatase-like protein PTPLA (contains Pro instead of catalytic Arg)")</f>
        <v>Protein tyrosine phosphatase-like protein PTPLA (contains Pro instead of catalytic Arg)</v>
      </c>
      <c r="DK5" s="6" t="str">
        <f>HYPERLINK("http://www.ncbi.nlm.nih.gov/COG/grace/shokog.cgi?KOG3187","7E-054")</f>
        <v>7E-054</v>
      </c>
      <c r="DL5" s="6" t="s">
        <v>4337</v>
      </c>
      <c r="DM5" s="6" t="str">
        <f>HYPERLINK(".\links\KOG\TI_asb-8-KOG.txt","KOG3187")</f>
        <v>KOG3187</v>
      </c>
      <c r="DN5" t="str">
        <f>HYPERLINK(".\links\SMART\TI_asb-8-SMART.txt","BASIC")</f>
        <v>BASIC</v>
      </c>
      <c r="DO5" t="str">
        <f>HYPERLINK("http://smart.embl-heidelberg.de/smart/do_annotation.pl?DOMAIN=BASIC&amp;BLAST=DUMMY","0.078")</f>
        <v>0.078</v>
      </c>
      <c r="DP5" s="3" t="s">
        <v>56</v>
      </c>
      <c r="ED5" s="3" t="s">
        <v>56</v>
      </c>
    </row>
    <row r="6" spans="1:147">
      <c r="A6" t="str">
        <f>HYPERLINK(".\links\seq\TI_asb-9-seq.txt","TI_asb-9")</f>
        <v>TI_asb-9</v>
      </c>
      <c r="B6">
        <v>9</v>
      </c>
      <c r="C6" t="str">
        <f>HYPERLINK(".\links\tsa\TI_asb-9-tsa.txt","1")</f>
        <v>1</v>
      </c>
      <c r="D6">
        <v>1</v>
      </c>
      <c r="E6">
        <v>685</v>
      </c>
      <c r="G6" t="str">
        <f>HYPERLINK(".\links\qual\TI_asb-9-qual.txt","53")</f>
        <v>53</v>
      </c>
      <c r="H6">
        <v>0</v>
      </c>
      <c r="I6">
        <v>1</v>
      </c>
      <c r="J6">
        <f t="shared" si="0"/>
        <v>1</v>
      </c>
      <c r="K6" s="6">
        <f t="shared" si="1"/>
        <v>-1</v>
      </c>
      <c r="L6" s="6" t="s">
        <v>3876</v>
      </c>
      <c r="M6" s="6" t="s">
        <v>3877</v>
      </c>
      <c r="N6" s="6" t="s">
        <v>3872</v>
      </c>
      <c r="O6" s="7">
        <v>1.9999999999999999E-72</v>
      </c>
      <c r="P6" s="6">
        <v>54.8</v>
      </c>
      <c r="Q6" s="3">
        <v>685</v>
      </c>
      <c r="R6" s="3">
        <v>630</v>
      </c>
      <c r="S6" s="3" t="s">
        <v>3484</v>
      </c>
      <c r="T6" s="3">
        <v>1</v>
      </c>
      <c r="U6" t="str">
        <f>HYPERLINK(".\links\NR-LIGHT\TI_asb-9-NR-LIGHT.txt","4-hydroxyphenylpyruvate dioxygenase")</f>
        <v>4-hydroxyphenylpyruvate dioxygenase</v>
      </c>
      <c r="V6" t="str">
        <f>HYPERLINK("http://www.ncbi.nlm.nih.gov/sutils/blink.cgi?pid=157105932","7E-088")</f>
        <v>7E-088</v>
      </c>
      <c r="W6" t="str">
        <f>HYPERLINK(".\links\NR-LIGHT\TI_asb-9-NR-LIGHT.txt"," 10")</f>
        <v xml:space="preserve"> 10</v>
      </c>
      <c r="X6" t="str">
        <f>HYPERLINK("http://www.ncbi.nlm.nih.gov/protein/157105932","gi|157105932")</f>
        <v>gi|157105932</v>
      </c>
      <c r="Y6">
        <v>325</v>
      </c>
      <c r="Z6">
        <v>209</v>
      </c>
      <c r="AA6">
        <v>381</v>
      </c>
      <c r="AB6">
        <v>73</v>
      </c>
      <c r="AC6">
        <v>55</v>
      </c>
      <c r="AD6">
        <v>56</v>
      </c>
      <c r="AE6">
        <v>0</v>
      </c>
      <c r="AF6">
        <v>1</v>
      </c>
      <c r="AG6">
        <v>58</v>
      </c>
      <c r="AH6">
        <v>1</v>
      </c>
      <c r="AI6">
        <v>1</v>
      </c>
      <c r="AJ6" t="s">
        <v>53</v>
      </c>
      <c r="AK6" t="s">
        <v>54</v>
      </c>
      <c r="AL6" s="6" t="s">
        <v>120</v>
      </c>
      <c r="AM6" t="str">
        <f>HYPERLINK(".\links\SWISSP\TI_asb-9-SWISSP.txt","4-hydroxyphenylpyruvate dioxygenase OS=Rattus norvegicus GN=Hpd PE=1 SV=3")</f>
        <v>4-hydroxyphenylpyruvate dioxygenase OS=Rattus norvegicus GN=Hpd PE=1 SV=3</v>
      </c>
      <c r="AN6" s="19" t="str">
        <f>HYPERLINK("http://www.uniprot.org/uniprot/P32755","3E-070")</f>
        <v>3E-070</v>
      </c>
      <c r="AO6" t="str">
        <f>HYPERLINK(".\links\SWISSP\TI_asb-9-SWISSP.txt"," 10")</f>
        <v xml:space="preserve"> 10</v>
      </c>
      <c r="AP6" t="s">
        <v>121</v>
      </c>
      <c r="AQ6">
        <v>265</v>
      </c>
      <c r="AR6">
        <v>209</v>
      </c>
      <c r="AS6">
        <v>393</v>
      </c>
      <c r="AT6">
        <v>59</v>
      </c>
      <c r="AU6">
        <v>53</v>
      </c>
      <c r="AV6">
        <v>85</v>
      </c>
      <c r="AW6">
        <v>0</v>
      </c>
      <c r="AX6">
        <v>1</v>
      </c>
      <c r="AY6">
        <v>58</v>
      </c>
      <c r="AZ6">
        <v>1</v>
      </c>
      <c r="BA6">
        <v>1</v>
      </c>
      <c r="BB6" t="s">
        <v>53</v>
      </c>
      <c r="BC6" t="s">
        <v>54</v>
      </c>
      <c r="BD6" t="s">
        <v>122</v>
      </c>
      <c r="BE6" t="s">
        <v>123</v>
      </c>
      <c r="BF6" t="s">
        <v>124</v>
      </c>
      <c r="BG6" t="str">
        <f>HYPERLINK(".\links\PREV-RHOD-PEP\TI_asb-9-PREV-RHOD-PEP.txt","Contig18037_18")</f>
        <v>Contig18037_18</v>
      </c>
      <c r="BH6" s="7">
        <v>5.0000000000000002E-85</v>
      </c>
      <c r="BI6" t="str">
        <f>HYPERLINK(".\links\PREV-RHOD-PEP\TI_asb-9-PREV-RHOD-PEP.txt"," 5")</f>
        <v xml:space="preserve"> 5</v>
      </c>
      <c r="BJ6" t="s">
        <v>125</v>
      </c>
      <c r="BK6">
        <v>310</v>
      </c>
      <c r="BL6">
        <v>208</v>
      </c>
      <c r="BM6">
        <v>440</v>
      </c>
      <c r="BN6">
        <v>74</v>
      </c>
      <c r="BO6">
        <v>47</v>
      </c>
      <c r="BP6">
        <v>54</v>
      </c>
      <c r="BQ6">
        <v>0</v>
      </c>
      <c r="BR6">
        <v>175</v>
      </c>
      <c r="BS6">
        <v>61</v>
      </c>
      <c r="BT6">
        <v>1</v>
      </c>
      <c r="BU6" t="s">
        <v>54</v>
      </c>
      <c r="BV6" t="s">
        <v>126</v>
      </c>
      <c r="BW6" t="s">
        <v>56</v>
      </c>
      <c r="BX6" t="str">
        <f>HYPERLINK(".\links\PREV-RHOD-CDS\TI_asb-9-PREV-RHOD-CDS.txt","Contig18037_18")</f>
        <v>Contig18037_18</v>
      </c>
      <c r="BY6" s="7">
        <v>9.9999999999999991E-97</v>
      </c>
      <c r="BZ6" t="s">
        <v>125</v>
      </c>
      <c r="CA6">
        <v>353</v>
      </c>
      <c r="CB6">
        <v>486</v>
      </c>
      <c r="CC6">
        <v>1323</v>
      </c>
      <c r="CD6">
        <v>85</v>
      </c>
      <c r="CE6">
        <v>37</v>
      </c>
      <c r="CF6">
        <v>63</v>
      </c>
      <c r="CG6">
        <v>0</v>
      </c>
      <c r="CH6">
        <v>556</v>
      </c>
      <c r="CI6">
        <v>94</v>
      </c>
      <c r="CJ6">
        <v>2</v>
      </c>
      <c r="CK6" t="s">
        <v>54</v>
      </c>
      <c r="CL6" t="s">
        <v>127</v>
      </c>
      <c r="CM6">
        <f>HYPERLINK(".\links\GO\TI_asb-9-GO.txt",2E-77)</f>
        <v>1.9999999999999999E-77</v>
      </c>
      <c r="CN6" t="s">
        <v>128</v>
      </c>
      <c r="CO6" t="s">
        <v>129</v>
      </c>
      <c r="CP6" t="s">
        <v>130</v>
      </c>
      <c r="CQ6" t="s">
        <v>131</v>
      </c>
      <c r="CR6" s="7">
        <v>7.9999999999999993E-71</v>
      </c>
      <c r="CS6" t="s">
        <v>132</v>
      </c>
      <c r="CT6" t="s">
        <v>75</v>
      </c>
      <c r="CU6" t="s">
        <v>76</v>
      </c>
      <c r="CV6" t="s">
        <v>133</v>
      </c>
      <c r="CW6" s="7">
        <v>7.9999999999999993E-71</v>
      </c>
      <c r="CX6" t="s">
        <v>134</v>
      </c>
      <c r="CY6" t="s">
        <v>129</v>
      </c>
      <c r="CZ6" t="s">
        <v>130</v>
      </c>
      <c r="DA6" t="s">
        <v>135</v>
      </c>
      <c r="DB6" s="7">
        <v>7.9999999999999993E-71</v>
      </c>
      <c r="DC6" t="str">
        <f>HYPERLINK(".\links\CDD\TI_asb-9-CDD.txt","4HPPD")</f>
        <v>4HPPD</v>
      </c>
      <c r="DD6" t="str">
        <f>HYPERLINK("http://www.ncbi.nlm.nih.gov/Structure/cdd/cddsrv.cgi?uid=TIGR01263&amp;version=v4.0","2E-058")</f>
        <v>2E-058</v>
      </c>
      <c r="DE6" t="s">
        <v>136</v>
      </c>
      <c r="DF6" t="str">
        <f>HYPERLINK(".\links\PFAM\TI_asb-9-PFAM.txt","Glyoxalase")</f>
        <v>Glyoxalase</v>
      </c>
      <c r="DG6" t="str">
        <f>HYPERLINK("http://pfam.sanger.ac.uk/family?acc=PF00903","5E-007")</f>
        <v>5E-007</v>
      </c>
      <c r="DH6" t="str">
        <f>HYPERLINK(".\links\PRK\TI_asb-9-PRK.txt","4-hydroxyphenylpyruvate dioxygenase.")</f>
        <v>4-hydroxyphenylpyruvate dioxygenase.</v>
      </c>
      <c r="DI6" s="7">
        <v>2E-16</v>
      </c>
      <c r="DJ6" s="6" t="str">
        <f>HYPERLINK(".\links\KOG\TI_asb-9-KOG.txt","4-hydroxyphenylpyruvate dioxygenase")</f>
        <v>4-hydroxyphenylpyruvate dioxygenase</v>
      </c>
      <c r="DK6" s="6" t="str">
        <f>HYPERLINK("http://www.ncbi.nlm.nih.gov/COG/grace/shokog.cgi?KOG0638","2E-072")</f>
        <v>2E-072</v>
      </c>
      <c r="DL6" s="6" t="s">
        <v>4338</v>
      </c>
      <c r="DM6" s="6" t="str">
        <f>HYPERLINK(".\links\KOG\TI_asb-9-KOG.txt","KOG0638")</f>
        <v>KOG0638</v>
      </c>
      <c r="DN6" t="s">
        <v>56</v>
      </c>
      <c r="DO6" t="s">
        <v>56</v>
      </c>
      <c r="DP6" s="3" t="s">
        <v>56</v>
      </c>
      <c r="ED6" s="3" t="s">
        <v>56</v>
      </c>
    </row>
    <row r="7" spans="1:147">
      <c r="A7" t="str">
        <f>HYPERLINK(".\links\seq\TI_asb-10-seq.txt","TI_asb-10")</f>
        <v>TI_asb-10</v>
      </c>
      <c r="B7">
        <v>10</v>
      </c>
      <c r="C7" t="str">
        <f>HYPERLINK(".\links\tsa\TI_asb-10-tsa.txt","1")</f>
        <v>1</v>
      </c>
      <c r="D7">
        <v>1</v>
      </c>
      <c r="E7">
        <v>211</v>
      </c>
      <c r="G7" t="str">
        <f>HYPERLINK(".\links\qual\TI_asb-10-qual.txt","16")</f>
        <v>16</v>
      </c>
      <c r="H7">
        <v>1</v>
      </c>
      <c r="I7">
        <v>0</v>
      </c>
      <c r="J7">
        <f t="shared" si="0"/>
        <v>1</v>
      </c>
      <c r="K7" s="6">
        <f t="shared" si="1"/>
        <v>1</v>
      </c>
      <c r="L7" s="6" t="s">
        <v>3868</v>
      </c>
      <c r="M7" s="6" t="s">
        <v>3869</v>
      </c>
      <c r="N7" s="6"/>
      <c r="O7" s="6"/>
      <c r="P7" s="6"/>
      <c r="Q7" s="3">
        <v>211</v>
      </c>
      <c r="R7" s="3">
        <v>141</v>
      </c>
      <c r="S7" s="3" t="s">
        <v>3485</v>
      </c>
      <c r="T7" s="3">
        <v>6</v>
      </c>
      <c r="U7" t="str">
        <f>HYPERLINK(".\links\NR-LIGHT\TI_asb-10-NR-LIGHT.txt","nonstructural protein precursor")</f>
        <v>nonstructural protein precursor</v>
      </c>
      <c r="V7" t="str">
        <f>HYPERLINK("http://www.ncbi.nlm.nih.gov/sutils/blink.cgi?pid=20451029","2E-007")</f>
        <v>2E-007</v>
      </c>
      <c r="W7" t="str">
        <f>HYPERLINK(".\links\NR-LIGHT\TI_asb-10-NR-LIGHT.txt"," 1")</f>
        <v xml:space="preserve"> 1</v>
      </c>
      <c r="X7" t="str">
        <f>HYPERLINK("http://www.ncbi.nlm.nih.gov/protein/20451029","gi|20451029")</f>
        <v>gi|20451029</v>
      </c>
      <c r="Y7">
        <v>56.6</v>
      </c>
      <c r="Z7">
        <v>29</v>
      </c>
      <c r="AA7">
        <v>1795</v>
      </c>
      <c r="AB7">
        <v>86</v>
      </c>
      <c r="AC7">
        <v>2</v>
      </c>
      <c r="AD7">
        <v>4</v>
      </c>
      <c r="AE7">
        <v>0</v>
      </c>
      <c r="AF7">
        <v>973</v>
      </c>
      <c r="AG7">
        <v>1</v>
      </c>
      <c r="AH7">
        <v>1</v>
      </c>
      <c r="AI7">
        <v>1</v>
      </c>
      <c r="AJ7" t="s">
        <v>53</v>
      </c>
      <c r="AK7" t="s">
        <v>54</v>
      </c>
      <c r="AL7" s="6" t="s">
        <v>137</v>
      </c>
      <c r="AM7" t="s">
        <v>56</v>
      </c>
      <c r="AN7" s="19" t="s">
        <v>56</v>
      </c>
      <c r="AO7" t="s">
        <v>56</v>
      </c>
      <c r="AP7" t="s">
        <v>56</v>
      </c>
      <c r="AQ7" t="s">
        <v>56</v>
      </c>
      <c r="AR7" t="s">
        <v>56</v>
      </c>
      <c r="AS7" t="s">
        <v>56</v>
      </c>
      <c r="AT7" t="s">
        <v>56</v>
      </c>
      <c r="AU7" t="s">
        <v>56</v>
      </c>
      <c r="AV7" t="s">
        <v>56</v>
      </c>
      <c r="AW7" t="s">
        <v>56</v>
      </c>
      <c r="AX7" t="s">
        <v>56</v>
      </c>
      <c r="AY7" t="s">
        <v>56</v>
      </c>
      <c r="AZ7" t="s">
        <v>56</v>
      </c>
      <c r="BA7" t="s">
        <v>56</v>
      </c>
      <c r="BB7" t="s">
        <v>56</v>
      </c>
      <c r="BC7" t="s">
        <v>56</v>
      </c>
      <c r="BD7" t="s">
        <v>56</v>
      </c>
      <c r="BE7" t="s">
        <v>56</v>
      </c>
      <c r="BF7" t="s">
        <v>56</v>
      </c>
      <c r="BG7" t="str">
        <f>HYPERLINK(".\links\PREV-RHOD-PEP\TI_asb-10-PREV-RHOD-PEP.txt","Contig4260_3")</f>
        <v>Contig4260_3</v>
      </c>
      <c r="BH7" s="6">
        <v>6.4</v>
      </c>
      <c r="BI7" t="str">
        <f>HYPERLINK(".\links\PREV-RHOD-PEP\TI_asb-10-PREV-RHOD-PEP.txt"," 1")</f>
        <v xml:space="preserve"> 1</v>
      </c>
      <c r="BJ7" t="s">
        <v>138</v>
      </c>
      <c r="BK7">
        <v>25.8</v>
      </c>
      <c r="BL7">
        <v>33</v>
      </c>
      <c r="BM7">
        <v>276</v>
      </c>
      <c r="BN7">
        <v>33</v>
      </c>
      <c r="BO7">
        <v>12</v>
      </c>
      <c r="BP7">
        <v>22</v>
      </c>
      <c r="BQ7">
        <v>0</v>
      </c>
      <c r="BR7">
        <v>154</v>
      </c>
      <c r="BS7">
        <v>3</v>
      </c>
      <c r="BT7">
        <v>1</v>
      </c>
      <c r="BU7" t="s">
        <v>64</v>
      </c>
      <c r="BV7" t="s">
        <v>139</v>
      </c>
      <c r="BW7" t="s">
        <v>56</v>
      </c>
      <c r="BX7" t="str">
        <f>HYPERLINK(".\links\PREV-RHOD-CDS\TI_asb-10-PREV-RHOD-CDS.txt","Contig17970_291")</f>
        <v>Contig17970_291</v>
      </c>
      <c r="BY7" s="6">
        <v>9.9000000000000005E-2</v>
      </c>
      <c r="BZ7" t="s">
        <v>140</v>
      </c>
      <c r="CA7">
        <v>36.200000000000003</v>
      </c>
      <c r="CB7">
        <v>17</v>
      </c>
      <c r="CC7">
        <v>771</v>
      </c>
      <c r="CD7">
        <v>100</v>
      </c>
      <c r="CE7">
        <v>2</v>
      </c>
      <c r="CF7">
        <v>0</v>
      </c>
      <c r="CG7">
        <v>0</v>
      </c>
      <c r="CH7">
        <v>122</v>
      </c>
      <c r="CI7">
        <v>59</v>
      </c>
      <c r="CJ7">
        <v>1</v>
      </c>
      <c r="CK7" t="s">
        <v>64</v>
      </c>
      <c r="CL7" t="s">
        <v>56</v>
      </c>
      <c r="CM7" t="s">
        <v>56</v>
      </c>
      <c r="CN7" t="s">
        <v>56</v>
      </c>
      <c r="CO7" t="s">
        <v>56</v>
      </c>
      <c r="CP7" t="s">
        <v>56</v>
      </c>
      <c r="CQ7" t="s">
        <v>56</v>
      </c>
      <c r="CR7" s="6" t="s">
        <v>56</v>
      </c>
      <c r="CS7" t="s">
        <v>56</v>
      </c>
      <c r="CT7" t="s">
        <v>56</v>
      </c>
      <c r="CU7" t="s">
        <v>56</v>
      </c>
      <c r="CV7" t="s">
        <v>56</v>
      </c>
      <c r="CW7" s="6" t="s">
        <v>56</v>
      </c>
      <c r="CX7" t="s">
        <v>56</v>
      </c>
      <c r="CY7" t="s">
        <v>56</v>
      </c>
      <c r="CZ7" t="s">
        <v>56</v>
      </c>
      <c r="DA7" t="s">
        <v>56</v>
      </c>
      <c r="DB7" s="6" t="s">
        <v>56</v>
      </c>
      <c r="DC7" t="s">
        <v>56</v>
      </c>
      <c r="DD7" t="s">
        <v>56</v>
      </c>
      <c r="DE7" t="s">
        <v>56</v>
      </c>
      <c r="DF7" t="s">
        <v>56</v>
      </c>
      <c r="DG7" t="s">
        <v>56</v>
      </c>
      <c r="DH7" t="s">
        <v>56</v>
      </c>
      <c r="DI7" s="6" t="s">
        <v>56</v>
      </c>
      <c r="DJ7" s="6" t="s">
        <v>56</v>
      </c>
      <c r="DN7" t="str">
        <f>HYPERLINK(".\links\SMART\TI_asb-10-SMART.txt","B41")</f>
        <v>B41</v>
      </c>
      <c r="DO7" t="str">
        <f>HYPERLINK("http://smart.embl-heidelberg.de/smart/do_annotation.pl?DOMAIN=B41&amp;BLAST=DUMMY","0.080")</f>
        <v>0.080</v>
      </c>
      <c r="DP7" s="3" t="s">
        <v>56</v>
      </c>
      <c r="ED7" s="3" t="s">
        <v>56</v>
      </c>
    </row>
    <row r="8" spans="1:147">
      <c r="A8" t="str">
        <f>HYPERLINK(".\links\seq\TI_asb-11-seq.txt","TI_asb-11")</f>
        <v>TI_asb-11</v>
      </c>
      <c r="B8">
        <v>11</v>
      </c>
      <c r="C8" t="str">
        <f>HYPERLINK(".\links\tsa\TI_asb-11-tsa.txt","1")</f>
        <v>1</v>
      </c>
      <c r="D8">
        <v>1</v>
      </c>
      <c r="E8">
        <v>701</v>
      </c>
      <c r="G8" t="str">
        <f>HYPERLINK(".\links\qual\TI_asb-11-qual.txt","41")</f>
        <v>41</v>
      </c>
      <c r="H8">
        <v>1</v>
      </c>
      <c r="I8">
        <v>0</v>
      </c>
      <c r="J8">
        <f t="shared" si="0"/>
        <v>1</v>
      </c>
      <c r="K8" s="6">
        <f t="shared" si="1"/>
        <v>1</v>
      </c>
      <c r="L8" s="6" t="s">
        <v>3878</v>
      </c>
      <c r="M8" s="6" t="s">
        <v>3879</v>
      </c>
      <c r="N8" s="6" t="s">
        <v>3872</v>
      </c>
      <c r="O8" s="7">
        <v>6.9999999999999998E-71</v>
      </c>
      <c r="P8" s="6">
        <v>55.7</v>
      </c>
      <c r="Q8" s="3">
        <v>701</v>
      </c>
      <c r="R8" s="3">
        <v>609</v>
      </c>
      <c r="S8" s="6" t="s">
        <v>3486</v>
      </c>
      <c r="T8" s="3">
        <v>3</v>
      </c>
      <c r="U8" t="str">
        <f>HYPERLINK(".\links\NR-LIGHT\TI_asb-11-NR-LIGHT.txt","Discs large 1 tumor suppressor protein, putative")</f>
        <v>Discs large 1 tumor suppressor protein, putative</v>
      </c>
      <c r="V8" t="str">
        <f>HYPERLINK("http://www.ncbi.nlm.nih.gov/sutils/blink.cgi?pid=242023647","1E-100")</f>
        <v>1E-100</v>
      </c>
      <c r="W8" t="str">
        <f>HYPERLINK(".\links\NR-LIGHT\TI_asb-11-NR-LIGHT.txt"," 10")</f>
        <v xml:space="preserve"> 10</v>
      </c>
      <c r="X8" t="str">
        <f>HYPERLINK("http://www.ncbi.nlm.nih.gov/protein/242023647","gi|242023647")</f>
        <v>gi|242023647</v>
      </c>
      <c r="Y8">
        <v>365</v>
      </c>
      <c r="Z8">
        <v>203</v>
      </c>
      <c r="AA8">
        <v>473</v>
      </c>
      <c r="AB8">
        <v>86</v>
      </c>
      <c r="AC8">
        <v>43</v>
      </c>
      <c r="AD8">
        <v>27</v>
      </c>
      <c r="AE8">
        <v>0</v>
      </c>
      <c r="AF8">
        <v>271</v>
      </c>
      <c r="AG8">
        <v>3</v>
      </c>
      <c r="AH8">
        <v>1</v>
      </c>
      <c r="AI8">
        <v>3</v>
      </c>
      <c r="AJ8" t="s">
        <v>53</v>
      </c>
      <c r="AK8" t="s">
        <v>54</v>
      </c>
      <c r="AL8" s="6" t="s">
        <v>141</v>
      </c>
      <c r="AM8" t="str">
        <f>HYPERLINK(".\links\SWISSP\TI_asb-11-SWISSP.txt","Disks large 1 tumor suppressor protein OS=Drosophila melanogaster GN=dlg1 PE=1")</f>
        <v>Disks large 1 tumor suppressor protein OS=Drosophila melanogaster GN=dlg1 PE=1</v>
      </c>
      <c r="AN8" s="19" t="str">
        <f>HYPERLINK("http://www.uniprot.org/uniprot/P31007","5E-097")</f>
        <v>5E-097</v>
      </c>
      <c r="AO8" t="str">
        <f>HYPERLINK(".\links\SWISSP\TI_asb-11-SWISSP.txt"," 10")</f>
        <v xml:space="preserve"> 10</v>
      </c>
      <c r="AP8" t="s">
        <v>142</v>
      </c>
      <c r="AQ8">
        <v>353</v>
      </c>
      <c r="AR8">
        <v>203</v>
      </c>
      <c r="AS8">
        <v>970</v>
      </c>
      <c r="AT8">
        <v>83</v>
      </c>
      <c r="AU8">
        <v>21</v>
      </c>
      <c r="AV8">
        <v>34</v>
      </c>
      <c r="AW8">
        <v>0</v>
      </c>
      <c r="AX8">
        <v>768</v>
      </c>
      <c r="AY8">
        <v>3</v>
      </c>
      <c r="AZ8">
        <v>1</v>
      </c>
      <c r="BA8">
        <v>3</v>
      </c>
      <c r="BB8" t="s">
        <v>53</v>
      </c>
      <c r="BC8" t="s">
        <v>54</v>
      </c>
      <c r="BD8" t="s">
        <v>143</v>
      </c>
      <c r="BE8" t="s">
        <v>144</v>
      </c>
      <c r="BF8" t="s">
        <v>145</v>
      </c>
      <c r="BG8" t="str">
        <f>HYPERLINK(".\links\PREV-RHOD-PEP\TI_asb-11-PREV-RHOD-PEP.txt","Contig17160_2")</f>
        <v>Contig17160_2</v>
      </c>
      <c r="BH8" s="7">
        <v>5.9999999999999998E-35</v>
      </c>
      <c r="BI8" t="str">
        <f>HYPERLINK(".\links\PREV-RHOD-PEP\TI_asb-11-PREV-RHOD-PEP.txt"," 10")</f>
        <v xml:space="preserve"> 10</v>
      </c>
      <c r="BJ8" t="s">
        <v>146</v>
      </c>
      <c r="BK8">
        <v>143</v>
      </c>
      <c r="BL8">
        <v>71</v>
      </c>
      <c r="BM8">
        <v>71</v>
      </c>
      <c r="BN8">
        <v>100</v>
      </c>
      <c r="BO8">
        <v>100</v>
      </c>
      <c r="BP8">
        <v>0</v>
      </c>
      <c r="BQ8">
        <v>0</v>
      </c>
      <c r="BR8">
        <v>1</v>
      </c>
      <c r="BS8">
        <v>204</v>
      </c>
      <c r="BT8">
        <v>1</v>
      </c>
      <c r="BU8" t="s">
        <v>54</v>
      </c>
      <c r="BV8" t="s">
        <v>147</v>
      </c>
      <c r="BW8" t="s">
        <v>148</v>
      </c>
      <c r="BX8" t="str">
        <f>HYPERLINK(".\links\PREV-RHOD-CDS\TI_asb-11-PREV-RHOD-CDS.txt","Contig17160_2")</f>
        <v>Contig17160_2</v>
      </c>
      <c r="BY8" s="7">
        <v>1.9999999999999999E-48</v>
      </c>
      <c r="BZ8" t="s">
        <v>146</v>
      </c>
      <c r="CA8">
        <v>192</v>
      </c>
      <c r="CB8">
        <v>212</v>
      </c>
      <c r="CC8">
        <v>216</v>
      </c>
      <c r="CD8">
        <v>86</v>
      </c>
      <c r="CE8">
        <v>99</v>
      </c>
      <c r="CF8">
        <v>29</v>
      </c>
      <c r="CG8">
        <v>0</v>
      </c>
      <c r="CH8">
        <v>1</v>
      </c>
      <c r="CI8">
        <v>204</v>
      </c>
      <c r="CJ8">
        <v>1</v>
      </c>
      <c r="CK8" t="s">
        <v>54</v>
      </c>
      <c r="CL8" t="s">
        <v>149</v>
      </c>
      <c r="CM8">
        <f>HYPERLINK(".\links\GO\TI_asb-11-GO.txt",1E-97)</f>
        <v>1E-97</v>
      </c>
      <c r="CN8" t="s">
        <v>150</v>
      </c>
      <c r="CO8" t="s">
        <v>129</v>
      </c>
      <c r="CP8" t="s">
        <v>151</v>
      </c>
      <c r="CQ8" t="s">
        <v>152</v>
      </c>
      <c r="CR8" s="7">
        <v>1E-97</v>
      </c>
      <c r="CS8" t="s">
        <v>153</v>
      </c>
      <c r="CT8" t="s">
        <v>75</v>
      </c>
      <c r="CU8" t="s">
        <v>92</v>
      </c>
      <c r="CV8" t="s">
        <v>154</v>
      </c>
      <c r="CW8" s="7">
        <v>1E-97</v>
      </c>
      <c r="CX8" t="s">
        <v>155</v>
      </c>
      <c r="CY8" t="s">
        <v>129</v>
      </c>
      <c r="CZ8" t="s">
        <v>151</v>
      </c>
      <c r="DA8" t="s">
        <v>156</v>
      </c>
      <c r="DB8" s="7">
        <v>1E-97</v>
      </c>
      <c r="DC8" t="str">
        <f>HYPERLINK(".\links\CDD\TI_asb-11-CDD.txt","GuKc")</f>
        <v>GuKc</v>
      </c>
      <c r="DD8" t="str">
        <f>HYPERLINK("http://www.ncbi.nlm.nih.gov/Structure/cdd/cddsrv.cgi?uid=smart00072&amp;version=v4.0","4E-055")</f>
        <v>4E-055</v>
      </c>
      <c r="DE8" t="s">
        <v>157</v>
      </c>
      <c r="DF8" t="str">
        <f>HYPERLINK(".\links\PFAM\TI_asb-11-PFAM.txt","Guanylate_kin")</f>
        <v>Guanylate_kin</v>
      </c>
      <c r="DG8" t="str">
        <f>HYPERLINK("http://pfam.sanger.ac.uk/family?acc=PF00625","2E-040")</f>
        <v>2E-040</v>
      </c>
      <c r="DH8" t="str">
        <f>HYPERLINK(".\links\PRK\TI_asb-11-PRK.txt","guanylate kinase.")</f>
        <v>guanylate kinase.</v>
      </c>
      <c r="DI8" s="7">
        <v>4.9999999999999999E-29</v>
      </c>
      <c r="DJ8" s="6" t="str">
        <f>HYPERLINK(".\links\KOG\TI_asb-11-KOG.txt","Membrane-associated guanylate kinase MAGUK (contains PDZ, SH3, HOOK and GUK domains)")</f>
        <v>Membrane-associated guanylate kinase MAGUK (contains PDZ, SH3, HOOK and GUK domains)</v>
      </c>
      <c r="DK8" s="6" t="str">
        <f>HYPERLINK("http://www.ncbi.nlm.nih.gov/COG/grace/shokog.cgi?KOG0708","7E-071")</f>
        <v>7E-071</v>
      </c>
      <c r="DL8" s="6" t="s">
        <v>4339</v>
      </c>
      <c r="DM8" s="6" t="str">
        <f>HYPERLINK(".\links\KOG\TI_asb-11-KOG.txt","KOG0708")</f>
        <v>KOG0708</v>
      </c>
      <c r="DN8" t="str">
        <f>HYPERLINK(".\links\SMART\TI_asb-11-SMART.txt","GuKc")</f>
        <v>GuKc</v>
      </c>
      <c r="DO8" t="str">
        <f>HYPERLINK("http://smart.embl-heidelberg.de/smart/do_annotation.pl?DOMAIN=GuKc&amp;BLAST=DUMMY","5E-057")</f>
        <v>5E-057</v>
      </c>
      <c r="DP8" s="3" t="s">
        <v>56</v>
      </c>
      <c r="ED8" s="3" t="s">
        <v>56</v>
      </c>
    </row>
    <row r="9" spans="1:147">
      <c r="A9" t="str">
        <f>HYPERLINK(".\links\seq\TI_asb-12-seq.txt","TI_asb-12")</f>
        <v>TI_asb-12</v>
      </c>
      <c r="B9">
        <v>12</v>
      </c>
      <c r="C9" t="str">
        <f>HYPERLINK(".\links\tsa\TI_asb-12-tsa.txt","1")</f>
        <v>1</v>
      </c>
      <c r="D9">
        <v>1</v>
      </c>
      <c r="E9">
        <v>655</v>
      </c>
      <c r="G9" t="str">
        <f>HYPERLINK(".\links\qual\TI_asb-12-qual.txt","48")</f>
        <v>48</v>
      </c>
      <c r="H9">
        <v>0</v>
      </c>
      <c r="I9">
        <v>1</v>
      </c>
      <c r="J9">
        <f t="shared" si="0"/>
        <v>1</v>
      </c>
      <c r="K9" s="6">
        <f t="shared" si="1"/>
        <v>-1</v>
      </c>
      <c r="L9" s="6" t="s">
        <v>3880</v>
      </c>
      <c r="M9" s="6" t="s">
        <v>3881</v>
      </c>
      <c r="N9" s="6" t="s">
        <v>3864</v>
      </c>
      <c r="O9" s="7">
        <v>2.0000000000000002E-86</v>
      </c>
      <c r="P9" s="6">
        <v>55.1</v>
      </c>
      <c r="Q9" s="3">
        <v>655</v>
      </c>
      <c r="R9" s="3">
        <v>552</v>
      </c>
      <c r="S9" s="3" t="s">
        <v>3487</v>
      </c>
      <c r="T9" s="3">
        <v>2</v>
      </c>
      <c r="U9" t="str">
        <f>HYPERLINK(".\links\NR-LIGHT\TI_asb-12-NR-LIGHT.txt","cathepsin D")</f>
        <v>cathepsin D</v>
      </c>
      <c r="V9" t="str">
        <f>HYPERLINK("http://www.ncbi.nlm.nih.gov/sutils/blink.cgi?pid=301030231","2E-086")</f>
        <v>2E-086</v>
      </c>
      <c r="W9" t="str">
        <f>HYPERLINK(".\links\NR-LIGHT\TI_asb-12-NR-LIGHT.txt"," 10")</f>
        <v xml:space="preserve"> 10</v>
      </c>
      <c r="X9" t="str">
        <f>HYPERLINK("http://www.ncbi.nlm.nih.gov/protein/301030231","gi|301030231")</f>
        <v>gi|301030231</v>
      </c>
      <c r="Y9">
        <v>320</v>
      </c>
      <c r="Z9">
        <v>215</v>
      </c>
      <c r="AA9">
        <v>390</v>
      </c>
      <c r="AB9">
        <v>71</v>
      </c>
      <c r="AC9">
        <v>55</v>
      </c>
      <c r="AD9">
        <v>62</v>
      </c>
      <c r="AE9">
        <v>0</v>
      </c>
      <c r="AF9">
        <v>1</v>
      </c>
      <c r="AG9">
        <v>8</v>
      </c>
      <c r="AH9">
        <v>1</v>
      </c>
      <c r="AI9">
        <v>2</v>
      </c>
      <c r="AJ9" t="s">
        <v>53</v>
      </c>
      <c r="AK9" t="s">
        <v>54</v>
      </c>
      <c r="AL9" s="6" t="s">
        <v>55</v>
      </c>
      <c r="AM9" t="str">
        <f>HYPERLINK(".\links\SWISSP\TI_asb-12-SWISSP.txt","Cathepsin D OS=Gallus gallus GN=CTSD PE=1 SV=1")</f>
        <v>Cathepsin D OS=Gallus gallus GN=CTSD PE=1 SV=1</v>
      </c>
      <c r="AN9" s="19" t="str">
        <f>HYPERLINK("http://www.uniprot.org/uniprot/Q05744","6E-042")</f>
        <v>6E-042</v>
      </c>
      <c r="AO9" t="str">
        <f>HYPERLINK(".\links\SWISSP\TI_asb-12-SWISSP.txt"," 10")</f>
        <v xml:space="preserve"> 10</v>
      </c>
      <c r="AP9" t="s">
        <v>158</v>
      </c>
      <c r="AQ9">
        <v>170</v>
      </c>
      <c r="AR9">
        <v>201</v>
      </c>
      <c r="AS9">
        <v>398</v>
      </c>
      <c r="AT9">
        <v>44</v>
      </c>
      <c r="AU9">
        <v>51</v>
      </c>
      <c r="AV9">
        <v>112</v>
      </c>
      <c r="AW9">
        <v>8</v>
      </c>
      <c r="AX9">
        <v>24</v>
      </c>
      <c r="AY9">
        <v>74</v>
      </c>
      <c r="AZ9">
        <v>1</v>
      </c>
      <c r="BA9">
        <v>2</v>
      </c>
      <c r="BB9" t="s">
        <v>53</v>
      </c>
      <c r="BC9" t="s">
        <v>54</v>
      </c>
      <c r="BD9" t="s">
        <v>159</v>
      </c>
      <c r="BE9" t="s">
        <v>160</v>
      </c>
      <c r="BF9" t="s">
        <v>161</v>
      </c>
      <c r="BG9" t="str">
        <f>HYPERLINK(".\links\PREV-RHOD-PEP\TI_asb-12-PREV-RHOD-PEP.txt","Contig17955_3")</f>
        <v>Contig17955_3</v>
      </c>
      <c r="BH9" s="7">
        <v>3.0000000000000001E-74</v>
      </c>
      <c r="BI9" t="str">
        <f>HYPERLINK(".\links\PREV-RHOD-PEP\TI_asb-12-PREV-RHOD-PEP.txt"," 10")</f>
        <v xml:space="preserve"> 10</v>
      </c>
      <c r="BJ9" t="s">
        <v>162</v>
      </c>
      <c r="BK9">
        <v>273</v>
      </c>
      <c r="BL9">
        <v>195</v>
      </c>
      <c r="BM9">
        <v>371</v>
      </c>
      <c r="BN9">
        <v>67</v>
      </c>
      <c r="BO9">
        <v>53</v>
      </c>
      <c r="BP9">
        <v>64</v>
      </c>
      <c r="BQ9">
        <v>0</v>
      </c>
      <c r="BR9">
        <v>3</v>
      </c>
      <c r="BS9">
        <v>68</v>
      </c>
      <c r="BT9">
        <v>1</v>
      </c>
      <c r="BU9" t="s">
        <v>54</v>
      </c>
      <c r="BV9" t="s">
        <v>163</v>
      </c>
      <c r="BW9" t="s">
        <v>56</v>
      </c>
      <c r="BX9" t="str">
        <f>HYPERLINK(".\links\PREV-RHOD-CDS\TI_asb-12-PREV-RHOD-CDS.txt","Contig17955_3")</f>
        <v>Contig17955_3</v>
      </c>
      <c r="BY9" s="7">
        <v>9.9999999999999998E-13</v>
      </c>
      <c r="BZ9" t="s">
        <v>162</v>
      </c>
      <c r="CA9">
        <v>73.8</v>
      </c>
      <c r="CB9">
        <v>481</v>
      </c>
      <c r="CC9">
        <v>1116</v>
      </c>
      <c r="CD9">
        <v>88</v>
      </c>
      <c r="CE9">
        <v>43</v>
      </c>
      <c r="CF9">
        <v>8</v>
      </c>
      <c r="CG9">
        <v>0</v>
      </c>
      <c r="CH9">
        <v>110</v>
      </c>
      <c r="CI9">
        <v>171</v>
      </c>
      <c r="CJ9">
        <v>3</v>
      </c>
      <c r="CK9" t="s">
        <v>54</v>
      </c>
      <c r="CL9" t="s">
        <v>164</v>
      </c>
      <c r="CM9">
        <f>HYPERLINK(".\links\GO\TI_asb-12-GO.txt",8E-40)</f>
        <v>7.9999999999999994E-40</v>
      </c>
      <c r="CN9" t="s">
        <v>165</v>
      </c>
      <c r="CO9" t="s">
        <v>129</v>
      </c>
      <c r="CP9" t="s">
        <v>166</v>
      </c>
      <c r="CQ9" t="s">
        <v>167</v>
      </c>
      <c r="CR9" s="7">
        <v>9.9999999999999993E-40</v>
      </c>
      <c r="CS9" t="s">
        <v>168</v>
      </c>
      <c r="CT9" t="s">
        <v>75</v>
      </c>
      <c r="CU9" t="s">
        <v>76</v>
      </c>
      <c r="CV9" t="s">
        <v>169</v>
      </c>
      <c r="CW9" s="7">
        <v>9.9999999999999993E-40</v>
      </c>
      <c r="CX9" t="s">
        <v>170</v>
      </c>
      <c r="CY9" t="s">
        <v>129</v>
      </c>
      <c r="CZ9" t="s">
        <v>166</v>
      </c>
      <c r="DA9" t="s">
        <v>171</v>
      </c>
      <c r="DB9" s="7">
        <v>9.9999999999999993E-40</v>
      </c>
      <c r="DC9" t="str">
        <f>HYPERLINK(".\links\CDD\TI_asb-12-CDD.txt","phytepsin")</f>
        <v>phytepsin</v>
      </c>
      <c r="DD9" t="str">
        <f>HYPERLINK("http://www.ncbi.nlm.nih.gov/Structure/cdd/cddsrv.cgi?uid=cd06098&amp;version=v4.0","7E-055")</f>
        <v>7E-055</v>
      </c>
      <c r="DE9" t="s">
        <v>172</v>
      </c>
      <c r="DF9" t="str">
        <f>HYPERLINK(".\links\PFAM\TI_asb-12-PFAM.txt","Asp")</f>
        <v>Asp</v>
      </c>
      <c r="DG9" t="str">
        <f>HYPERLINK("http://pfam.sanger.ac.uk/family?acc=PF00026","4E-052")</f>
        <v>4E-052</v>
      </c>
      <c r="DH9" t="str">
        <f>HYPERLINK(".\links\PRK\TI_asb-12-PRK.txt","aspartyl protease")</f>
        <v>aspartyl protease</v>
      </c>
      <c r="DI9" s="7">
        <v>3.9999999999999998E-38</v>
      </c>
      <c r="DJ9" s="6" t="str">
        <f>HYPERLINK(".\links\KOG\TI_asb-12-KOG.txt","Aspartyl protease")</f>
        <v>Aspartyl protease</v>
      </c>
      <c r="DK9" s="6" t="str">
        <f>HYPERLINK("http://www.ncbi.nlm.nih.gov/COG/grace/shokog.cgi?KOG1339","1E-028")</f>
        <v>1E-028</v>
      </c>
      <c r="DL9" s="6" t="s">
        <v>4340</v>
      </c>
      <c r="DM9" s="6" t="str">
        <f>HYPERLINK(".\links\KOG\TI_asb-12-KOG.txt","KOG1339")</f>
        <v>KOG1339</v>
      </c>
      <c r="DN9" t="s">
        <v>56</v>
      </c>
      <c r="DO9" t="s">
        <v>56</v>
      </c>
      <c r="DP9" s="3" t="s">
        <v>56</v>
      </c>
      <c r="ED9" s="3" t="s">
        <v>56</v>
      </c>
    </row>
    <row r="10" spans="1:147">
      <c r="A10" t="str">
        <f>HYPERLINK(".\links\seq\TI_asb-13-seq.txt","TI_asb-13")</f>
        <v>TI_asb-13</v>
      </c>
      <c r="B10">
        <v>13</v>
      </c>
      <c r="C10" t="str">
        <f>HYPERLINK(".\links\tsa\TI_asb-13-tsa.txt","2")</f>
        <v>2</v>
      </c>
      <c r="D10">
        <v>2</v>
      </c>
      <c r="E10">
        <v>733</v>
      </c>
      <c r="F10">
        <v>559</v>
      </c>
      <c r="G10" t="str">
        <f>HYPERLINK(".\links\qual\TI_asb-13-qual.txt","54")</f>
        <v>54</v>
      </c>
      <c r="H10">
        <v>2</v>
      </c>
      <c r="I10">
        <v>0</v>
      </c>
      <c r="J10">
        <f t="shared" si="0"/>
        <v>2</v>
      </c>
      <c r="K10" s="6">
        <f t="shared" si="1"/>
        <v>2</v>
      </c>
      <c r="L10" s="6" t="s">
        <v>3868</v>
      </c>
      <c r="M10" s="6" t="s">
        <v>3869</v>
      </c>
      <c r="N10" s="6"/>
      <c r="O10" s="6"/>
      <c r="P10" s="6"/>
      <c r="Q10" s="3">
        <v>733</v>
      </c>
      <c r="R10" s="3">
        <v>252</v>
      </c>
      <c r="S10" s="6" t="s">
        <v>3488</v>
      </c>
      <c r="T10" s="3">
        <v>4</v>
      </c>
      <c r="U10" t="s">
        <v>56</v>
      </c>
      <c r="V10" t="s">
        <v>56</v>
      </c>
      <c r="W10" t="s">
        <v>56</v>
      </c>
      <c r="X10" t="s">
        <v>56</v>
      </c>
      <c r="Y10" t="s">
        <v>56</v>
      </c>
      <c r="Z10" t="s">
        <v>56</v>
      </c>
      <c r="AA10" t="s">
        <v>56</v>
      </c>
      <c r="AB10" t="s">
        <v>56</v>
      </c>
      <c r="AC10" t="s">
        <v>56</v>
      </c>
      <c r="AD10" t="s">
        <v>56</v>
      </c>
      <c r="AE10" t="s">
        <v>56</v>
      </c>
      <c r="AF10" t="s">
        <v>56</v>
      </c>
      <c r="AG10" t="s">
        <v>56</v>
      </c>
      <c r="AH10" t="s">
        <v>56</v>
      </c>
      <c r="AI10" t="s">
        <v>56</v>
      </c>
      <c r="AJ10" t="s">
        <v>56</v>
      </c>
      <c r="AK10" t="s">
        <v>56</v>
      </c>
      <c r="AL10" s="6" t="s">
        <v>56</v>
      </c>
      <c r="AM10" t="s">
        <v>56</v>
      </c>
      <c r="AN10" s="19" t="s">
        <v>56</v>
      </c>
      <c r="AO10" t="s">
        <v>56</v>
      </c>
      <c r="AP10" t="s">
        <v>56</v>
      </c>
      <c r="AQ10" t="s">
        <v>56</v>
      </c>
      <c r="AR10" t="s">
        <v>56</v>
      </c>
      <c r="AS10" t="s">
        <v>56</v>
      </c>
      <c r="AT10" t="s">
        <v>56</v>
      </c>
      <c r="AU10" t="s">
        <v>56</v>
      </c>
      <c r="AV10" t="s">
        <v>56</v>
      </c>
      <c r="AW10" t="s">
        <v>56</v>
      </c>
      <c r="AX10" t="s">
        <v>56</v>
      </c>
      <c r="AY10" t="s">
        <v>56</v>
      </c>
      <c r="AZ10" t="s">
        <v>56</v>
      </c>
      <c r="BA10" t="s">
        <v>56</v>
      </c>
      <c r="BB10" t="s">
        <v>56</v>
      </c>
      <c r="BC10" t="s">
        <v>56</v>
      </c>
      <c r="BD10" t="s">
        <v>56</v>
      </c>
      <c r="BE10" t="s">
        <v>56</v>
      </c>
      <c r="BF10" t="s">
        <v>56</v>
      </c>
      <c r="BG10" t="str">
        <f>HYPERLINK(".\links\PREV-RHOD-PEP\TI_asb-13-PREV-RHOD-PEP.txt","Contig17778_8")</f>
        <v>Contig17778_8</v>
      </c>
      <c r="BH10" s="6">
        <v>2.9</v>
      </c>
      <c r="BI10" t="str">
        <f>HYPERLINK(".\links\PREV-RHOD-PEP\TI_asb-13-PREV-RHOD-PEP.txt"," 1")</f>
        <v xml:space="preserve"> 1</v>
      </c>
      <c r="BJ10" t="s">
        <v>173</v>
      </c>
      <c r="BK10">
        <v>28.5</v>
      </c>
      <c r="BL10">
        <v>43</v>
      </c>
      <c r="BM10">
        <v>2838</v>
      </c>
      <c r="BN10">
        <v>32</v>
      </c>
      <c r="BO10">
        <v>2</v>
      </c>
      <c r="BP10">
        <v>29</v>
      </c>
      <c r="BQ10">
        <v>0</v>
      </c>
      <c r="BR10">
        <v>2010</v>
      </c>
      <c r="BS10">
        <v>112</v>
      </c>
      <c r="BT10">
        <v>1</v>
      </c>
      <c r="BU10" t="s">
        <v>54</v>
      </c>
      <c r="BV10" t="s">
        <v>174</v>
      </c>
      <c r="BW10" t="s">
        <v>56</v>
      </c>
      <c r="BX10" t="str">
        <f>HYPERLINK(".\links\PREV-RHOD-CDS\TI_asb-13-PREV-RHOD-CDS.txt","Contig17622_11")</f>
        <v>Contig17622_11</v>
      </c>
      <c r="BY10" s="6">
        <v>9.1999999999999998E-2</v>
      </c>
      <c r="BZ10" t="s">
        <v>175</v>
      </c>
      <c r="CA10">
        <v>38.200000000000003</v>
      </c>
      <c r="CB10">
        <v>18</v>
      </c>
      <c r="CC10">
        <v>1725</v>
      </c>
      <c r="CD10">
        <v>100</v>
      </c>
      <c r="CE10">
        <v>1</v>
      </c>
      <c r="CF10">
        <v>0</v>
      </c>
      <c r="CG10">
        <v>0</v>
      </c>
      <c r="CH10">
        <v>36</v>
      </c>
      <c r="CI10">
        <v>469</v>
      </c>
      <c r="CJ10">
        <v>1</v>
      </c>
      <c r="CK10" t="s">
        <v>54</v>
      </c>
      <c r="CL10" t="s">
        <v>56</v>
      </c>
      <c r="CM10" t="s">
        <v>56</v>
      </c>
      <c r="CN10" t="s">
        <v>56</v>
      </c>
      <c r="CO10" t="s">
        <v>56</v>
      </c>
      <c r="CP10" t="s">
        <v>56</v>
      </c>
      <c r="CQ10" t="s">
        <v>56</v>
      </c>
      <c r="CR10" s="6" t="s">
        <v>56</v>
      </c>
      <c r="CS10" t="s">
        <v>56</v>
      </c>
      <c r="CT10" t="s">
        <v>56</v>
      </c>
      <c r="CU10" t="s">
        <v>56</v>
      </c>
      <c r="CV10" t="s">
        <v>56</v>
      </c>
      <c r="CW10" s="6" t="s">
        <v>56</v>
      </c>
      <c r="CX10" t="s">
        <v>56</v>
      </c>
      <c r="CY10" t="s">
        <v>56</v>
      </c>
      <c r="CZ10" t="s">
        <v>56</v>
      </c>
      <c r="DA10" t="s">
        <v>56</v>
      </c>
      <c r="DB10" s="6" t="s">
        <v>56</v>
      </c>
      <c r="DC10" t="str">
        <f>HYPERLINK(".\links\CDD\TI_asb-13-CDD.txt","ND5")</f>
        <v>ND5</v>
      </c>
      <c r="DD10" t="str">
        <f>HYPERLINK("http://www.ncbi.nlm.nih.gov/Structure/cdd/cddsrv.cgi?uid=MTH00095&amp;version=v4.0","2E-004")</f>
        <v>2E-004</v>
      </c>
      <c r="DE10" t="s">
        <v>176</v>
      </c>
      <c r="DF10" t="str">
        <f>HYPERLINK(".\links\PFAM\TI_asb-13-PFAM.txt","7TM_GPCR_Srsx")</f>
        <v>7TM_GPCR_Srsx</v>
      </c>
      <c r="DG10" t="str">
        <f>HYPERLINK("http://pfam.sanger.ac.uk/family?acc=PF10320","8E-004")</f>
        <v>8E-004</v>
      </c>
      <c r="DH10" t="str">
        <f>HYPERLINK(".\links\PRK\TI_asb-13-PRK.txt","NADH dehydrogenase subunit 6")</f>
        <v>NADH dehydrogenase subunit 6</v>
      </c>
      <c r="DI10" s="7">
        <v>1E-4</v>
      </c>
      <c r="DJ10" s="6" t="s">
        <v>56</v>
      </c>
      <c r="DN10" t="s">
        <v>56</v>
      </c>
      <c r="DO10" t="s">
        <v>56</v>
      </c>
      <c r="DP10" s="3" t="s">
        <v>56</v>
      </c>
      <c r="ED10" s="3" t="s">
        <v>56</v>
      </c>
    </row>
    <row r="11" spans="1:147">
      <c r="A11" t="str">
        <f>HYPERLINK(".\links\seq\TI_asb-14-seq.txt","TI_asb-14")</f>
        <v>TI_asb-14</v>
      </c>
      <c r="B11">
        <v>14</v>
      </c>
      <c r="C11" t="str">
        <f>HYPERLINK(".\links\tsa\TI_asb-14-tsa.txt","2")</f>
        <v>2</v>
      </c>
      <c r="D11">
        <v>2</v>
      </c>
      <c r="E11">
        <v>693</v>
      </c>
      <c r="G11" t="str">
        <f>HYPERLINK(".\links\qual\TI_asb-14-qual.txt","66")</f>
        <v>66</v>
      </c>
      <c r="H11">
        <v>2</v>
      </c>
      <c r="I11">
        <v>0</v>
      </c>
      <c r="J11">
        <f t="shared" si="0"/>
        <v>2</v>
      </c>
      <c r="K11" s="6">
        <f t="shared" si="1"/>
        <v>2</v>
      </c>
      <c r="L11" s="6" t="s">
        <v>3882</v>
      </c>
      <c r="M11" s="6" t="s">
        <v>3883</v>
      </c>
      <c r="N11" s="6" t="s">
        <v>3884</v>
      </c>
      <c r="O11" s="7">
        <v>6.0000000000000001E-28</v>
      </c>
      <c r="P11" s="6">
        <v>33.799999999999997</v>
      </c>
      <c r="Q11" s="3">
        <v>693</v>
      </c>
      <c r="R11" s="3">
        <v>609</v>
      </c>
      <c r="S11" s="3" t="s">
        <v>3489</v>
      </c>
      <c r="T11" s="3">
        <v>1</v>
      </c>
      <c r="U11" t="str">
        <f>HYPERLINK(".\links\NR-LIGHT\TI_asb-14-NR-LIGHT.txt","ACYPI000002")</f>
        <v>ACYPI000002</v>
      </c>
      <c r="V11" t="str">
        <f>HYPERLINK("http://www.ncbi.nlm.nih.gov/sutils/blink.cgi?pid=239791724","6E-035")</f>
        <v>6E-035</v>
      </c>
      <c r="W11" t="str">
        <f>HYPERLINK(".\links\NR-LIGHT\TI_asb-14-NR-LIGHT.txt"," 10")</f>
        <v xml:space="preserve"> 10</v>
      </c>
      <c r="X11" t="str">
        <f>HYPERLINK("http://www.ncbi.nlm.nih.gov/protein/239791724","gi|239791724")</f>
        <v>gi|239791724</v>
      </c>
      <c r="Y11">
        <v>149</v>
      </c>
      <c r="Z11">
        <v>200</v>
      </c>
      <c r="AA11">
        <v>304</v>
      </c>
      <c r="AB11">
        <v>40</v>
      </c>
      <c r="AC11">
        <v>66</v>
      </c>
      <c r="AD11">
        <v>120</v>
      </c>
      <c r="AE11">
        <v>0</v>
      </c>
      <c r="AF11">
        <v>107</v>
      </c>
      <c r="AG11">
        <v>7</v>
      </c>
      <c r="AH11">
        <v>1</v>
      </c>
      <c r="AI11">
        <v>1</v>
      </c>
      <c r="AJ11" t="s">
        <v>53</v>
      </c>
      <c r="AK11" t="s">
        <v>54</v>
      </c>
      <c r="AL11" s="6" t="s">
        <v>177</v>
      </c>
      <c r="AM11" t="str">
        <f>HYPERLINK(".\links\SWISSP\TI_asb-14-SWISSP.txt","Probable maltase L OS=Drosophila melanogaster GN=LvpL PE=2 SV=2")</f>
        <v>Probable maltase L OS=Drosophila melanogaster GN=LvpL PE=2 SV=2</v>
      </c>
      <c r="AN11" s="19" t="str">
        <f>HYPERLINK("http://www.uniprot.org/uniprot/P07192","3E-026")</f>
        <v>3E-026</v>
      </c>
      <c r="AO11" t="str">
        <f>HYPERLINK(".\links\SWISSP\TI_asb-14-SWISSP.txt"," 10")</f>
        <v xml:space="preserve"> 10</v>
      </c>
      <c r="AP11" t="s">
        <v>178</v>
      </c>
      <c r="AQ11">
        <v>118</v>
      </c>
      <c r="AR11">
        <v>199</v>
      </c>
      <c r="AS11">
        <v>574</v>
      </c>
      <c r="AT11">
        <v>34</v>
      </c>
      <c r="AU11">
        <v>35</v>
      </c>
      <c r="AV11">
        <v>131</v>
      </c>
      <c r="AW11">
        <v>0</v>
      </c>
      <c r="AX11">
        <v>380</v>
      </c>
      <c r="AY11">
        <v>1</v>
      </c>
      <c r="AZ11">
        <v>1</v>
      </c>
      <c r="BA11">
        <v>1</v>
      </c>
      <c r="BB11" t="s">
        <v>53</v>
      </c>
      <c r="BC11" t="s">
        <v>54</v>
      </c>
      <c r="BD11" t="s">
        <v>143</v>
      </c>
      <c r="BE11" t="s">
        <v>179</v>
      </c>
      <c r="BF11" t="s">
        <v>180</v>
      </c>
      <c r="BG11" t="str">
        <f>HYPERLINK(".\links\PREV-RHOD-PEP\TI_asb-14-PREV-RHOD-PEP.txt","Contig17590_30")</f>
        <v>Contig17590_30</v>
      </c>
      <c r="BH11" s="7">
        <v>2.0000000000000001E-37</v>
      </c>
      <c r="BI11" t="str">
        <f>HYPERLINK(".\links\PREV-RHOD-PEP\TI_asb-14-PREV-RHOD-PEP.txt"," 10")</f>
        <v xml:space="preserve"> 10</v>
      </c>
      <c r="BJ11" t="s">
        <v>181</v>
      </c>
      <c r="BK11">
        <v>99</v>
      </c>
      <c r="BL11">
        <v>71</v>
      </c>
      <c r="BM11">
        <v>599</v>
      </c>
      <c r="BN11">
        <v>70</v>
      </c>
      <c r="BO11">
        <v>12</v>
      </c>
      <c r="BP11">
        <v>21</v>
      </c>
      <c r="BQ11">
        <v>0</v>
      </c>
      <c r="BR11">
        <v>412</v>
      </c>
      <c r="BS11">
        <v>3</v>
      </c>
      <c r="BT11">
        <v>2</v>
      </c>
      <c r="BU11" t="s">
        <v>54</v>
      </c>
      <c r="BV11" t="s">
        <v>182</v>
      </c>
      <c r="BW11" t="s">
        <v>56</v>
      </c>
      <c r="BX11" t="str">
        <f>HYPERLINK(".\links\PREV-RHOD-CDS\TI_asb-14-PREV-RHOD-CDS.txt","Contig17590_30")</f>
        <v>Contig17590_30</v>
      </c>
      <c r="BY11" s="7">
        <v>2E-70</v>
      </c>
      <c r="BZ11" t="s">
        <v>181</v>
      </c>
      <c r="CA11">
        <v>266</v>
      </c>
      <c r="CB11">
        <v>585</v>
      </c>
      <c r="CC11">
        <v>1842</v>
      </c>
      <c r="CD11">
        <v>80</v>
      </c>
      <c r="CE11">
        <v>32</v>
      </c>
      <c r="CF11">
        <v>114</v>
      </c>
      <c r="CG11">
        <v>7</v>
      </c>
      <c r="CH11">
        <v>1241</v>
      </c>
      <c r="CI11">
        <v>1</v>
      </c>
      <c r="CJ11">
        <v>1</v>
      </c>
      <c r="CK11" t="s">
        <v>54</v>
      </c>
      <c r="CL11" t="s">
        <v>183</v>
      </c>
      <c r="CM11">
        <f>HYPERLINK(".\links\GO\TI_asb-14-GO.txt",6E-28)</f>
        <v>6.0000000000000001E-28</v>
      </c>
      <c r="CN11" t="s">
        <v>184</v>
      </c>
      <c r="CO11" t="s">
        <v>185</v>
      </c>
      <c r="CP11" t="s">
        <v>186</v>
      </c>
      <c r="CQ11" t="s">
        <v>187</v>
      </c>
      <c r="CR11" s="6">
        <v>1.9999999999999999E-11</v>
      </c>
      <c r="CS11" t="s">
        <v>188</v>
      </c>
      <c r="CT11" t="s">
        <v>75</v>
      </c>
      <c r="CU11" t="s">
        <v>76</v>
      </c>
      <c r="CV11" t="s">
        <v>189</v>
      </c>
      <c r="CW11" s="6">
        <v>1.9999999999999999E-11</v>
      </c>
      <c r="CX11" t="s">
        <v>190</v>
      </c>
      <c r="CY11" t="s">
        <v>185</v>
      </c>
      <c r="CZ11" t="s">
        <v>186</v>
      </c>
      <c r="DA11" t="s">
        <v>191</v>
      </c>
      <c r="DB11" s="6">
        <v>1.9999999999999999E-11</v>
      </c>
      <c r="DC11" t="str">
        <f>HYPERLINK(".\links\CDD\TI_asb-14-CDD.txt","trehalose_treC")</f>
        <v>trehalose_treC</v>
      </c>
      <c r="DD11" t="str">
        <f>HYPERLINK("http://www.ncbi.nlm.nih.gov/Structure/cdd/cddsrv.cgi?uid=TIGR02403&amp;version=v4.0","3E-016")</f>
        <v>3E-016</v>
      </c>
      <c r="DE11" t="s">
        <v>192</v>
      </c>
      <c r="DF11" t="str">
        <f>HYPERLINK(".\links\PFAM\TI_asb-14-PFAM.txt","Alpha-amylase_C")</f>
        <v>Alpha-amylase_C</v>
      </c>
      <c r="DG11" t="str">
        <f>HYPERLINK("http://pfam.sanger.ac.uk/family?acc=PF02806","0.015")</f>
        <v>0.015</v>
      </c>
      <c r="DH11" t="str">
        <f>HYPERLINK(".\links\PRK\TI_asb-14-PRK.txt","trehalose-6-phosphate hydrolase")</f>
        <v>trehalose-6-phosphate hydrolase</v>
      </c>
      <c r="DI11" s="7">
        <v>5.0000000000000004E-6</v>
      </c>
      <c r="DJ11" s="6" t="str">
        <f>HYPERLINK(".\links\KOG\TI_asb-14-KOG.txt","Alpha-amylase")</f>
        <v>Alpha-amylase</v>
      </c>
      <c r="DK11" s="6" t="str">
        <f>HYPERLINK("http://www.ncbi.nlm.nih.gov/COG/grace/shokog.cgi?KOG0471","5E-022")</f>
        <v>5E-022</v>
      </c>
      <c r="DL11" s="6" t="s">
        <v>4341</v>
      </c>
      <c r="DM11" s="6" t="str">
        <f>HYPERLINK(".\links\KOG\TI_asb-14-KOG.txt","KOG0471")</f>
        <v>KOG0471</v>
      </c>
      <c r="DN11" t="str">
        <f>HYPERLINK(".\links\SMART\TI_asb-14-SMART.txt","BID_2")</f>
        <v>BID_2</v>
      </c>
      <c r="DO11" t="str">
        <f>HYPERLINK("http://smart.embl-heidelberg.de/smart/do_annotation.pl?DOMAIN=BID_2&amp;BLAST=DUMMY","0.021")</f>
        <v>0.021</v>
      </c>
      <c r="DP11" s="3" t="s">
        <v>56</v>
      </c>
      <c r="ED11" s="3" t="s">
        <v>56</v>
      </c>
    </row>
    <row r="12" spans="1:147">
      <c r="A12" t="str">
        <f>HYPERLINK(".\links\seq\TI_asb-16-seq.txt","TI_asb-16")</f>
        <v>TI_asb-16</v>
      </c>
      <c r="B12">
        <v>16</v>
      </c>
      <c r="C12" t="str">
        <f>HYPERLINK(".\links\tsa\TI_asb-16-tsa.txt","1")</f>
        <v>1</v>
      </c>
      <c r="D12">
        <v>1</v>
      </c>
      <c r="E12">
        <v>537</v>
      </c>
      <c r="F12">
        <v>503</v>
      </c>
      <c r="G12" t="str">
        <f>HYPERLINK(".\links\qual\TI_asb-16-qual.txt","48")</f>
        <v>48</v>
      </c>
      <c r="H12">
        <v>0</v>
      </c>
      <c r="I12">
        <v>1</v>
      </c>
      <c r="J12">
        <f t="shared" si="0"/>
        <v>1</v>
      </c>
      <c r="K12" s="6">
        <f t="shared" si="1"/>
        <v>-1</v>
      </c>
      <c r="L12" s="6" t="s">
        <v>3885</v>
      </c>
      <c r="M12" s="6" t="s">
        <v>3886</v>
      </c>
      <c r="N12" s="6" t="s">
        <v>3864</v>
      </c>
      <c r="O12" s="7">
        <v>3E-28</v>
      </c>
      <c r="P12" s="6">
        <v>81.099999999999994</v>
      </c>
      <c r="Q12" s="3">
        <v>537</v>
      </c>
      <c r="R12" s="3">
        <v>534</v>
      </c>
      <c r="S12" s="6" t="s">
        <v>3490</v>
      </c>
      <c r="T12" s="3">
        <v>1</v>
      </c>
      <c r="U12" t="str">
        <f>HYPERLINK(".\links\NR-LIGHT\TI_asb-16-NR-LIGHT.txt","similar to NBP2b protein, putative")</f>
        <v>similar to NBP2b protein, putative</v>
      </c>
      <c r="V12" t="str">
        <f>HYPERLINK("http://www.ncbi.nlm.nih.gov/sutils/blink.cgi?pid=189237012","3E-028")</f>
        <v>3E-028</v>
      </c>
      <c r="W12" t="str">
        <f>HYPERLINK(".\links\NR-LIGHT\TI_asb-16-NR-LIGHT.txt"," 10")</f>
        <v xml:space="preserve"> 10</v>
      </c>
      <c r="X12" t="str">
        <f>HYPERLINK("http://www.ncbi.nlm.nih.gov/protein/189237012","gi|189237012")</f>
        <v>gi|189237012</v>
      </c>
      <c r="Y12">
        <v>126</v>
      </c>
      <c r="Z12">
        <v>168</v>
      </c>
      <c r="AA12">
        <v>207</v>
      </c>
      <c r="AB12">
        <v>44</v>
      </c>
      <c r="AC12">
        <v>81</v>
      </c>
      <c r="AD12">
        <v>93</v>
      </c>
      <c r="AE12">
        <v>1</v>
      </c>
      <c r="AF12">
        <v>10</v>
      </c>
      <c r="AG12">
        <v>4</v>
      </c>
      <c r="AH12">
        <v>1</v>
      </c>
      <c r="AI12">
        <v>1</v>
      </c>
      <c r="AJ12" t="s">
        <v>53</v>
      </c>
      <c r="AK12" t="s">
        <v>54</v>
      </c>
      <c r="AL12" s="6" t="s">
        <v>79</v>
      </c>
      <c r="AM12" t="str">
        <f>HYPERLINK(".\links\SWISSP\TI_asb-16-SWISSP.txt","Coiled-coil domain-containing protein 43 OS=Gallus gallus GN=CCDC43 PE=2 SV=1")</f>
        <v>Coiled-coil domain-containing protein 43 OS=Gallus gallus GN=CCDC43 PE=2 SV=1</v>
      </c>
      <c r="AN12" s="19" t="str">
        <f>HYPERLINK("http://www.uniprot.org/uniprot/Q5ZK95","2E-014")</f>
        <v>2E-014</v>
      </c>
      <c r="AO12" t="str">
        <f>HYPERLINK(".\links\SWISSP\TI_asb-16-SWISSP.txt"," 10")</f>
        <v xml:space="preserve"> 10</v>
      </c>
      <c r="AP12" t="s">
        <v>194</v>
      </c>
      <c r="AQ12">
        <v>78.599999999999994</v>
      </c>
      <c r="AR12">
        <v>153</v>
      </c>
      <c r="AS12">
        <v>217</v>
      </c>
      <c r="AT12">
        <v>30</v>
      </c>
      <c r="AU12">
        <v>71</v>
      </c>
      <c r="AV12">
        <v>106</v>
      </c>
      <c r="AW12">
        <v>6</v>
      </c>
      <c r="AX12">
        <v>16</v>
      </c>
      <c r="AY12">
        <v>4</v>
      </c>
      <c r="AZ12">
        <v>1</v>
      </c>
      <c r="BA12">
        <v>1</v>
      </c>
      <c r="BB12" t="s">
        <v>53</v>
      </c>
      <c r="BC12" t="s">
        <v>54</v>
      </c>
      <c r="BD12" t="s">
        <v>159</v>
      </c>
      <c r="BE12" t="s">
        <v>195</v>
      </c>
      <c r="BF12" t="s">
        <v>196</v>
      </c>
      <c r="BG12" t="str">
        <f>HYPERLINK(".\links\PREV-RHOD-PEP\TI_asb-16-PREV-RHOD-PEP.txt","Contig15608_3")</f>
        <v>Contig15608_3</v>
      </c>
      <c r="BH12" s="7">
        <v>9.0000000000000002E-64</v>
      </c>
      <c r="BI12" t="str">
        <f>HYPERLINK(".\links\PREV-RHOD-PEP\TI_asb-16-PREV-RHOD-PEP.txt"," 10")</f>
        <v xml:space="preserve"> 10</v>
      </c>
      <c r="BJ12" t="s">
        <v>197</v>
      </c>
      <c r="BK12">
        <v>238</v>
      </c>
      <c r="BL12">
        <v>168</v>
      </c>
      <c r="BM12">
        <v>210</v>
      </c>
      <c r="BN12">
        <v>74</v>
      </c>
      <c r="BO12">
        <v>80</v>
      </c>
      <c r="BP12">
        <v>43</v>
      </c>
      <c r="BQ12">
        <v>0</v>
      </c>
      <c r="BR12">
        <v>10</v>
      </c>
      <c r="BS12">
        <v>1</v>
      </c>
      <c r="BT12">
        <v>1</v>
      </c>
      <c r="BU12" t="s">
        <v>54</v>
      </c>
      <c r="BV12" t="s">
        <v>198</v>
      </c>
      <c r="BW12" t="s">
        <v>56</v>
      </c>
      <c r="BX12" t="str">
        <f>HYPERLINK(".\links\PREV-RHOD-CDS\TI_asb-16-PREV-RHOD-CDS.txt","Contig15608_3")</f>
        <v>Contig15608_3</v>
      </c>
      <c r="BY12" s="7">
        <v>1E-142</v>
      </c>
      <c r="BZ12" t="s">
        <v>197</v>
      </c>
      <c r="CA12">
        <v>505</v>
      </c>
      <c r="CB12">
        <v>478</v>
      </c>
      <c r="CC12">
        <v>633</v>
      </c>
      <c r="CD12">
        <v>88</v>
      </c>
      <c r="CE12">
        <v>76</v>
      </c>
      <c r="CF12">
        <v>56</v>
      </c>
      <c r="CG12">
        <v>0</v>
      </c>
      <c r="CH12">
        <v>51</v>
      </c>
      <c r="CI12">
        <v>24</v>
      </c>
      <c r="CJ12">
        <v>1</v>
      </c>
      <c r="CK12" t="s">
        <v>54</v>
      </c>
      <c r="CL12" t="s">
        <v>199</v>
      </c>
      <c r="CM12">
        <f>HYPERLINK(".\links\GO\TI_asb-16-GO.txt",0.000000000004)</f>
        <v>3.9999999999999999E-12</v>
      </c>
      <c r="CN12" t="s">
        <v>58</v>
      </c>
      <c r="CO12" t="s">
        <v>58</v>
      </c>
      <c r="CQ12" t="s">
        <v>59</v>
      </c>
      <c r="CR12" s="6">
        <v>3.9999999999999999E-12</v>
      </c>
      <c r="CS12" t="s">
        <v>60</v>
      </c>
      <c r="CT12" t="s">
        <v>60</v>
      </c>
      <c r="CV12" t="s">
        <v>61</v>
      </c>
      <c r="CW12" s="6">
        <v>3.9999999999999999E-12</v>
      </c>
      <c r="CX12" t="s">
        <v>62</v>
      </c>
      <c r="CY12" t="s">
        <v>58</v>
      </c>
      <c r="DA12" t="s">
        <v>63</v>
      </c>
      <c r="DB12" s="6">
        <v>3.9999999999999999E-12</v>
      </c>
      <c r="DC12" t="str">
        <f>HYPERLINK(".\links\CDD\TI_asb-16-CDD.txt","ND4")</f>
        <v>ND4</v>
      </c>
      <c r="DD12" t="str">
        <f>HYPERLINK("http://www.ncbi.nlm.nih.gov/Structure/cdd/cddsrv.cgi?uid=MTH00094&amp;version=v4.0","3E-004")</f>
        <v>3E-004</v>
      </c>
      <c r="DE12" t="s">
        <v>200</v>
      </c>
      <c r="DF12" t="str">
        <f>HYPERLINK(".\links\PFAM\TI_asb-16-PFAM.txt","DIE2_ALG10")</f>
        <v>DIE2_ALG10</v>
      </c>
      <c r="DG12" t="str">
        <f>HYPERLINK("http://pfam.sanger.ac.uk/family?acc=PF04922","0.002")</f>
        <v>0.002</v>
      </c>
      <c r="DH12" t="str">
        <f>HYPERLINK(".\links\PRK\TI_asb-16-PRK.txt","NADH dehydrogenase subunit 4")</f>
        <v>NADH dehydrogenase subunit 4</v>
      </c>
      <c r="DI12" s="7">
        <v>3.9999999999999998E-6</v>
      </c>
      <c r="DJ12" s="6" t="str">
        <f>HYPERLINK(".\links\KOG\TI_asb-16-KOG.txt","Alpha-1,2 glucosyltransferase/transcriptional activator")</f>
        <v>Alpha-1,2 glucosyltransferase/transcriptional activator</v>
      </c>
      <c r="DK12" s="6" t="str">
        <f>HYPERLINK("http://www.ncbi.nlm.nih.gov/COG/grace/shokog.cgi?KOG2642","0.002")</f>
        <v>0.002</v>
      </c>
      <c r="DL12" s="6" t="s">
        <v>4335</v>
      </c>
      <c r="DM12" s="6" t="str">
        <f>HYPERLINK(".\links\KOG\TI_asb-16-KOG.txt","KOG2642")</f>
        <v>KOG2642</v>
      </c>
      <c r="DN12" t="str">
        <f>HYPERLINK(".\links\SMART\TI_asb-16-SMART.txt","PSN")</f>
        <v>PSN</v>
      </c>
      <c r="DO12" t="str">
        <f>HYPERLINK("http://smart.embl-heidelberg.de/smart/do_annotation.pl?DOMAIN=PSN&amp;BLAST=DUMMY","0.018")</f>
        <v>0.018</v>
      </c>
      <c r="DP12" s="3" t="s">
        <v>56</v>
      </c>
      <c r="ED12" s="3" t="s">
        <v>56</v>
      </c>
    </row>
    <row r="13" spans="1:147">
      <c r="A13" t="str">
        <f>HYPERLINK(".\links\seq\TI_asb-17-seq.txt","TI_asb-17")</f>
        <v>TI_asb-17</v>
      </c>
      <c r="B13">
        <v>17</v>
      </c>
      <c r="C13" t="str">
        <f>HYPERLINK(".\links\tsa\TI_asb-17-tsa.txt","1")</f>
        <v>1</v>
      </c>
      <c r="D13">
        <v>1</v>
      </c>
      <c r="E13">
        <v>427</v>
      </c>
      <c r="G13" t="str">
        <f>HYPERLINK(".\links\qual\TI_asb-17-qual.txt","26")</f>
        <v>26</v>
      </c>
      <c r="H13">
        <v>0</v>
      </c>
      <c r="I13">
        <v>1</v>
      </c>
      <c r="J13">
        <f t="shared" si="0"/>
        <v>1</v>
      </c>
      <c r="K13" s="6">
        <f t="shared" si="1"/>
        <v>-1</v>
      </c>
      <c r="L13" s="6" t="s">
        <v>3887</v>
      </c>
      <c r="M13" s="6" t="s">
        <v>3877</v>
      </c>
      <c r="N13" s="6" t="s">
        <v>3867</v>
      </c>
      <c r="O13" s="6">
        <v>5E-15</v>
      </c>
      <c r="P13" s="6">
        <v>39.6</v>
      </c>
      <c r="Q13" s="3">
        <v>427</v>
      </c>
      <c r="R13" s="3">
        <v>225</v>
      </c>
      <c r="S13" s="3" t="s">
        <v>3491</v>
      </c>
      <c r="T13" s="3">
        <v>1</v>
      </c>
      <c r="U13" t="str">
        <f>HYPERLINK(".\links\NR-LIGHT\TI_asb-17-NR-LIGHT.txt","Ornithine decarboxylase antizyme, putative")</f>
        <v>Ornithine decarboxylase antizyme, putative</v>
      </c>
      <c r="V13" t="str">
        <f>HYPERLINK("http://www.ncbi.nlm.nih.gov/sutils/blink.cgi?pid=242005331","7E-014")</f>
        <v>7E-014</v>
      </c>
      <c r="W13" t="str">
        <f>HYPERLINK(".\links\NR-LIGHT\TI_asb-17-NR-LIGHT.txt"," 10")</f>
        <v xml:space="preserve"> 10</v>
      </c>
      <c r="X13" t="str">
        <f>HYPERLINK("http://www.ncbi.nlm.nih.gov/protein/242005331","gi|242005331")</f>
        <v>gi|242005331</v>
      </c>
      <c r="Y13">
        <v>78.2</v>
      </c>
      <c r="Z13">
        <v>63</v>
      </c>
      <c r="AA13">
        <v>135</v>
      </c>
      <c r="AB13">
        <v>58</v>
      </c>
      <c r="AC13">
        <v>47</v>
      </c>
      <c r="AD13">
        <v>26</v>
      </c>
      <c r="AE13">
        <v>0</v>
      </c>
      <c r="AF13">
        <v>35</v>
      </c>
      <c r="AG13">
        <v>236</v>
      </c>
      <c r="AH13">
        <v>1</v>
      </c>
      <c r="AI13">
        <v>2</v>
      </c>
      <c r="AJ13" t="s">
        <v>53</v>
      </c>
      <c r="AK13" t="s">
        <v>54</v>
      </c>
      <c r="AL13" s="6" t="s">
        <v>141</v>
      </c>
      <c r="AM13" t="str">
        <f>HYPERLINK(".\links\SWISSP\TI_asb-17-SWISSP.txt","Ornithine decarboxylase antizyme 2 OS=Danio rerio GN=oaz2 PE=2 SV=1")</f>
        <v>Ornithine decarboxylase antizyme 2 OS=Danio rerio GN=oaz2 PE=2 SV=1</v>
      </c>
      <c r="AN13" s="19" t="str">
        <f>HYPERLINK("http://www.uniprot.org/uniprot/Q9YI97","3E-009")</f>
        <v>3E-009</v>
      </c>
      <c r="AO13" t="str">
        <f>HYPERLINK(".\links\SWISSP\TI_asb-17-SWISSP.txt"," 10")</f>
        <v xml:space="preserve"> 10</v>
      </c>
      <c r="AP13" t="s">
        <v>201</v>
      </c>
      <c r="AQ13">
        <v>60.5</v>
      </c>
      <c r="AR13">
        <v>54</v>
      </c>
      <c r="AS13">
        <v>218</v>
      </c>
      <c r="AT13">
        <v>51</v>
      </c>
      <c r="AU13">
        <v>25</v>
      </c>
      <c r="AV13">
        <v>26</v>
      </c>
      <c r="AW13">
        <v>0</v>
      </c>
      <c r="AX13">
        <v>122</v>
      </c>
      <c r="AY13">
        <v>263</v>
      </c>
      <c r="AZ13">
        <v>1</v>
      </c>
      <c r="BA13">
        <v>2</v>
      </c>
      <c r="BB13" t="s">
        <v>53</v>
      </c>
      <c r="BC13" t="s">
        <v>54</v>
      </c>
      <c r="BD13" t="s">
        <v>202</v>
      </c>
      <c r="BE13" t="s">
        <v>203</v>
      </c>
      <c r="BF13" t="s">
        <v>204</v>
      </c>
      <c r="BG13" t="str">
        <f>HYPERLINK(".\links\PREV-RHOD-PEP\TI_asb-17-PREV-RHOD-PEP.txt","Contig17797_82")</f>
        <v>Contig17797_82</v>
      </c>
      <c r="BH13" s="7">
        <v>1.9999999999999998E-21</v>
      </c>
      <c r="BI13" t="str">
        <f>HYPERLINK(".\links\PREV-RHOD-PEP\TI_asb-17-PREV-RHOD-PEP.txt"," 10")</f>
        <v xml:space="preserve"> 10</v>
      </c>
      <c r="BJ13" t="s">
        <v>205</v>
      </c>
      <c r="BK13">
        <v>71.599999999999994</v>
      </c>
      <c r="BL13">
        <v>35</v>
      </c>
      <c r="BM13">
        <v>244</v>
      </c>
      <c r="BN13">
        <v>94</v>
      </c>
      <c r="BO13">
        <v>14</v>
      </c>
      <c r="BP13">
        <v>2</v>
      </c>
      <c r="BQ13">
        <v>0</v>
      </c>
      <c r="BR13">
        <v>188</v>
      </c>
      <c r="BS13">
        <v>169</v>
      </c>
      <c r="BT13">
        <v>2</v>
      </c>
      <c r="BU13" t="s">
        <v>54</v>
      </c>
      <c r="BV13" t="s">
        <v>206</v>
      </c>
      <c r="BW13" t="s">
        <v>56</v>
      </c>
      <c r="BX13" t="str">
        <f>HYPERLINK(".\links\PREV-RHOD-CDS\TI_asb-17-PREV-RHOD-CDS.txt","Contig17797_82")</f>
        <v>Contig17797_82</v>
      </c>
      <c r="BY13" s="7">
        <v>4.0000000000000001E-58</v>
      </c>
      <c r="BZ13" t="s">
        <v>205</v>
      </c>
      <c r="CA13">
        <v>224</v>
      </c>
      <c r="CB13">
        <v>163</v>
      </c>
      <c r="CC13">
        <v>735</v>
      </c>
      <c r="CD13">
        <v>92</v>
      </c>
      <c r="CE13">
        <v>22</v>
      </c>
      <c r="CF13">
        <v>12</v>
      </c>
      <c r="CG13">
        <v>1</v>
      </c>
      <c r="CH13">
        <v>568</v>
      </c>
      <c r="CI13">
        <v>175</v>
      </c>
      <c r="CJ13">
        <v>1</v>
      </c>
      <c r="CK13" t="s">
        <v>54</v>
      </c>
      <c r="CL13" t="s">
        <v>207</v>
      </c>
      <c r="CM13">
        <f>HYPERLINK(".\links\GO\TI_asb-17-GO.txt",0.00000008)</f>
        <v>8.0000000000000002E-8</v>
      </c>
      <c r="CN13" t="s">
        <v>208</v>
      </c>
      <c r="CO13" t="s">
        <v>185</v>
      </c>
      <c r="CP13" t="s">
        <v>186</v>
      </c>
      <c r="CQ13" t="s">
        <v>209</v>
      </c>
      <c r="CR13" s="6">
        <v>1.7000000000000001E-2</v>
      </c>
      <c r="CS13" t="s">
        <v>74</v>
      </c>
      <c r="CT13" t="s">
        <v>75</v>
      </c>
      <c r="CU13" t="s">
        <v>76</v>
      </c>
      <c r="CV13" t="s">
        <v>77</v>
      </c>
      <c r="CW13" s="6">
        <v>1.7000000000000001E-2</v>
      </c>
      <c r="CX13" t="s">
        <v>210</v>
      </c>
      <c r="CY13" t="s">
        <v>185</v>
      </c>
      <c r="CZ13" t="s">
        <v>186</v>
      </c>
      <c r="DA13" t="s">
        <v>211</v>
      </c>
      <c r="DB13" s="6">
        <v>1.7000000000000001E-2</v>
      </c>
      <c r="DC13" t="str">
        <f>HYPERLINK(".\links\CDD\TI_asb-17-CDD.txt","COG5022")</f>
        <v>COG5022</v>
      </c>
      <c r="DD13" t="str">
        <f>HYPERLINK("http://www.ncbi.nlm.nih.gov/Structure/cdd/cddsrv.cgi?uid=COG5022&amp;version=v4.0","0.0")</f>
        <v>0.0</v>
      </c>
      <c r="DE13" t="s">
        <v>212</v>
      </c>
      <c r="DF13" t="str">
        <f>HYPERLINK(".\links\PFAM\TI_asb-17-PFAM.txt","ODC_AZ")</f>
        <v>ODC_AZ</v>
      </c>
      <c r="DG13" t="str">
        <f>HYPERLINK("http://pfam.sanger.ac.uk/family?acc=PF02100","5E-015")</f>
        <v>5E-015</v>
      </c>
      <c r="DH13" t="s">
        <v>56</v>
      </c>
      <c r="DI13" s="6" t="s">
        <v>56</v>
      </c>
      <c r="DJ13" s="6" t="str">
        <f>HYPERLINK(".\links\KOG\TI_asb-17-KOG.txt","Ornithine decarboxylase antizyme")</f>
        <v>Ornithine decarboxylase antizyme</v>
      </c>
      <c r="DK13" s="6" t="str">
        <f>HYPERLINK("http://www.ncbi.nlm.nih.gov/COG/grace/shokog.cgi?KOG4387","1E-011")</f>
        <v>1E-011</v>
      </c>
      <c r="DL13" s="6" t="s">
        <v>4338</v>
      </c>
      <c r="DM13" s="6" t="str">
        <f>HYPERLINK(".\links\KOG\TI_asb-17-KOG.txt","KOG4387")</f>
        <v>KOG4387</v>
      </c>
      <c r="DN13" t="str">
        <f>HYPERLINK(".\links\SMART\TI_asb-17-SMART.txt","PI3Ka")</f>
        <v>PI3Ka</v>
      </c>
      <c r="DO13" t="str">
        <f>HYPERLINK("http://smart.embl-heidelberg.de/smart/do_annotation.pl?DOMAIN=PI3Ka&amp;BLAST=DUMMY","0.015")</f>
        <v>0.015</v>
      </c>
      <c r="DP13" s="3" t="s">
        <v>56</v>
      </c>
      <c r="ED13" s="3" t="s">
        <v>56</v>
      </c>
    </row>
    <row r="14" spans="1:147">
      <c r="A14" t="str">
        <f>HYPERLINK(".\links\seq\TI_asb-18-seq.txt","TI_asb-18")</f>
        <v>TI_asb-18</v>
      </c>
      <c r="B14">
        <v>18</v>
      </c>
      <c r="C14" t="str">
        <f>HYPERLINK(".\links\tsa\TI_asb-18-tsa.txt","1")</f>
        <v>1</v>
      </c>
      <c r="D14">
        <v>1</v>
      </c>
      <c r="E14">
        <v>1047</v>
      </c>
      <c r="F14">
        <v>678</v>
      </c>
      <c r="G14" t="str">
        <f>HYPERLINK(".\links\qual\TI_asb-18-qual.txt","34")</f>
        <v>34</v>
      </c>
      <c r="H14">
        <v>0</v>
      </c>
      <c r="I14">
        <v>1</v>
      </c>
      <c r="J14">
        <f t="shared" si="0"/>
        <v>1</v>
      </c>
      <c r="K14" s="6">
        <f t="shared" si="1"/>
        <v>-1</v>
      </c>
      <c r="L14" s="6" t="s">
        <v>3888</v>
      </c>
      <c r="M14" s="6" t="s">
        <v>3886</v>
      </c>
      <c r="N14" s="6" t="s">
        <v>3872</v>
      </c>
      <c r="O14" s="6">
        <v>0</v>
      </c>
      <c r="P14" s="6">
        <v>1.7</v>
      </c>
      <c r="Q14" s="3">
        <v>1047</v>
      </c>
      <c r="R14" s="3">
        <v>189</v>
      </c>
      <c r="S14" s="3" t="s">
        <v>3492</v>
      </c>
      <c r="T14" s="3">
        <v>5</v>
      </c>
      <c r="U14" t="str">
        <f>HYPERLINK(".\links\NR-LIGHT\TI_asb-18-NR-LIGHT.txt","hypothetical protein DAPPUDRAFT_302186")</f>
        <v>hypothetical protein DAPPUDRAFT_302186</v>
      </c>
      <c r="V14" t="str">
        <f>HYPERLINK("http://www.ncbi.nlm.nih.gov/sutils/blink.cgi?pid=321456035","2.4")</f>
        <v>2.4</v>
      </c>
      <c r="W14" t="str">
        <f>HYPERLINK(".\links\NR-LIGHT\TI_asb-18-NR-LIGHT.txt"," 8")</f>
        <v xml:space="preserve"> 8</v>
      </c>
      <c r="X14" t="str">
        <f>HYPERLINK("http://www.ncbi.nlm.nih.gov/protein/321456035","gi|321456035")</f>
        <v>gi|321456035</v>
      </c>
      <c r="Y14">
        <v>35.799999999999997</v>
      </c>
      <c r="Z14">
        <v>89</v>
      </c>
      <c r="AA14">
        <v>269</v>
      </c>
      <c r="AB14">
        <v>32</v>
      </c>
      <c r="AC14">
        <v>33</v>
      </c>
      <c r="AD14">
        <v>60</v>
      </c>
      <c r="AE14">
        <v>0</v>
      </c>
      <c r="AF14">
        <v>166</v>
      </c>
      <c r="AG14">
        <v>716</v>
      </c>
      <c r="AH14">
        <v>1</v>
      </c>
      <c r="AI14">
        <v>2</v>
      </c>
      <c r="AJ14" t="s">
        <v>53</v>
      </c>
      <c r="AK14" t="s">
        <v>54</v>
      </c>
      <c r="AL14" s="6" t="s">
        <v>193</v>
      </c>
      <c r="AM14" t="str">
        <f>HYPERLINK(".\links\SWISSP\TI_asb-18-SWISSP.txt","Rho GTPase-activating protein 33 OS=Mus musculus GN=Arhgap33 PE=1 SV=1")</f>
        <v>Rho GTPase-activating protein 33 OS=Mus musculus GN=Arhgap33 PE=1 SV=1</v>
      </c>
      <c r="AN14" s="19" t="str">
        <f>HYPERLINK("http://www.uniprot.org/uniprot/Q80YF9","0.89")</f>
        <v>0.89</v>
      </c>
      <c r="AO14" t="str">
        <f>HYPERLINK(".\links\SWISSP\TI_asb-18-SWISSP.txt"," 4")</f>
        <v xml:space="preserve"> 4</v>
      </c>
      <c r="AP14" t="s">
        <v>213</v>
      </c>
      <c r="AQ14">
        <v>35</v>
      </c>
      <c r="AR14">
        <v>47</v>
      </c>
      <c r="AS14">
        <v>1305</v>
      </c>
      <c r="AT14">
        <v>40</v>
      </c>
      <c r="AU14">
        <v>4</v>
      </c>
      <c r="AV14">
        <v>28</v>
      </c>
      <c r="AW14">
        <v>2</v>
      </c>
      <c r="AX14">
        <v>963</v>
      </c>
      <c r="AY14">
        <v>863</v>
      </c>
      <c r="AZ14">
        <v>1</v>
      </c>
      <c r="BA14">
        <v>2</v>
      </c>
      <c r="BB14" t="s">
        <v>53</v>
      </c>
      <c r="BC14" t="s">
        <v>54</v>
      </c>
      <c r="BD14" t="s">
        <v>214</v>
      </c>
      <c r="BE14" t="s">
        <v>215</v>
      </c>
      <c r="BF14" t="s">
        <v>216</v>
      </c>
      <c r="BG14" t="str">
        <f>HYPERLINK(".\links\PREV-RHOD-PEP\TI_asb-18-PREV-RHOD-PEP.txt","Contig17792_100")</f>
        <v>Contig17792_100</v>
      </c>
      <c r="BH14" s="6">
        <v>1.2</v>
      </c>
      <c r="BI14" t="str">
        <f>HYPERLINK(".\links\PREV-RHOD-PEP\TI_asb-18-PREV-RHOD-PEP.txt"," 5")</f>
        <v xml:space="preserve"> 5</v>
      </c>
      <c r="BJ14" t="s">
        <v>217</v>
      </c>
      <c r="BK14">
        <v>30.4</v>
      </c>
      <c r="BL14">
        <v>35</v>
      </c>
      <c r="BM14">
        <v>146</v>
      </c>
      <c r="BN14">
        <v>40</v>
      </c>
      <c r="BO14">
        <v>24</v>
      </c>
      <c r="BP14">
        <v>21</v>
      </c>
      <c r="BQ14">
        <v>0</v>
      </c>
      <c r="BR14">
        <v>46</v>
      </c>
      <c r="BS14">
        <v>821</v>
      </c>
      <c r="BT14">
        <v>1</v>
      </c>
      <c r="BU14" t="s">
        <v>54</v>
      </c>
      <c r="BV14" t="s">
        <v>218</v>
      </c>
      <c r="BW14" t="s">
        <v>56</v>
      </c>
      <c r="BX14" t="str">
        <f>HYPERLINK(".\links\PREV-RHOD-CDS\TI_asb-18-PREV-RHOD-CDS.txt","Contig17931_11")</f>
        <v>Contig17931_11</v>
      </c>
      <c r="BY14" s="6">
        <v>0.52</v>
      </c>
      <c r="BZ14" t="s">
        <v>219</v>
      </c>
      <c r="CA14">
        <v>36.200000000000003</v>
      </c>
      <c r="CB14">
        <v>17</v>
      </c>
      <c r="CC14">
        <v>1212</v>
      </c>
      <c r="CD14">
        <v>100</v>
      </c>
      <c r="CE14">
        <v>1</v>
      </c>
      <c r="CF14">
        <v>0</v>
      </c>
      <c r="CG14">
        <v>0</v>
      </c>
      <c r="CH14">
        <v>193</v>
      </c>
      <c r="CI14">
        <v>383</v>
      </c>
      <c r="CJ14">
        <v>1</v>
      </c>
      <c r="CK14" t="s">
        <v>54</v>
      </c>
      <c r="CL14" t="s">
        <v>220</v>
      </c>
      <c r="CM14">
        <f>HYPERLINK(".\links\GO\TI_asb-18-GO.txt",0.25)</f>
        <v>0.25</v>
      </c>
      <c r="CN14" t="s">
        <v>221</v>
      </c>
      <c r="CO14" t="s">
        <v>185</v>
      </c>
      <c r="CP14" t="s">
        <v>222</v>
      </c>
      <c r="CQ14" t="s">
        <v>223</v>
      </c>
      <c r="CR14" s="6">
        <v>4.7</v>
      </c>
      <c r="CS14" t="s">
        <v>224</v>
      </c>
      <c r="CT14" t="s">
        <v>75</v>
      </c>
      <c r="CU14" t="s">
        <v>76</v>
      </c>
      <c r="CV14" t="s">
        <v>225</v>
      </c>
      <c r="CW14" s="6">
        <v>4.7</v>
      </c>
      <c r="CX14" t="s">
        <v>226</v>
      </c>
      <c r="CY14" t="s">
        <v>185</v>
      </c>
      <c r="CZ14" t="s">
        <v>222</v>
      </c>
      <c r="DA14" t="s">
        <v>227</v>
      </c>
      <c r="DB14" s="6">
        <v>4.7</v>
      </c>
      <c r="DC14" t="str">
        <f>HYPERLINK(".\links\CDD\TI_asb-18-CDD.txt","COG5022")</f>
        <v>COG5022</v>
      </c>
      <c r="DD14" t="str">
        <f>HYPERLINK("http://www.ncbi.nlm.nih.gov/Structure/cdd/cddsrv.cgi?uid=COG5022&amp;version=v4.0","0.0")</f>
        <v>0.0</v>
      </c>
      <c r="DE14" t="s">
        <v>228</v>
      </c>
      <c r="DF14" t="str">
        <f>HYPERLINK(".\links\PFAM\TI_asb-18-PFAM.txt","Cytadhesin_P30")</f>
        <v>Cytadhesin_P30</v>
      </c>
      <c r="DG14" t="str">
        <f>HYPERLINK("http://pfam.sanger.ac.uk/family?acc=PF07271","0.010")</f>
        <v>0.010</v>
      </c>
      <c r="DH14" t="str">
        <f>HYPERLINK(".\links\PRK\TI_asb-18-PRK.txt","NADH dehydrogenase subunit 5")</f>
        <v>NADH dehydrogenase subunit 5</v>
      </c>
      <c r="DI14" s="7">
        <v>4.0000000000000002E-4</v>
      </c>
      <c r="DJ14" s="6" t="str">
        <f>HYPERLINK(".\links\KOG\TI_asb-18-KOG.txt","Nuclear protein, contains WD40 repeats")</f>
        <v>Nuclear protein, contains WD40 repeats</v>
      </c>
      <c r="DK14" s="6" t="str">
        <f>HYPERLINK("http://www.ncbi.nlm.nih.gov/COG/grace/shokog.cgi?KOG1916","0.0")</f>
        <v>0.0</v>
      </c>
      <c r="DL14" s="6" t="s">
        <v>4337</v>
      </c>
      <c r="DM14" s="6" t="str">
        <f>HYPERLINK(".\links\KOG\TI_asb-18-KOG.txt","KOG1916")</f>
        <v>KOG1916</v>
      </c>
      <c r="DN14" t="str">
        <f>HYPERLINK(".\links\SMART\TI_asb-18-SMART.txt","FBG")</f>
        <v>FBG</v>
      </c>
      <c r="DO14" t="str">
        <f>HYPERLINK("http://smart.embl-heidelberg.de/smart/do_annotation.pl?DOMAIN=FBG&amp;BLAST=DUMMY","0.008")</f>
        <v>0.008</v>
      </c>
      <c r="DP14" s="3" t="s">
        <v>56</v>
      </c>
      <c r="ED14" s="3" t="s">
        <v>56</v>
      </c>
    </row>
    <row r="15" spans="1:147">
      <c r="A15" t="str">
        <f>HYPERLINK(".\links\seq\TI_asb-20-seq.txt","TI_asb-20")</f>
        <v>TI_asb-20</v>
      </c>
      <c r="B15">
        <v>20</v>
      </c>
      <c r="C15" t="str">
        <f>HYPERLINK(".\links\tsa\TI_asb-20-tsa.txt","1")</f>
        <v>1</v>
      </c>
      <c r="D15">
        <v>1</v>
      </c>
      <c r="E15">
        <v>777</v>
      </c>
      <c r="F15">
        <v>760</v>
      </c>
      <c r="G15" t="str">
        <f>HYPERLINK(".\links\qual\TI_asb-20-qual.txt","48")</f>
        <v>48</v>
      </c>
      <c r="H15">
        <v>1</v>
      </c>
      <c r="I15">
        <v>0</v>
      </c>
      <c r="J15">
        <f t="shared" si="0"/>
        <v>1</v>
      </c>
      <c r="K15" s="6">
        <f t="shared" si="1"/>
        <v>1</v>
      </c>
      <c r="L15" s="6" t="s">
        <v>3888</v>
      </c>
      <c r="M15" s="6" t="s">
        <v>3886</v>
      </c>
      <c r="N15" s="6" t="s">
        <v>3872</v>
      </c>
      <c r="O15" s="6">
        <v>0</v>
      </c>
      <c r="P15" s="6">
        <v>6.9</v>
      </c>
      <c r="Q15" s="3">
        <v>777</v>
      </c>
      <c r="R15" s="3">
        <v>357</v>
      </c>
      <c r="S15" s="3" t="s">
        <v>3493</v>
      </c>
      <c r="T15" s="3">
        <v>5</v>
      </c>
      <c r="U15" t="str">
        <f>HYPERLINK(".\links\NR-LIGHT\TI_asb-20-NR-LIGHT.txt","DBF4-type zinc finger-containing protein 2-like")</f>
        <v>DBF4-type zinc finger-containing protein 2-like</v>
      </c>
      <c r="V15" t="str">
        <f>HYPERLINK("http://www.ncbi.nlm.nih.gov/sutils/blink.cgi?pid=311272939","7.2")</f>
        <v>7.2</v>
      </c>
      <c r="W15" t="str">
        <f>HYPERLINK(".\links\NR-LIGHT\TI_asb-20-NR-LIGHT.txt"," 2")</f>
        <v xml:space="preserve"> 2</v>
      </c>
      <c r="X15" t="str">
        <f>HYPERLINK("http://www.ncbi.nlm.nih.gov/protein/311272939","gi|311272939")</f>
        <v>gi|311272939</v>
      </c>
      <c r="Y15">
        <v>33.5</v>
      </c>
      <c r="Z15">
        <v>74</v>
      </c>
      <c r="AA15">
        <v>2441</v>
      </c>
      <c r="AB15">
        <v>25</v>
      </c>
      <c r="AC15">
        <v>3</v>
      </c>
      <c r="AD15">
        <v>55</v>
      </c>
      <c r="AE15">
        <v>0</v>
      </c>
      <c r="AF15">
        <v>2188</v>
      </c>
      <c r="AG15">
        <v>452</v>
      </c>
      <c r="AH15">
        <v>1</v>
      </c>
      <c r="AI15">
        <v>-3</v>
      </c>
      <c r="AJ15" t="s">
        <v>53</v>
      </c>
      <c r="AK15" t="s">
        <v>64</v>
      </c>
      <c r="AL15" s="6" t="s">
        <v>229</v>
      </c>
      <c r="AM15" t="str">
        <f>HYPERLINK(".\links\SWISSP\TI_asb-20-SWISSP.txt","Leucyl-tRNA synthetase OS=Chlamydia trachomatis serovar L2b (strain")</f>
        <v>Leucyl-tRNA synthetase OS=Chlamydia trachomatis serovar L2b (strain</v>
      </c>
      <c r="AN15" s="19" t="str">
        <f>HYPERLINK("http://www.uniprot.org/uniprot/B0BBI9","2.8")</f>
        <v>2.8</v>
      </c>
      <c r="AO15" t="str">
        <f>HYPERLINK(".\links\SWISSP\TI_asb-20-SWISSP.txt"," 10")</f>
        <v xml:space="preserve"> 10</v>
      </c>
      <c r="AP15" t="s">
        <v>230</v>
      </c>
      <c r="AQ15">
        <v>32.700000000000003</v>
      </c>
      <c r="AR15">
        <v>59</v>
      </c>
      <c r="AS15">
        <v>819</v>
      </c>
      <c r="AT15">
        <v>25</v>
      </c>
      <c r="AU15">
        <v>7</v>
      </c>
      <c r="AV15">
        <v>44</v>
      </c>
      <c r="AW15">
        <v>0</v>
      </c>
      <c r="AX15">
        <v>7</v>
      </c>
      <c r="AY15">
        <v>427</v>
      </c>
      <c r="AZ15">
        <v>1</v>
      </c>
      <c r="BA15">
        <v>-1</v>
      </c>
      <c r="BB15" t="s">
        <v>53</v>
      </c>
      <c r="BC15" t="s">
        <v>64</v>
      </c>
      <c r="BD15" t="s">
        <v>231</v>
      </c>
      <c r="BE15" t="s">
        <v>232</v>
      </c>
      <c r="BF15" t="s">
        <v>233</v>
      </c>
      <c r="BG15" t="str">
        <f>HYPERLINK(".\links\PREV-RHOD-PEP\TI_asb-20-PREV-RHOD-PEP.txt","Contig17167_7")</f>
        <v>Contig17167_7</v>
      </c>
      <c r="BH15" s="6">
        <v>0.22</v>
      </c>
      <c r="BI15" t="str">
        <f>HYPERLINK(".\links\PREV-RHOD-PEP\TI_asb-20-PREV-RHOD-PEP.txt"," 10")</f>
        <v xml:space="preserve"> 10</v>
      </c>
      <c r="BJ15" t="s">
        <v>234</v>
      </c>
      <c r="BK15">
        <v>32.299999999999997</v>
      </c>
      <c r="BL15">
        <v>47</v>
      </c>
      <c r="BM15">
        <v>1044</v>
      </c>
      <c r="BN15">
        <v>36</v>
      </c>
      <c r="BO15">
        <v>5</v>
      </c>
      <c r="BP15">
        <v>30</v>
      </c>
      <c r="BQ15">
        <v>0</v>
      </c>
      <c r="BR15">
        <v>173</v>
      </c>
      <c r="BS15">
        <v>481</v>
      </c>
      <c r="BT15">
        <v>1</v>
      </c>
      <c r="BU15" t="s">
        <v>64</v>
      </c>
      <c r="BV15" t="s">
        <v>235</v>
      </c>
      <c r="BW15" t="s">
        <v>56</v>
      </c>
      <c r="BX15" t="str">
        <f>HYPERLINK(".\links\PREV-RHOD-CDS\TI_asb-20-PREV-RHOD-CDS.txt","Contig8951_5")</f>
        <v>Contig8951_5</v>
      </c>
      <c r="BY15" s="6">
        <v>0.39</v>
      </c>
      <c r="BZ15" t="s">
        <v>236</v>
      </c>
      <c r="CA15">
        <v>36.200000000000003</v>
      </c>
      <c r="CB15">
        <v>17</v>
      </c>
      <c r="CC15">
        <v>453</v>
      </c>
      <c r="CD15">
        <v>100</v>
      </c>
      <c r="CE15">
        <v>4</v>
      </c>
      <c r="CF15">
        <v>0</v>
      </c>
      <c r="CG15">
        <v>0</v>
      </c>
      <c r="CH15">
        <v>197</v>
      </c>
      <c r="CI15">
        <v>342</v>
      </c>
      <c r="CJ15">
        <v>1</v>
      </c>
      <c r="CK15" t="s">
        <v>64</v>
      </c>
      <c r="CL15" t="s">
        <v>237</v>
      </c>
      <c r="CM15">
        <f>HYPERLINK(".\links\GO\TI_asb-20-GO.txt",1.8)</f>
        <v>1.8</v>
      </c>
      <c r="CN15" t="s">
        <v>238</v>
      </c>
      <c r="CO15" t="s">
        <v>129</v>
      </c>
      <c r="CP15" t="s">
        <v>239</v>
      </c>
      <c r="CQ15" t="s">
        <v>240</v>
      </c>
      <c r="CR15" s="6">
        <v>1.8</v>
      </c>
      <c r="CS15" t="s">
        <v>241</v>
      </c>
      <c r="CT15" t="s">
        <v>75</v>
      </c>
      <c r="CU15" t="s">
        <v>76</v>
      </c>
      <c r="CV15" t="s">
        <v>242</v>
      </c>
      <c r="CW15" s="6">
        <v>1.8</v>
      </c>
      <c r="CX15" t="s">
        <v>243</v>
      </c>
      <c r="CY15" t="s">
        <v>129</v>
      </c>
      <c r="CZ15" t="s">
        <v>239</v>
      </c>
      <c r="DA15" t="s">
        <v>244</v>
      </c>
      <c r="DB15" s="6">
        <v>1.8</v>
      </c>
      <c r="DC15" t="s">
        <v>56</v>
      </c>
      <c r="DD15" t="s">
        <v>56</v>
      </c>
      <c r="DE15" t="s">
        <v>56</v>
      </c>
      <c r="DF15" t="str">
        <f>HYPERLINK(".\links\PFAM\TI_asb-20-PFAM.txt","YfhO")</f>
        <v>YfhO</v>
      </c>
      <c r="DG15" t="str">
        <f>HYPERLINK("http://pfam.sanger.ac.uk/family?acc=PF09586","0.025")</f>
        <v>0.025</v>
      </c>
      <c r="DH15" t="s">
        <v>56</v>
      </c>
      <c r="DI15" s="6" t="s">
        <v>56</v>
      </c>
      <c r="DJ15" s="6" t="str">
        <f>HYPERLINK(".\links\KOG\TI_asb-20-KOG.txt","Nuclear protein, contains WD40 repeats")</f>
        <v>Nuclear protein, contains WD40 repeats</v>
      </c>
      <c r="DK15" s="6" t="str">
        <f>HYPERLINK("http://www.ncbi.nlm.nih.gov/COG/grace/shokog.cgi?KOG1916","0.0")</f>
        <v>0.0</v>
      </c>
      <c r="DL15" s="6" t="s">
        <v>4337</v>
      </c>
      <c r="DM15" s="6" t="str">
        <f>HYPERLINK(".\links\KOG\TI_asb-20-KOG.txt","KOG1916")</f>
        <v>KOG1916</v>
      </c>
      <c r="DN15" t="s">
        <v>56</v>
      </c>
      <c r="DO15" t="s">
        <v>56</v>
      </c>
      <c r="DP15" s="3" t="s">
        <v>56</v>
      </c>
      <c r="ED15" s="3" t="s">
        <v>56</v>
      </c>
    </row>
    <row r="16" spans="1:147">
      <c r="A16" t="str">
        <f>HYPERLINK(".\links\seq\TI_asb-22-seq.txt","TI_asb-22")</f>
        <v>TI_asb-22</v>
      </c>
      <c r="B16">
        <v>22</v>
      </c>
      <c r="C16" t="str">
        <f>HYPERLINK(".\links\tsa\TI_asb-22-tsa.txt","1")</f>
        <v>1</v>
      </c>
      <c r="D16">
        <v>1</v>
      </c>
      <c r="E16">
        <v>475</v>
      </c>
      <c r="G16" t="str">
        <f>HYPERLINK(".\links\qual\TI_asb-22-qual.txt","34")</f>
        <v>34</v>
      </c>
      <c r="H16">
        <v>1</v>
      </c>
      <c r="I16">
        <v>0</v>
      </c>
      <c r="J16">
        <f t="shared" si="0"/>
        <v>1</v>
      </c>
      <c r="K16" s="6">
        <f t="shared" si="1"/>
        <v>1</v>
      </c>
      <c r="L16" s="6" t="s">
        <v>3889</v>
      </c>
      <c r="M16" s="6" t="s">
        <v>3874</v>
      </c>
      <c r="N16" s="6" t="s">
        <v>3864</v>
      </c>
      <c r="O16" s="7">
        <v>1E-41</v>
      </c>
      <c r="P16" s="6">
        <v>44.9</v>
      </c>
      <c r="Q16" s="3">
        <v>475</v>
      </c>
      <c r="R16" s="3">
        <v>450</v>
      </c>
      <c r="S16" s="5" t="s">
        <v>3494</v>
      </c>
      <c r="T16" s="3">
        <v>3</v>
      </c>
      <c r="U16" t="str">
        <f>HYPERLINK(".\links\NR-LIGHT\TI_asb-22-NR-LIGHT.txt","similar to GA10597-PA")</f>
        <v>similar to GA10597-PA</v>
      </c>
      <c r="V16" t="str">
        <f>HYPERLINK("http://www.ncbi.nlm.nih.gov/sutils/blink.cgi?pid=156543298","3E-042")</f>
        <v>3E-042</v>
      </c>
      <c r="W16" t="str">
        <f>HYPERLINK(".\links\NR-LIGHT\TI_asb-22-NR-LIGHT.txt"," 10")</f>
        <v xml:space="preserve"> 10</v>
      </c>
      <c r="X16" t="str">
        <f>HYPERLINK("http://www.ncbi.nlm.nih.gov/protein/156543298","gi|156543298")</f>
        <v>gi|156543298</v>
      </c>
      <c r="Y16">
        <v>165</v>
      </c>
      <c r="Z16">
        <v>142</v>
      </c>
      <c r="AA16">
        <v>300</v>
      </c>
      <c r="AB16">
        <v>55</v>
      </c>
      <c r="AC16">
        <v>47</v>
      </c>
      <c r="AD16">
        <v>63</v>
      </c>
      <c r="AE16">
        <v>0</v>
      </c>
      <c r="AF16">
        <v>5</v>
      </c>
      <c r="AG16">
        <v>3</v>
      </c>
      <c r="AH16">
        <v>2</v>
      </c>
      <c r="AI16">
        <v>3</v>
      </c>
      <c r="AJ16" t="s">
        <v>65</v>
      </c>
      <c r="AK16" t="s">
        <v>54</v>
      </c>
      <c r="AL16" s="6" t="s">
        <v>66</v>
      </c>
      <c r="AM16" t="str">
        <f>HYPERLINK(".\links\SWISSP\TI_asb-22-SWISSP.txt","Trans-2,3-enoyl-CoA reductase OS=Rattus norvegicus GN=Tecr PE=2 SV=1")</f>
        <v>Trans-2,3-enoyl-CoA reductase OS=Rattus norvegicus GN=Tecr PE=2 SV=1</v>
      </c>
      <c r="AN16" s="19" t="str">
        <f>HYPERLINK("http://www.uniprot.org/uniprot/Q64232","4E-030")</f>
        <v>4E-030</v>
      </c>
      <c r="AO16" t="str">
        <f>HYPERLINK(".\links\SWISSP\TI_asb-22-SWISSP.txt"," 10")</f>
        <v xml:space="preserve"> 10</v>
      </c>
      <c r="AP16" t="s">
        <v>251</v>
      </c>
      <c r="AQ16">
        <v>124</v>
      </c>
      <c r="AR16">
        <v>135</v>
      </c>
      <c r="AS16">
        <v>308</v>
      </c>
      <c r="AT16">
        <v>47</v>
      </c>
      <c r="AU16">
        <v>44</v>
      </c>
      <c r="AV16">
        <v>71</v>
      </c>
      <c r="AW16">
        <v>2</v>
      </c>
      <c r="AX16">
        <v>17</v>
      </c>
      <c r="AY16">
        <v>30</v>
      </c>
      <c r="AZ16">
        <v>2</v>
      </c>
      <c r="BA16">
        <v>3</v>
      </c>
      <c r="BB16" t="s">
        <v>65</v>
      </c>
      <c r="BC16" t="s">
        <v>54</v>
      </c>
      <c r="BD16" t="s">
        <v>122</v>
      </c>
      <c r="BE16" t="s">
        <v>252</v>
      </c>
      <c r="BF16" t="s">
        <v>253</v>
      </c>
      <c r="BG16" t="str">
        <f>HYPERLINK(".\links\PREV-RHOD-PEP\TI_asb-22-PREV-RHOD-PEP.txt","Contig18032_78")</f>
        <v>Contig18032_78</v>
      </c>
      <c r="BH16" s="7">
        <v>2E-70</v>
      </c>
      <c r="BI16" t="str">
        <f>HYPERLINK(".\links\PREV-RHOD-PEP\TI_asb-22-PREV-RHOD-PEP.txt"," 10")</f>
        <v xml:space="preserve"> 10</v>
      </c>
      <c r="BJ16" t="s">
        <v>254</v>
      </c>
      <c r="BK16">
        <v>249</v>
      </c>
      <c r="BL16">
        <v>142</v>
      </c>
      <c r="BM16">
        <v>301</v>
      </c>
      <c r="BN16">
        <v>84</v>
      </c>
      <c r="BO16">
        <v>47</v>
      </c>
      <c r="BP16">
        <v>22</v>
      </c>
      <c r="BQ16">
        <v>0</v>
      </c>
      <c r="BR16">
        <v>5</v>
      </c>
      <c r="BS16">
        <v>3</v>
      </c>
      <c r="BT16">
        <v>2</v>
      </c>
      <c r="BU16" t="s">
        <v>54</v>
      </c>
      <c r="BV16" t="s">
        <v>255</v>
      </c>
      <c r="BW16" t="s">
        <v>56</v>
      </c>
      <c r="BX16" t="str">
        <f>HYPERLINK(".\links\PREV-RHOD-CDS\TI_asb-22-PREV-RHOD-CDS.txt","Contig18032_78")</f>
        <v>Contig18032_78</v>
      </c>
      <c r="BY16" s="7">
        <v>1.0000000000000001E-101</v>
      </c>
      <c r="BZ16" t="s">
        <v>254</v>
      </c>
      <c r="CA16">
        <v>367</v>
      </c>
      <c r="CB16">
        <v>471</v>
      </c>
      <c r="CC16">
        <v>906</v>
      </c>
      <c r="CD16">
        <v>84</v>
      </c>
      <c r="CE16">
        <v>52</v>
      </c>
      <c r="CF16">
        <v>71</v>
      </c>
      <c r="CG16">
        <v>1</v>
      </c>
      <c r="CH16">
        <v>11</v>
      </c>
      <c r="CI16">
        <v>1</v>
      </c>
      <c r="CJ16">
        <v>1</v>
      </c>
      <c r="CK16" t="s">
        <v>54</v>
      </c>
      <c r="CL16" t="s">
        <v>256</v>
      </c>
      <c r="CM16">
        <f>HYPERLINK(".\links\GO\TI_asb-22-GO.txt",0.0000000000000000003)</f>
        <v>2.9999999999999999E-19</v>
      </c>
      <c r="CN16" t="s">
        <v>58</v>
      </c>
      <c r="CO16" t="s">
        <v>58</v>
      </c>
      <c r="CQ16" t="s">
        <v>59</v>
      </c>
      <c r="CR16" s="7">
        <v>2.9999999999999999E-19</v>
      </c>
      <c r="CS16" t="s">
        <v>91</v>
      </c>
      <c r="CT16" t="s">
        <v>75</v>
      </c>
      <c r="CU16" t="s">
        <v>92</v>
      </c>
      <c r="CV16" t="s">
        <v>93</v>
      </c>
      <c r="CW16" s="7">
        <v>2.9999999999999999E-19</v>
      </c>
      <c r="CX16" t="s">
        <v>62</v>
      </c>
      <c r="CY16" t="s">
        <v>58</v>
      </c>
      <c r="DA16" t="s">
        <v>63</v>
      </c>
      <c r="DB16" s="7">
        <v>2.9999999999999999E-19</v>
      </c>
      <c r="DC16" t="str">
        <f>HYPERLINK(".\links\CDD\TI_asb-22-CDD.txt","Tsc13_N")</f>
        <v>Tsc13_N</v>
      </c>
      <c r="DD16" t="str">
        <f>HYPERLINK("http://www.ncbi.nlm.nih.gov/Structure/cdd/cddsrv.cgi?uid=cd01801&amp;version=v4.0","3E-012")</f>
        <v>3E-012</v>
      </c>
      <c r="DE16" t="s">
        <v>257</v>
      </c>
      <c r="DF16" t="str">
        <f>HYPERLINK(".\links\PFAM\TI_asb-22-PFAM.txt","ubiquitin")</f>
        <v>ubiquitin</v>
      </c>
      <c r="DG16" t="str">
        <f>HYPERLINK("http://pfam.sanger.ac.uk/family?acc=PF00240","2E-005")</f>
        <v>2E-005</v>
      </c>
      <c r="DH16" t="str">
        <f>HYPERLINK(".\links\PRK\TI_asb-22-PRK.txt","enoyl-CoA reductase.")</f>
        <v>enoyl-CoA reductase.</v>
      </c>
      <c r="DI16" s="7">
        <v>9.9999999999999994E-30</v>
      </c>
      <c r="DJ16" s="6" t="str">
        <f>HYPERLINK(".\links\KOG\TI_asb-22-KOG.txt","Nuclear protein, contains WD40 repeats")</f>
        <v>Nuclear protein, contains WD40 repeats</v>
      </c>
      <c r="DK16" s="6" t="str">
        <f>HYPERLINK("http://www.ncbi.nlm.nih.gov/COG/grace/shokog.cgi?KOG1916","0.0")</f>
        <v>0.0</v>
      </c>
      <c r="DL16" s="6" t="s">
        <v>4337</v>
      </c>
      <c r="DM16" s="6" t="str">
        <f>HYPERLINK(".\links\KOG\TI_asb-22-KOG.txt","KOG1916")</f>
        <v>KOG1916</v>
      </c>
      <c r="DN16" t="str">
        <f>HYPERLINK(".\links\SMART\TI_asb-22-SMART.txt","UBQ")</f>
        <v>UBQ</v>
      </c>
      <c r="DO16" t="str">
        <f>HYPERLINK("http://smart.embl-heidelberg.de/smart/do_annotation.pl?DOMAIN=UBQ&amp;BLAST=DUMMY","4E-007")</f>
        <v>4E-007</v>
      </c>
      <c r="DP16" s="3" t="s">
        <v>56</v>
      </c>
      <c r="ED16" s="3" t="s">
        <v>56</v>
      </c>
    </row>
    <row r="17" spans="1:134">
      <c r="A17" t="str">
        <f>HYPERLINK(".\links\seq\TI_asb-23-seq.txt","TI_asb-23")</f>
        <v>TI_asb-23</v>
      </c>
      <c r="B17">
        <v>23</v>
      </c>
      <c r="C17" t="str">
        <f>HYPERLINK(".\links\tsa\TI_asb-23-tsa.txt","1")</f>
        <v>1</v>
      </c>
      <c r="D17">
        <v>1</v>
      </c>
      <c r="E17">
        <v>931</v>
      </c>
      <c r="F17">
        <v>886</v>
      </c>
      <c r="G17" t="str">
        <f>HYPERLINK(".\links\qual\TI_asb-23-qual.txt","33")</f>
        <v>33</v>
      </c>
      <c r="H17">
        <v>1</v>
      </c>
      <c r="I17">
        <v>0</v>
      </c>
      <c r="J17">
        <f t="shared" si="0"/>
        <v>1</v>
      </c>
      <c r="K17" s="6">
        <f t="shared" si="1"/>
        <v>1</v>
      </c>
      <c r="L17" s="6" t="s">
        <v>3890</v>
      </c>
      <c r="M17" s="6" t="s">
        <v>3886</v>
      </c>
      <c r="N17" s="6" t="s">
        <v>3864</v>
      </c>
      <c r="O17" s="7">
        <v>5.0000000000000002E-54</v>
      </c>
      <c r="P17" s="6">
        <v>44.4</v>
      </c>
      <c r="Q17" s="3">
        <v>931</v>
      </c>
      <c r="R17" s="3">
        <v>867</v>
      </c>
      <c r="S17" s="4" t="s">
        <v>3495</v>
      </c>
      <c r="T17" s="3">
        <v>1</v>
      </c>
      <c r="U17" t="str">
        <f>HYPERLINK(".\links\NR-LIGHT\TI_asb-23-NR-LIGHT.txt","hypothetical mucin")</f>
        <v>hypothetical mucin</v>
      </c>
      <c r="V17" t="str">
        <f>HYPERLINK("http://www.ncbi.nlm.nih.gov/sutils/blink.cgi?pid=307095162","5E-054")</f>
        <v>5E-054</v>
      </c>
      <c r="W17" t="str">
        <f>HYPERLINK(".\links\NR-LIGHT\TI_asb-23-NR-LIGHT.txt"," 10")</f>
        <v xml:space="preserve"> 10</v>
      </c>
      <c r="X17" t="str">
        <f>HYPERLINK("http://www.ncbi.nlm.nih.gov/protein/307095162","gi|307095162")</f>
        <v>gi|307095162</v>
      </c>
      <c r="Y17">
        <v>213</v>
      </c>
      <c r="Z17">
        <v>128</v>
      </c>
      <c r="AA17">
        <v>288</v>
      </c>
      <c r="AB17">
        <v>90</v>
      </c>
      <c r="AC17">
        <v>44</v>
      </c>
      <c r="AD17">
        <v>12</v>
      </c>
      <c r="AE17">
        <v>1</v>
      </c>
      <c r="AF17">
        <v>161</v>
      </c>
      <c r="AG17">
        <v>1</v>
      </c>
      <c r="AH17">
        <v>1</v>
      </c>
      <c r="AI17">
        <v>1</v>
      </c>
      <c r="AJ17" t="s">
        <v>53</v>
      </c>
      <c r="AK17" t="s">
        <v>54</v>
      </c>
      <c r="AL17" t="s">
        <v>258</v>
      </c>
      <c r="AM17" t="str">
        <f>HYPERLINK(".\links\SWISSP\TI_asb-23-SWISSP.txt","Formin-binding protein 4 OS=Mus musculus GN=Fnbp4 PE=1 SV=2")</f>
        <v>Formin-binding protein 4 OS=Mus musculus GN=Fnbp4 PE=1 SV=2</v>
      </c>
      <c r="AN17" s="19" t="str">
        <f>HYPERLINK("http://www.uniprot.org/uniprot/Q6ZQ03","5E-007")</f>
        <v>5E-007</v>
      </c>
      <c r="AO17" t="str">
        <f>HYPERLINK(".\links\SWISSP\TI_asb-23-SWISSP.txt"," 10")</f>
        <v xml:space="preserve"> 10</v>
      </c>
      <c r="AP17" t="s">
        <v>259</v>
      </c>
      <c r="AQ17">
        <v>55.5</v>
      </c>
      <c r="AR17">
        <v>173</v>
      </c>
      <c r="AS17">
        <v>1031</v>
      </c>
      <c r="AT17">
        <v>22</v>
      </c>
      <c r="AU17">
        <v>17</v>
      </c>
      <c r="AV17">
        <v>134</v>
      </c>
      <c r="AW17">
        <v>0</v>
      </c>
      <c r="AX17">
        <v>459</v>
      </c>
      <c r="AY17">
        <v>178</v>
      </c>
      <c r="AZ17">
        <v>1</v>
      </c>
      <c r="BA17">
        <v>1</v>
      </c>
      <c r="BB17" t="s">
        <v>53</v>
      </c>
      <c r="BC17" t="s">
        <v>54</v>
      </c>
      <c r="BD17" t="s">
        <v>214</v>
      </c>
      <c r="BE17" t="s">
        <v>260</v>
      </c>
      <c r="BF17" t="s">
        <v>261</v>
      </c>
      <c r="BG17" t="str">
        <f>HYPERLINK(".\links\PREV-RHOD-PEP\TI_asb-23-PREV-RHOD-PEP.txt","Contig17850_27")</f>
        <v>Contig17850_27</v>
      </c>
      <c r="BH17" s="7">
        <v>2.0000000000000001E-63</v>
      </c>
      <c r="BI17" t="str">
        <f>HYPERLINK(".\links\PREV-RHOD-PEP\TI_asb-23-PREV-RHOD-PEP.txt"," 10")</f>
        <v xml:space="preserve"> 10</v>
      </c>
      <c r="BJ17" t="s">
        <v>262</v>
      </c>
      <c r="BK17">
        <v>238</v>
      </c>
      <c r="BL17">
        <v>193</v>
      </c>
      <c r="BM17">
        <v>260</v>
      </c>
      <c r="BN17">
        <v>68</v>
      </c>
      <c r="BO17">
        <v>74</v>
      </c>
      <c r="BP17">
        <v>60</v>
      </c>
      <c r="BQ17">
        <v>0</v>
      </c>
      <c r="BR17">
        <v>76</v>
      </c>
      <c r="BS17">
        <v>1</v>
      </c>
      <c r="BT17">
        <v>1</v>
      </c>
      <c r="BU17" t="s">
        <v>54</v>
      </c>
      <c r="BV17" t="s">
        <v>263</v>
      </c>
      <c r="BW17" t="s">
        <v>56</v>
      </c>
      <c r="BX17" t="str">
        <f>HYPERLINK(".\links\PREV-RHOD-CDS\TI_asb-23-PREV-RHOD-CDS.txt","Contig17850_27")</f>
        <v>Contig17850_27</v>
      </c>
      <c r="BY17" s="7">
        <v>3.9999999999999999E-66</v>
      </c>
      <c r="BZ17" t="s">
        <v>262</v>
      </c>
      <c r="CA17">
        <v>252</v>
      </c>
      <c r="CB17">
        <v>530</v>
      </c>
      <c r="CC17">
        <v>783</v>
      </c>
      <c r="CD17">
        <v>85</v>
      </c>
      <c r="CE17">
        <v>68</v>
      </c>
      <c r="CF17">
        <v>47</v>
      </c>
      <c r="CG17">
        <v>0</v>
      </c>
      <c r="CH17">
        <v>236</v>
      </c>
      <c r="CI17">
        <v>11</v>
      </c>
      <c r="CJ17">
        <v>2</v>
      </c>
      <c r="CK17" t="s">
        <v>54</v>
      </c>
      <c r="CL17" t="s">
        <v>264</v>
      </c>
      <c r="CM17">
        <f>HYPERLINK(".\links\GO\TI_asb-23-GO.txt",0.0000001)</f>
        <v>9.9999999999999995E-8</v>
      </c>
      <c r="CN17" t="s">
        <v>265</v>
      </c>
      <c r="CO17" t="s">
        <v>129</v>
      </c>
      <c r="CP17" t="s">
        <v>166</v>
      </c>
      <c r="CQ17" t="s">
        <v>266</v>
      </c>
      <c r="CR17" s="6">
        <v>0.36</v>
      </c>
      <c r="CS17" t="s">
        <v>267</v>
      </c>
      <c r="CT17" t="s">
        <v>268</v>
      </c>
      <c r="CU17" t="s">
        <v>269</v>
      </c>
      <c r="CV17" t="s">
        <v>270</v>
      </c>
      <c r="CW17" s="6">
        <v>0.36</v>
      </c>
      <c r="CX17" t="s">
        <v>271</v>
      </c>
      <c r="CY17" t="s">
        <v>129</v>
      </c>
      <c r="CZ17" t="s">
        <v>166</v>
      </c>
      <c r="DA17" t="s">
        <v>272</v>
      </c>
      <c r="DB17" s="6">
        <v>0.36</v>
      </c>
      <c r="DC17" t="str">
        <f>HYPERLINK(".\links\CDD\TI_asb-23-CDD.txt","COG5022")</f>
        <v>COG5022</v>
      </c>
      <c r="DD17" t="str">
        <f>HYPERLINK("http://www.ncbi.nlm.nih.gov/Structure/cdd/cddsrv.cgi?uid=COG5022&amp;version=v4.0","0.0")</f>
        <v>0.0</v>
      </c>
      <c r="DE17" t="s">
        <v>273</v>
      </c>
      <c r="DF17" t="str">
        <f>HYPERLINK(".\links\PFAM\TI_asb-23-PFAM.txt","DUF947")</f>
        <v>DUF947</v>
      </c>
      <c r="DG17" t="str">
        <f>HYPERLINK("http://pfam.sanger.ac.uk/family?acc=PF06102","0.002")</f>
        <v>0.002</v>
      </c>
      <c r="DH17" t="str">
        <f>HYPERLINK(".\links\PRK\TI_asb-23-PRK.txt","ATP synthase F0 subunit 6")</f>
        <v>ATP synthase F0 subunit 6</v>
      </c>
      <c r="DI17" s="7">
        <v>4.0000000000000003E-5</v>
      </c>
      <c r="DJ17" s="6" t="str">
        <f>HYPERLINK(".\links\KOG\TI_asb-23-KOG.txt","Molecular chaperones GRP170/SIL1, HSP70 superfamily")</f>
        <v>Molecular chaperones GRP170/SIL1, HSP70 superfamily</v>
      </c>
      <c r="DK17" s="6" t="str">
        <f>HYPERLINK("http://www.ncbi.nlm.nih.gov/COG/grace/shokog.cgi?KOG0104","0.013")</f>
        <v>0.013</v>
      </c>
      <c r="DL17" s="6" t="s">
        <v>4340</v>
      </c>
      <c r="DM17" s="6" t="str">
        <f>HYPERLINK(".\links\KOG\TI_asb-23-KOG.txt","KOG0104")</f>
        <v>KOG0104</v>
      </c>
      <c r="DN17" t="str">
        <f>HYPERLINK(".\links\SMART\TI_asb-23-SMART.txt","Agouti")</f>
        <v>Agouti</v>
      </c>
      <c r="DO17" t="str">
        <f>HYPERLINK("http://smart.embl-heidelberg.de/smart/do_annotation.pl?DOMAIN=Agouti&amp;BLAST=DUMMY","0.001")</f>
        <v>0.001</v>
      </c>
      <c r="DP17" s="3" t="s">
        <v>56</v>
      </c>
      <c r="ED17" s="3" t="s">
        <v>56</v>
      </c>
    </row>
    <row r="18" spans="1:134">
      <c r="A18" t="str">
        <f>HYPERLINK(".\links\seq\TI_asb-26-seq.txt","TI_asb-26")</f>
        <v>TI_asb-26</v>
      </c>
      <c r="B18">
        <v>26</v>
      </c>
      <c r="C18" t="str">
        <f>HYPERLINK(".\links\tsa\TI_asb-26-tsa.txt","1")</f>
        <v>1</v>
      </c>
      <c r="D18">
        <v>1</v>
      </c>
      <c r="E18">
        <v>619</v>
      </c>
      <c r="G18" t="str">
        <f>HYPERLINK(".\links\qual\TI_asb-26-qual.txt","37")</f>
        <v>37</v>
      </c>
      <c r="H18">
        <v>1</v>
      </c>
      <c r="I18">
        <v>0</v>
      </c>
      <c r="J18">
        <f t="shared" si="0"/>
        <v>1</v>
      </c>
      <c r="K18" s="6">
        <f t="shared" si="1"/>
        <v>1</v>
      </c>
      <c r="L18" s="6" t="s">
        <v>3891</v>
      </c>
      <c r="M18" s="6" t="s">
        <v>3892</v>
      </c>
      <c r="N18" s="6" t="s">
        <v>3893</v>
      </c>
      <c r="O18" s="6">
        <v>5.0000000000000001E-9</v>
      </c>
      <c r="P18" s="6">
        <v>19.600000000000001</v>
      </c>
      <c r="Q18" s="3">
        <v>619</v>
      </c>
      <c r="R18" s="3">
        <v>591</v>
      </c>
      <c r="S18" s="6" t="s">
        <v>3496</v>
      </c>
      <c r="T18" s="3">
        <v>2</v>
      </c>
      <c r="U18" t="str">
        <f>HYPERLINK(".\links\NR-LIGHT\TI_asb-26-NR-LIGHT.txt","hypothetical protein TcasGA2_TC002009")</f>
        <v>hypothetical protein TcasGA2_TC002009</v>
      </c>
      <c r="V18" t="str">
        <f>HYPERLINK("http://www.ncbi.nlm.nih.gov/sutils/blink.cgi?pid=270016691","5E-042")</f>
        <v>5E-042</v>
      </c>
      <c r="W18" t="str">
        <f>HYPERLINK(".\links\NR-LIGHT\TI_asb-26-NR-LIGHT.txt"," 10")</f>
        <v xml:space="preserve"> 10</v>
      </c>
      <c r="X18" t="str">
        <f>HYPERLINK("http://www.ncbi.nlm.nih.gov/protein/270016691","gi|270016691")</f>
        <v>gi|270016691</v>
      </c>
      <c r="Y18">
        <v>172</v>
      </c>
      <c r="Z18">
        <v>190</v>
      </c>
      <c r="AA18">
        <v>797</v>
      </c>
      <c r="AB18">
        <v>44</v>
      </c>
      <c r="AC18">
        <v>24</v>
      </c>
      <c r="AD18">
        <v>106</v>
      </c>
      <c r="AE18">
        <v>1</v>
      </c>
      <c r="AF18">
        <v>77</v>
      </c>
      <c r="AG18">
        <v>23</v>
      </c>
      <c r="AH18">
        <v>1</v>
      </c>
      <c r="AI18">
        <v>2</v>
      </c>
      <c r="AJ18" t="s">
        <v>53</v>
      </c>
      <c r="AK18" t="s">
        <v>54</v>
      </c>
      <c r="AL18" t="s">
        <v>79</v>
      </c>
      <c r="AM18" t="str">
        <f>HYPERLINK(".\links\SWISSP\TI_asb-26-SWISSP.txt","Retrovirus-related Pol polyprotein from transposon opus OS=Drosophila")</f>
        <v>Retrovirus-related Pol polyprotein from transposon opus OS=Drosophila</v>
      </c>
      <c r="AN18" s="19" t="str">
        <f>HYPERLINK("http://www.uniprot.org/uniprot/Q8I7P9","5E-009")</f>
        <v>5E-009</v>
      </c>
      <c r="AO18" t="str">
        <f>HYPERLINK(".\links\SWISSP\TI_asb-26-SWISSP.txt"," 10")</f>
        <v xml:space="preserve"> 10</v>
      </c>
      <c r="AP18" t="s">
        <v>281</v>
      </c>
      <c r="AQ18">
        <v>61.2</v>
      </c>
      <c r="AR18">
        <v>197</v>
      </c>
      <c r="AS18">
        <v>1003</v>
      </c>
      <c r="AT18">
        <v>29</v>
      </c>
      <c r="AU18">
        <v>20</v>
      </c>
      <c r="AV18">
        <v>139</v>
      </c>
      <c r="AW18">
        <v>1</v>
      </c>
      <c r="AX18">
        <v>803</v>
      </c>
      <c r="AY18">
        <v>23</v>
      </c>
      <c r="AZ18">
        <v>1</v>
      </c>
      <c r="BA18">
        <v>2</v>
      </c>
      <c r="BB18" t="s">
        <v>53</v>
      </c>
      <c r="BC18" t="s">
        <v>54</v>
      </c>
      <c r="BD18" t="s">
        <v>143</v>
      </c>
      <c r="BE18" t="s">
        <v>282</v>
      </c>
      <c r="BF18" t="s">
        <v>283</v>
      </c>
      <c r="BG18" t="str">
        <f>HYPERLINK(".\links\PREV-RHOD-PEP\TI_asb-26-PREV-RHOD-PEP.txt","Contig18061_163")</f>
        <v>Contig18061_163</v>
      </c>
      <c r="BH18" s="7">
        <v>9E-61</v>
      </c>
      <c r="BI18" t="str">
        <f>HYPERLINK(".\links\PREV-RHOD-PEP\TI_asb-26-PREV-RHOD-PEP.txt"," 10")</f>
        <v xml:space="preserve"> 10</v>
      </c>
      <c r="BJ18" t="s">
        <v>284</v>
      </c>
      <c r="BK18">
        <v>229</v>
      </c>
      <c r="BL18">
        <v>183</v>
      </c>
      <c r="BM18">
        <v>455</v>
      </c>
      <c r="BN18">
        <v>61</v>
      </c>
      <c r="BO18">
        <v>40</v>
      </c>
      <c r="BP18">
        <v>71</v>
      </c>
      <c r="BQ18">
        <v>4</v>
      </c>
      <c r="BR18">
        <v>220</v>
      </c>
      <c r="BS18">
        <v>53</v>
      </c>
      <c r="BT18">
        <v>1</v>
      </c>
      <c r="BU18" t="s">
        <v>54</v>
      </c>
      <c r="BV18" t="s">
        <v>285</v>
      </c>
      <c r="BW18" t="s">
        <v>56</v>
      </c>
      <c r="BX18" t="str">
        <f>HYPERLINK(".\links\PREV-RHOD-CDS\TI_asb-26-PREV-RHOD-CDS.txt","Contig8468_2")</f>
        <v>Contig8468_2</v>
      </c>
      <c r="BY18" s="6">
        <v>5.0000000000000001E-3</v>
      </c>
      <c r="BZ18" t="s">
        <v>286</v>
      </c>
      <c r="CA18">
        <v>42.1</v>
      </c>
      <c r="CB18">
        <v>40</v>
      </c>
      <c r="CC18">
        <v>1017</v>
      </c>
      <c r="CD18">
        <v>87</v>
      </c>
      <c r="CE18">
        <v>4</v>
      </c>
      <c r="CF18">
        <v>5</v>
      </c>
      <c r="CG18">
        <v>0</v>
      </c>
      <c r="CH18">
        <v>910</v>
      </c>
      <c r="CI18">
        <v>293</v>
      </c>
      <c r="CJ18">
        <v>1</v>
      </c>
      <c r="CK18" t="s">
        <v>54</v>
      </c>
      <c r="CL18" t="s">
        <v>287</v>
      </c>
      <c r="CM18">
        <f>HYPERLINK(".\links\GO\TI_asb-26-GO.txt",0.00000002)</f>
        <v>2E-8</v>
      </c>
      <c r="CN18" t="s">
        <v>56</v>
      </c>
      <c r="CO18" t="s">
        <v>56</v>
      </c>
      <c r="CP18" t="s">
        <v>56</v>
      </c>
      <c r="CQ18" t="s">
        <v>56</v>
      </c>
      <c r="CR18" s="6" t="s">
        <v>56</v>
      </c>
      <c r="CS18" t="s">
        <v>60</v>
      </c>
      <c r="CT18" t="s">
        <v>60</v>
      </c>
      <c r="CV18" t="s">
        <v>61</v>
      </c>
      <c r="CW18" s="6">
        <v>2E-8</v>
      </c>
      <c r="CX18" t="s">
        <v>62</v>
      </c>
      <c r="CY18" t="s">
        <v>88</v>
      </c>
      <c r="CZ18" t="s">
        <v>276</v>
      </c>
      <c r="DA18" t="s">
        <v>63</v>
      </c>
      <c r="DB18" s="6">
        <v>2E-8</v>
      </c>
      <c r="DC18" t="str">
        <f>HYPERLINK(".\links\CDD\TI_asb-26-CDD.txt","rve")</f>
        <v>rve</v>
      </c>
      <c r="DD18" t="str">
        <f>HYPERLINK("http://www.ncbi.nlm.nih.gov/Structure/cdd/cddsrv.cgi?uid=pfam00665&amp;version=v4.0","1E-014")</f>
        <v>1E-014</v>
      </c>
      <c r="DE18" t="s">
        <v>288</v>
      </c>
      <c r="DF18" t="str">
        <f>HYPERLINK(".\links\PFAM\TI_asb-26-PFAM.txt","rve")</f>
        <v>rve</v>
      </c>
      <c r="DG18" t="str">
        <f>HYPERLINK("http://pfam.sanger.ac.uk/family?acc=PF00665","3E-015")</f>
        <v>3E-015</v>
      </c>
      <c r="DH18" t="str">
        <f>HYPERLINK(".\links\PRK\TI_asb-26-PRK.txt","NADH dehydrogenase subunit 2")</f>
        <v>NADH dehydrogenase subunit 2</v>
      </c>
      <c r="DI18" s="7">
        <v>8.0000000000000004E-4</v>
      </c>
      <c r="DJ18" s="6" t="s">
        <v>56</v>
      </c>
      <c r="DN18" t="s">
        <v>56</v>
      </c>
      <c r="DO18" t="s">
        <v>56</v>
      </c>
      <c r="DP18" s="3" t="s">
        <v>56</v>
      </c>
      <c r="ED18" s="3" t="s">
        <v>56</v>
      </c>
    </row>
    <row r="19" spans="1:134">
      <c r="A19" t="str">
        <f>HYPERLINK(".\links\seq\TI_asb-31-seq.txt","TI_asb-31")</f>
        <v>TI_asb-31</v>
      </c>
      <c r="B19">
        <v>31</v>
      </c>
      <c r="C19" t="str">
        <f>HYPERLINK(".\links\tsa\TI_asb-31-tsa.txt","1")</f>
        <v>1</v>
      </c>
      <c r="D19">
        <v>1</v>
      </c>
      <c r="E19">
        <v>841</v>
      </c>
      <c r="F19">
        <v>817</v>
      </c>
      <c r="G19" t="str">
        <f>HYPERLINK(".\links\qual\TI_asb-31-qual.txt","25")</f>
        <v>25</v>
      </c>
      <c r="H19">
        <v>1</v>
      </c>
      <c r="I19">
        <v>0</v>
      </c>
      <c r="J19">
        <f t="shared" si="0"/>
        <v>1</v>
      </c>
      <c r="K19" s="6">
        <f t="shared" si="1"/>
        <v>1</v>
      </c>
      <c r="L19" s="6" t="s">
        <v>3868</v>
      </c>
      <c r="M19" s="6" t="s">
        <v>3869</v>
      </c>
      <c r="N19" s="6"/>
      <c r="O19" s="6"/>
      <c r="P19" s="6"/>
      <c r="Q19" s="3">
        <v>841</v>
      </c>
      <c r="R19" s="3">
        <v>258</v>
      </c>
      <c r="S19" s="3" t="s">
        <v>3497</v>
      </c>
      <c r="T19" s="3">
        <v>4</v>
      </c>
      <c r="U19" t="s">
        <v>56</v>
      </c>
      <c r="V19" t="s">
        <v>56</v>
      </c>
      <c r="W19" t="s">
        <v>56</v>
      </c>
      <c r="X19" t="s">
        <v>56</v>
      </c>
      <c r="Y19" t="s">
        <v>56</v>
      </c>
      <c r="Z19" t="s">
        <v>56</v>
      </c>
      <c r="AA19" t="s">
        <v>56</v>
      </c>
      <c r="AB19" t="s">
        <v>56</v>
      </c>
      <c r="AC19" t="s">
        <v>56</v>
      </c>
      <c r="AD19" t="s">
        <v>56</v>
      </c>
      <c r="AE19" t="s">
        <v>56</v>
      </c>
      <c r="AF19" t="s">
        <v>56</v>
      </c>
      <c r="AG19" t="s">
        <v>56</v>
      </c>
      <c r="AH19" t="s">
        <v>56</v>
      </c>
      <c r="AI19" t="s">
        <v>56</v>
      </c>
      <c r="AJ19" t="s">
        <v>56</v>
      </c>
      <c r="AK19" t="s">
        <v>56</v>
      </c>
      <c r="AL19" t="s">
        <v>56</v>
      </c>
      <c r="AM19" t="s">
        <v>56</v>
      </c>
      <c r="AN19" s="19" t="s">
        <v>56</v>
      </c>
      <c r="AO19" t="s">
        <v>56</v>
      </c>
      <c r="AP19" t="s">
        <v>56</v>
      </c>
      <c r="AQ19" t="s">
        <v>56</v>
      </c>
      <c r="AR19" t="s">
        <v>56</v>
      </c>
      <c r="AS19" t="s">
        <v>56</v>
      </c>
      <c r="AT19" t="s">
        <v>56</v>
      </c>
      <c r="AU19" t="s">
        <v>56</v>
      </c>
      <c r="AV19" t="s">
        <v>56</v>
      </c>
      <c r="AW19" t="s">
        <v>56</v>
      </c>
      <c r="AX19" t="s">
        <v>56</v>
      </c>
      <c r="AY19" t="s">
        <v>56</v>
      </c>
      <c r="AZ19" t="s">
        <v>56</v>
      </c>
      <c r="BA19" t="s">
        <v>56</v>
      </c>
      <c r="BB19" t="s">
        <v>56</v>
      </c>
      <c r="BC19" t="s">
        <v>56</v>
      </c>
      <c r="BD19" t="s">
        <v>56</v>
      </c>
      <c r="BE19" t="s">
        <v>56</v>
      </c>
      <c r="BF19" t="s">
        <v>56</v>
      </c>
      <c r="BG19" t="str">
        <f>HYPERLINK(".\links\PREV-RHOD-PEP\TI_asb-31-PREV-RHOD-PEP.txt","Contig18070_345")</f>
        <v>Contig18070_345</v>
      </c>
      <c r="BH19" s="6">
        <v>0.71</v>
      </c>
      <c r="BI19" t="str">
        <f>HYPERLINK(".\links\PREV-RHOD-PEP\TI_asb-31-PREV-RHOD-PEP.txt"," 5")</f>
        <v xml:space="preserve"> 5</v>
      </c>
      <c r="BJ19" t="s">
        <v>295</v>
      </c>
      <c r="BK19">
        <v>30.8</v>
      </c>
      <c r="BL19">
        <v>34</v>
      </c>
      <c r="BM19">
        <v>129</v>
      </c>
      <c r="BN19">
        <v>41</v>
      </c>
      <c r="BO19">
        <v>26</v>
      </c>
      <c r="BP19">
        <v>20</v>
      </c>
      <c r="BQ19">
        <v>2</v>
      </c>
      <c r="BR19">
        <v>6</v>
      </c>
      <c r="BS19">
        <v>158</v>
      </c>
      <c r="BT19">
        <v>1</v>
      </c>
      <c r="BU19" t="s">
        <v>54</v>
      </c>
      <c r="BV19" t="s">
        <v>296</v>
      </c>
      <c r="BW19" t="s">
        <v>56</v>
      </c>
      <c r="BX19" t="str">
        <f>HYPERLINK(".\links\PREV-RHOD-CDS\TI_asb-31-PREV-RHOD-CDS.txt","Contig17926_219")</f>
        <v>Contig17926_219</v>
      </c>
      <c r="BY19" s="7">
        <v>6.9999999999999999E-6</v>
      </c>
      <c r="BZ19" t="s">
        <v>297</v>
      </c>
      <c r="CA19">
        <v>52</v>
      </c>
      <c r="CB19">
        <v>33</v>
      </c>
      <c r="CC19">
        <v>507</v>
      </c>
      <c r="CD19">
        <v>94</v>
      </c>
      <c r="CE19">
        <v>7</v>
      </c>
      <c r="CF19">
        <v>2</v>
      </c>
      <c r="CG19">
        <v>0</v>
      </c>
      <c r="CH19">
        <v>62</v>
      </c>
      <c r="CI19">
        <v>311</v>
      </c>
      <c r="CJ19">
        <v>1</v>
      </c>
      <c r="CK19" t="s">
        <v>54</v>
      </c>
      <c r="CL19" t="s">
        <v>298</v>
      </c>
      <c r="CM19">
        <f>HYPERLINK(".\links\GO\TI_asb-31-GO.txt",7.6)</f>
        <v>7.6</v>
      </c>
      <c r="CN19" t="s">
        <v>299</v>
      </c>
      <c r="CO19" t="s">
        <v>129</v>
      </c>
      <c r="CP19" t="s">
        <v>166</v>
      </c>
      <c r="CQ19" t="s">
        <v>300</v>
      </c>
      <c r="CR19" s="6">
        <v>9.9</v>
      </c>
      <c r="CS19" t="s">
        <v>56</v>
      </c>
      <c r="CT19" t="s">
        <v>56</v>
      </c>
      <c r="CU19" t="s">
        <v>56</v>
      </c>
      <c r="CV19" t="s">
        <v>56</v>
      </c>
      <c r="CW19" s="6" t="s">
        <v>56</v>
      </c>
      <c r="CX19" t="s">
        <v>301</v>
      </c>
      <c r="CY19" t="s">
        <v>129</v>
      </c>
      <c r="CZ19" t="s">
        <v>166</v>
      </c>
      <c r="DA19" t="s">
        <v>302</v>
      </c>
      <c r="DB19" s="6">
        <v>9.9</v>
      </c>
      <c r="DC19" t="str">
        <f>HYPERLINK(".\links\CDD\TI_asb-31-CDD.txt","A_deaminase")</f>
        <v>A_deaminase</v>
      </c>
      <c r="DD19" t="str">
        <f>HYPERLINK("http://www.ncbi.nlm.nih.gov/Structure/cdd/cddsrv.cgi?uid=pfam00962&amp;version=v4.0","0.085")</f>
        <v>0.085</v>
      </c>
      <c r="DE19" t="s">
        <v>303</v>
      </c>
      <c r="DF19" t="str">
        <f>HYPERLINK(".\links\PFAM\TI_asb-31-PFAM.txt","A_deaminase")</f>
        <v>A_deaminase</v>
      </c>
      <c r="DG19" t="str">
        <f>HYPERLINK("http://pfam.sanger.ac.uk/family?acc=PF00962","0.019")</f>
        <v>0.019</v>
      </c>
      <c r="DH19" t="s">
        <v>56</v>
      </c>
      <c r="DI19" s="6" t="s">
        <v>56</v>
      </c>
      <c r="DJ19" s="6" t="s">
        <v>56</v>
      </c>
      <c r="DN19" t="s">
        <v>56</v>
      </c>
      <c r="DO19" t="s">
        <v>56</v>
      </c>
      <c r="DP19" s="3" t="s">
        <v>56</v>
      </c>
      <c r="ED19" s="3" t="s">
        <v>56</v>
      </c>
    </row>
    <row r="20" spans="1:134">
      <c r="A20" t="str">
        <f>HYPERLINK(".\links\seq\TI_asb-33-seq.txt","TI_asb-33")</f>
        <v>TI_asb-33</v>
      </c>
      <c r="B20">
        <v>33</v>
      </c>
      <c r="C20" t="str">
        <f>HYPERLINK(".\links\tsa\TI_asb-33-tsa.txt","1")</f>
        <v>1</v>
      </c>
      <c r="D20">
        <v>1</v>
      </c>
      <c r="E20">
        <v>254</v>
      </c>
      <c r="G20" t="str">
        <f>HYPERLINK(".\links\qual\TI_asb-33-qual.txt","24")</f>
        <v>24</v>
      </c>
      <c r="H20">
        <v>1</v>
      </c>
      <c r="I20">
        <v>0</v>
      </c>
      <c r="J20">
        <f t="shared" si="0"/>
        <v>1</v>
      </c>
      <c r="K20" s="6">
        <f t="shared" si="1"/>
        <v>1</v>
      </c>
      <c r="L20" s="6" t="s">
        <v>3868</v>
      </c>
      <c r="M20" s="6" t="s">
        <v>3869</v>
      </c>
      <c r="N20" s="6"/>
      <c r="O20" s="6"/>
      <c r="P20" s="6"/>
      <c r="Q20" s="3">
        <v>254</v>
      </c>
      <c r="R20" s="3">
        <v>222</v>
      </c>
      <c r="S20" s="3" t="s">
        <v>3498</v>
      </c>
      <c r="T20" s="3">
        <v>5</v>
      </c>
      <c r="U20" t="str">
        <f>HYPERLINK(".\links\NR-LIGHT\TI_asb-33-NR-LIGHT.txt","hypothetical protein Bm1_04940")</f>
        <v>hypothetical protein Bm1_04940</v>
      </c>
      <c r="V20" t="str">
        <f>HYPERLINK("http://www.ncbi.nlm.nih.gov/sutils/blink.cgi?pid=170573427","2E-005")</f>
        <v>2E-005</v>
      </c>
      <c r="W20" t="str">
        <f>HYPERLINK(".\links\NR-LIGHT\TI_asb-33-NR-LIGHT.txt"," 5")</f>
        <v xml:space="preserve"> 5</v>
      </c>
      <c r="X20" t="str">
        <f>HYPERLINK("http://www.ncbi.nlm.nih.gov/protein/170573427","gi|170573427")</f>
        <v>gi|170573427</v>
      </c>
      <c r="Y20">
        <v>50.1</v>
      </c>
      <c r="Z20">
        <v>55</v>
      </c>
      <c r="AA20">
        <v>65</v>
      </c>
      <c r="AB20">
        <v>54</v>
      </c>
      <c r="AC20">
        <v>85</v>
      </c>
      <c r="AD20">
        <v>25</v>
      </c>
      <c r="AE20">
        <v>0</v>
      </c>
      <c r="AF20">
        <v>3</v>
      </c>
      <c r="AG20">
        <v>88</v>
      </c>
      <c r="AH20">
        <v>1</v>
      </c>
      <c r="AI20">
        <v>1</v>
      </c>
      <c r="AJ20" t="s">
        <v>53</v>
      </c>
      <c r="AK20" t="s">
        <v>54</v>
      </c>
      <c r="AL20" t="s">
        <v>304</v>
      </c>
      <c r="AM20" t="str">
        <f>HYPERLINK(".\links\SWISSP\TI_asb-33-SWISSP.txt","Protein TAR1 OS=Saccharomyces cerevisiae GN=TAR1 PE=2 SV=1")</f>
        <v>Protein TAR1 OS=Saccharomyces cerevisiae GN=TAR1 PE=2 SV=1</v>
      </c>
      <c r="AN20" s="19" t="str">
        <f>HYPERLINK("http://www.uniprot.org/uniprot/Q8TGM6","2E-004")</f>
        <v>2E-004</v>
      </c>
      <c r="AO20" t="str">
        <f>HYPERLINK(".\links\SWISSP\TI_asb-33-SWISSP.txt"," 3")</f>
        <v xml:space="preserve"> 3</v>
      </c>
      <c r="AP20" t="s">
        <v>305</v>
      </c>
      <c r="AQ20">
        <v>44.7</v>
      </c>
      <c r="AR20">
        <v>40</v>
      </c>
      <c r="AS20">
        <v>124</v>
      </c>
      <c r="AT20">
        <v>57</v>
      </c>
      <c r="AU20">
        <v>32</v>
      </c>
      <c r="AV20">
        <v>17</v>
      </c>
      <c r="AW20">
        <v>0</v>
      </c>
      <c r="AX20">
        <v>37</v>
      </c>
      <c r="AY20">
        <v>134</v>
      </c>
      <c r="AZ20">
        <v>1</v>
      </c>
      <c r="BA20">
        <v>-2</v>
      </c>
      <c r="BB20" t="s">
        <v>53</v>
      </c>
      <c r="BC20" t="s">
        <v>64</v>
      </c>
      <c r="BD20" t="s">
        <v>275</v>
      </c>
      <c r="BE20" t="s">
        <v>306</v>
      </c>
      <c r="BF20" t="s">
        <v>307</v>
      </c>
      <c r="BG20" t="str">
        <f>HYPERLINK(".\links\PREV-RHOD-PEP\TI_asb-33-PREV-RHOD-PEP.txt","Contig17403_15")</f>
        <v>Contig17403_15</v>
      </c>
      <c r="BH20" s="6">
        <v>3.8</v>
      </c>
      <c r="BI20" t="str">
        <f>HYPERLINK(".\links\PREV-RHOD-PEP\TI_asb-33-PREV-RHOD-PEP.txt"," 2")</f>
        <v xml:space="preserve"> 2</v>
      </c>
      <c r="BJ20" t="s">
        <v>308</v>
      </c>
      <c r="BK20">
        <v>26.6</v>
      </c>
      <c r="BL20">
        <v>37</v>
      </c>
      <c r="BM20">
        <v>101</v>
      </c>
      <c r="BN20">
        <v>37</v>
      </c>
      <c r="BO20">
        <v>37</v>
      </c>
      <c r="BP20">
        <v>23</v>
      </c>
      <c r="BQ20">
        <v>1</v>
      </c>
      <c r="BR20">
        <v>35</v>
      </c>
      <c r="BS20">
        <v>38</v>
      </c>
      <c r="BT20">
        <v>1</v>
      </c>
      <c r="BU20" t="s">
        <v>64</v>
      </c>
      <c r="BV20" t="s">
        <v>309</v>
      </c>
      <c r="BW20" t="s">
        <v>56</v>
      </c>
      <c r="BX20" t="str">
        <f>HYPERLINK(".\links\PREV-RHOD-CDS\TI_asb-33-PREV-RHOD-CDS.txt","Contig20789_1")</f>
        <v>Contig20789_1</v>
      </c>
      <c r="BY20" s="6">
        <v>1.9</v>
      </c>
      <c r="BZ20" t="s">
        <v>310</v>
      </c>
      <c r="CA20">
        <v>32.200000000000003</v>
      </c>
      <c r="CB20">
        <v>15</v>
      </c>
      <c r="CC20">
        <v>189</v>
      </c>
      <c r="CD20">
        <v>100</v>
      </c>
      <c r="CE20">
        <v>8</v>
      </c>
      <c r="CF20">
        <v>0</v>
      </c>
      <c r="CG20">
        <v>0</v>
      </c>
      <c r="CH20">
        <v>134</v>
      </c>
      <c r="CI20">
        <v>48</v>
      </c>
      <c r="CJ20">
        <v>1</v>
      </c>
      <c r="CK20" t="s">
        <v>64</v>
      </c>
      <c r="CL20" t="s">
        <v>311</v>
      </c>
      <c r="CM20">
        <f>HYPERLINK(".\links\GO\TI_asb-33-GO.txt",0.00004)</f>
        <v>4.0000000000000003E-5</v>
      </c>
      <c r="CN20" t="s">
        <v>58</v>
      </c>
      <c r="CO20" t="s">
        <v>58</v>
      </c>
      <c r="CQ20" t="s">
        <v>59</v>
      </c>
      <c r="CR20" s="6">
        <v>4.0000000000000003E-5</v>
      </c>
      <c r="CS20" t="s">
        <v>241</v>
      </c>
      <c r="CT20" t="s">
        <v>75</v>
      </c>
      <c r="CU20" t="s">
        <v>76</v>
      </c>
      <c r="CV20" t="s">
        <v>242</v>
      </c>
      <c r="CW20" s="6">
        <v>4.0000000000000003E-5</v>
      </c>
      <c r="CX20" t="s">
        <v>312</v>
      </c>
      <c r="CY20" t="s">
        <v>58</v>
      </c>
      <c r="DA20" t="s">
        <v>313</v>
      </c>
      <c r="DB20" s="6">
        <v>4.0000000000000003E-5</v>
      </c>
      <c r="DC20" t="str">
        <f>HYPERLINK(".\links\CDD\TI_asb-33-CDD.txt","PRP8")</f>
        <v>PRP8</v>
      </c>
      <c r="DD20" t="str">
        <f>HYPERLINK("http://www.ncbi.nlm.nih.gov/Structure/cdd/cddsrv.cgi?uid=COG5178&amp;version=v4.0","0.003")</f>
        <v>0.003</v>
      </c>
      <c r="DE20" t="s">
        <v>314</v>
      </c>
      <c r="DF20" t="str">
        <f>HYPERLINK(".\links\PFAM\TI_asb-33-PFAM.txt","WT1")</f>
        <v>WT1</v>
      </c>
      <c r="DG20" t="str">
        <f>HYPERLINK("http://pfam.sanger.ac.uk/family?acc=PF02165","0.020")</f>
        <v>0.020</v>
      </c>
      <c r="DH20" t="str">
        <f>HYPERLINK(".\links\PRK\TI_asb-33-PRK.txt","large tegument protein UL36")</f>
        <v>large tegument protein UL36</v>
      </c>
      <c r="DI20" s="6">
        <v>7.4999999999999997E-2</v>
      </c>
      <c r="DJ20" s="6" t="str">
        <f>HYPERLINK(".\links\KOG\TI_asb-33-KOG.txt","Wiskott Aldrich syndrome proteins")</f>
        <v>Wiskott Aldrich syndrome proteins</v>
      </c>
      <c r="DK20" s="6" t="str">
        <f>HYPERLINK("http://www.ncbi.nlm.nih.gov/COG/grace/shokog.cgi?KOG1830","0.011")</f>
        <v>0.011</v>
      </c>
      <c r="DL20" s="6" t="s">
        <v>4344</v>
      </c>
      <c r="DM20" s="6" t="str">
        <f>HYPERLINK(".\links\KOG\TI_asb-33-KOG.txt","KOG1830")</f>
        <v>KOG1830</v>
      </c>
      <c r="DN20" t="str">
        <f>HYPERLINK(".\links\SMART\TI_asb-33-SMART.txt","PRP")</f>
        <v>PRP</v>
      </c>
      <c r="DO20" t="str">
        <f>HYPERLINK("http://smart.embl-heidelberg.de/smart/do_annotation.pl?DOMAIN=PRP&amp;BLAST=DUMMY","6E-004")</f>
        <v>6E-004</v>
      </c>
      <c r="DP20" s="3" t="str">
        <f>HYPERLINK(".\links\RRNA\TI_asb-33-RRNA.txt","Anopheles bradleyi 28S ribosomal RNA (28S rRNA), D2 variable region")</f>
        <v>Anopheles bradleyi 28S ribosomal RNA (28S rRNA), D2 variable region</v>
      </c>
      <c r="DQ20" s="3" t="str">
        <f>HYPERLINK("http://www.ncbi.nlm.nih.gov/entrez/viewer.fcgi?db=nucleotide&amp;val=1449053","4E-021")</f>
        <v>4E-021</v>
      </c>
      <c r="DR20" s="3" t="str">
        <f>HYPERLINK("http://www.ncbi.nlm.nih.gov/entrez/viewer.fcgi?db=nucleotide&amp;val=1449053","gi|1449053")</f>
        <v>gi|1449053</v>
      </c>
      <c r="DS20" s="3">
        <v>97.6</v>
      </c>
      <c r="DT20" s="3">
        <v>60</v>
      </c>
      <c r="DU20" s="3">
        <v>600</v>
      </c>
      <c r="DV20" s="3">
        <v>95</v>
      </c>
      <c r="DW20" s="3">
        <v>10</v>
      </c>
      <c r="DX20" s="3">
        <v>3</v>
      </c>
      <c r="DY20" s="3">
        <v>0</v>
      </c>
      <c r="DZ20" s="3">
        <v>36</v>
      </c>
      <c r="EA20" s="3">
        <v>178</v>
      </c>
      <c r="EB20" s="3">
        <v>1</v>
      </c>
      <c r="EC20" s="3" t="s">
        <v>54</v>
      </c>
      <c r="ED20" s="3" t="s">
        <v>56</v>
      </c>
    </row>
    <row r="21" spans="1:134">
      <c r="A21" t="str">
        <f>HYPERLINK(".\links\seq\TI_asb-34-seq.txt","TI_asb-34")</f>
        <v>TI_asb-34</v>
      </c>
      <c r="B21">
        <v>34</v>
      </c>
      <c r="C21" t="str">
        <f>HYPERLINK(".\links\tsa\TI_asb-34-tsa.txt","1")</f>
        <v>1</v>
      </c>
      <c r="D21">
        <v>1</v>
      </c>
      <c r="E21">
        <v>912</v>
      </c>
      <c r="F21">
        <v>884</v>
      </c>
      <c r="G21" t="str">
        <f>HYPERLINK(".\links\qual\TI_asb-34-qual.txt","48")</f>
        <v>48</v>
      </c>
      <c r="H21">
        <v>1</v>
      </c>
      <c r="I21">
        <v>0</v>
      </c>
      <c r="J21">
        <f t="shared" si="0"/>
        <v>1</v>
      </c>
      <c r="K21" s="6">
        <f t="shared" si="1"/>
        <v>1</v>
      </c>
      <c r="L21" s="6" t="s">
        <v>3868</v>
      </c>
      <c r="M21" s="6" t="s">
        <v>3869</v>
      </c>
      <c r="N21" s="6"/>
      <c r="O21" s="6"/>
      <c r="P21" s="6"/>
      <c r="Q21" s="3">
        <v>912</v>
      </c>
      <c r="R21" s="3">
        <v>195</v>
      </c>
      <c r="S21" s="5" t="s">
        <v>3499</v>
      </c>
      <c r="T21" s="3">
        <v>4</v>
      </c>
      <c r="U21" t="str">
        <f>HYPERLINK(".\links\NR-LIGHT\TI_asb-34-NR-LIGHT.txt","hypothetical protein Phum_PHUM236670")</f>
        <v>hypothetical protein Phum_PHUM236670</v>
      </c>
      <c r="V21" t="str">
        <f>HYPERLINK("http://www.ncbi.nlm.nih.gov/sutils/blink.cgi?pid=242010727","1.1")</f>
        <v>1.1</v>
      </c>
      <c r="W21" t="str">
        <f>HYPERLINK(".\links\NR-LIGHT\TI_asb-34-NR-LIGHT.txt"," 8")</f>
        <v xml:space="preserve"> 8</v>
      </c>
      <c r="X21" t="str">
        <f>HYPERLINK("http://www.ncbi.nlm.nih.gov/protein/242010727","gi|242010727")</f>
        <v>gi|242010727</v>
      </c>
      <c r="Y21">
        <v>36.6</v>
      </c>
      <c r="Z21">
        <v>80</v>
      </c>
      <c r="AA21">
        <v>376</v>
      </c>
      <c r="AB21">
        <v>27</v>
      </c>
      <c r="AC21">
        <v>21</v>
      </c>
      <c r="AD21">
        <v>58</v>
      </c>
      <c r="AE21">
        <v>0</v>
      </c>
      <c r="AF21">
        <v>303</v>
      </c>
      <c r="AG21">
        <v>607</v>
      </c>
      <c r="AH21">
        <v>1</v>
      </c>
      <c r="AI21">
        <v>1</v>
      </c>
      <c r="AJ21" t="s">
        <v>53</v>
      </c>
      <c r="AK21" t="s">
        <v>54</v>
      </c>
      <c r="AL21" t="s">
        <v>141</v>
      </c>
      <c r="AM21" t="str">
        <f>HYPERLINK(".\links\SWISSP\TI_asb-34-SWISSP.txt","Primosomal protein N' OS=Buchnera aphidicola subsp. Schizaphis graminum GN=priA")</f>
        <v>Primosomal protein N' OS=Buchnera aphidicola subsp. Schizaphis graminum GN=priA</v>
      </c>
      <c r="AN21" s="19" t="str">
        <f>HYPERLINK("http://www.uniprot.org/uniprot/Q8KA15","6.1")</f>
        <v>6.1</v>
      </c>
      <c r="AO21" t="str">
        <f>HYPERLINK(".\links\SWISSP\TI_asb-34-SWISSP.txt"," 1")</f>
        <v xml:space="preserve"> 1</v>
      </c>
      <c r="AP21" t="s">
        <v>315</v>
      </c>
      <c r="AQ21">
        <v>32</v>
      </c>
      <c r="AR21">
        <v>98</v>
      </c>
      <c r="AS21">
        <v>720</v>
      </c>
      <c r="AT21">
        <v>28</v>
      </c>
      <c r="AU21">
        <v>14</v>
      </c>
      <c r="AV21">
        <v>70</v>
      </c>
      <c r="AW21">
        <v>7</v>
      </c>
      <c r="AX21">
        <v>43</v>
      </c>
      <c r="AY21">
        <v>206</v>
      </c>
      <c r="AZ21">
        <v>1</v>
      </c>
      <c r="BA21">
        <v>2</v>
      </c>
      <c r="BB21" t="s">
        <v>53</v>
      </c>
      <c r="BC21" t="s">
        <v>54</v>
      </c>
      <c r="BD21" t="s">
        <v>316</v>
      </c>
      <c r="BE21" t="s">
        <v>317</v>
      </c>
      <c r="BF21" t="s">
        <v>318</v>
      </c>
      <c r="BG21" t="str">
        <f>HYPERLINK(".\links\PREV-RHOD-PEP\TI_asb-34-PREV-RHOD-PEP.txt","Contig16171_3")</f>
        <v>Contig16171_3</v>
      </c>
      <c r="BH21" s="6">
        <v>0.78</v>
      </c>
      <c r="BI21" t="str">
        <f>HYPERLINK(".\links\PREV-RHOD-PEP\TI_asb-34-PREV-RHOD-PEP.txt"," 4")</f>
        <v xml:space="preserve"> 4</v>
      </c>
      <c r="BJ21" t="s">
        <v>319</v>
      </c>
      <c r="BK21">
        <v>30.8</v>
      </c>
      <c r="BL21">
        <v>66</v>
      </c>
      <c r="BM21">
        <v>438</v>
      </c>
      <c r="BN21">
        <v>31</v>
      </c>
      <c r="BO21">
        <v>15</v>
      </c>
      <c r="BP21">
        <v>45</v>
      </c>
      <c r="BQ21">
        <v>0</v>
      </c>
      <c r="BR21">
        <v>38</v>
      </c>
      <c r="BS21">
        <v>272</v>
      </c>
      <c r="BT21">
        <v>1</v>
      </c>
      <c r="BU21" t="s">
        <v>54</v>
      </c>
      <c r="BV21" t="s">
        <v>320</v>
      </c>
      <c r="BW21" t="s">
        <v>56</v>
      </c>
      <c r="BX21" t="str">
        <f>HYPERLINK(".\links\PREV-RHOD-CDS\TI_asb-34-PREV-RHOD-CDS.txt","Contig17985_1")</f>
        <v>Contig17985_1</v>
      </c>
      <c r="BY21" s="7">
        <v>4.9999999999999998E-7</v>
      </c>
      <c r="BZ21" t="s">
        <v>321</v>
      </c>
      <c r="CA21">
        <v>56</v>
      </c>
      <c r="CB21">
        <v>43</v>
      </c>
      <c r="CC21">
        <v>45</v>
      </c>
      <c r="CD21">
        <v>90</v>
      </c>
      <c r="CE21">
        <v>98</v>
      </c>
      <c r="CF21">
        <v>4</v>
      </c>
      <c r="CG21">
        <v>0</v>
      </c>
      <c r="CH21">
        <v>1</v>
      </c>
      <c r="CI21">
        <v>595</v>
      </c>
      <c r="CJ21">
        <v>1</v>
      </c>
      <c r="CK21" t="s">
        <v>64</v>
      </c>
      <c r="CL21" t="s">
        <v>322</v>
      </c>
      <c r="CM21">
        <f>HYPERLINK(".\links\GO\TI_asb-34-GO.txt",2.9)</f>
        <v>2.9</v>
      </c>
      <c r="CN21" t="s">
        <v>323</v>
      </c>
      <c r="CO21" t="s">
        <v>324</v>
      </c>
      <c r="CP21" t="s">
        <v>325</v>
      </c>
      <c r="CQ21" t="s">
        <v>326</v>
      </c>
      <c r="CR21" s="6">
        <v>2.9</v>
      </c>
      <c r="CS21" t="s">
        <v>91</v>
      </c>
      <c r="CT21" t="s">
        <v>75</v>
      </c>
      <c r="CU21" t="s">
        <v>92</v>
      </c>
      <c r="CV21" t="s">
        <v>93</v>
      </c>
      <c r="CW21" s="6">
        <v>2.9</v>
      </c>
      <c r="CX21" t="s">
        <v>327</v>
      </c>
      <c r="CY21" t="s">
        <v>324</v>
      </c>
      <c r="CZ21" t="s">
        <v>325</v>
      </c>
      <c r="DA21" t="s">
        <v>328</v>
      </c>
      <c r="DB21" s="6">
        <v>2.9</v>
      </c>
      <c r="DC21" t="s">
        <v>56</v>
      </c>
      <c r="DD21" t="s">
        <v>56</v>
      </c>
      <c r="DE21" t="s">
        <v>56</v>
      </c>
      <c r="DF21" t="str">
        <f>HYPERLINK(".\links\PFAM\TI_asb-34-PFAM.txt","7TM_GPCR_Srv")</f>
        <v>7TM_GPCR_Srv</v>
      </c>
      <c r="DG21" t="str">
        <f>HYPERLINK("http://pfam.sanger.ac.uk/family?acc=PF10323","0.031")</f>
        <v>0.031</v>
      </c>
      <c r="DH21" t="str">
        <f>HYPERLINK(".\links\PRK\TI_asb-34-PRK.txt","predicted protein")</f>
        <v>predicted protein</v>
      </c>
      <c r="DI21" s="6">
        <v>2E-3</v>
      </c>
      <c r="DJ21" s="6" t="s">
        <v>56</v>
      </c>
      <c r="DN21" t="str">
        <f>HYPERLINK(".\links\SMART\TI_asb-34-SMART.txt","LITAF")</f>
        <v>LITAF</v>
      </c>
      <c r="DO21" t="str">
        <f>HYPERLINK("http://smart.embl-heidelberg.de/smart/do_annotation.pl?DOMAIN=LITAF&amp;BLAST=DUMMY","0.083")</f>
        <v>0.083</v>
      </c>
      <c r="DP21" s="3" t="s">
        <v>56</v>
      </c>
      <c r="ED21" s="3" t="s">
        <v>56</v>
      </c>
    </row>
    <row r="22" spans="1:134">
      <c r="A22" t="str">
        <f>HYPERLINK(".\links\seq\TI_asb-35-seq.txt","TI_asb-35")</f>
        <v>TI_asb-35</v>
      </c>
      <c r="B22">
        <v>35</v>
      </c>
      <c r="C22" t="str">
        <f>HYPERLINK(".\links\tsa\TI_asb-35-tsa.txt","1")</f>
        <v>1</v>
      </c>
      <c r="D22">
        <v>1</v>
      </c>
      <c r="E22">
        <v>623</v>
      </c>
      <c r="G22" t="str">
        <f>HYPERLINK(".\links\qual\TI_asb-35-qual.txt","58")</f>
        <v>58</v>
      </c>
      <c r="H22">
        <v>1</v>
      </c>
      <c r="I22">
        <v>0</v>
      </c>
      <c r="J22">
        <f t="shared" si="0"/>
        <v>1</v>
      </c>
      <c r="K22" s="6">
        <f t="shared" si="1"/>
        <v>1</v>
      </c>
      <c r="L22" s="6" t="s">
        <v>3868</v>
      </c>
      <c r="M22" s="6" t="s">
        <v>3869</v>
      </c>
      <c r="N22" s="6"/>
      <c r="O22" s="6"/>
      <c r="P22" s="6"/>
      <c r="Q22" s="3">
        <v>623</v>
      </c>
      <c r="R22" s="3">
        <v>168</v>
      </c>
      <c r="S22" s="6" t="s">
        <v>3500</v>
      </c>
      <c r="T22" s="3">
        <v>5</v>
      </c>
      <c r="U22" t="s">
        <v>56</v>
      </c>
      <c r="V22" t="s">
        <v>56</v>
      </c>
      <c r="W22" t="s">
        <v>56</v>
      </c>
      <c r="X22" t="s">
        <v>56</v>
      </c>
      <c r="Y22" t="s">
        <v>56</v>
      </c>
      <c r="Z22" t="s">
        <v>56</v>
      </c>
      <c r="AA22" t="s">
        <v>56</v>
      </c>
      <c r="AB22" t="s">
        <v>56</v>
      </c>
      <c r="AC22" t="s">
        <v>56</v>
      </c>
      <c r="AD22" t="s">
        <v>56</v>
      </c>
      <c r="AE22" t="s">
        <v>56</v>
      </c>
      <c r="AF22" t="s">
        <v>56</v>
      </c>
      <c r="AG22" t="s">
        <v>56</v>
      </c>
      <c r="AH22" t="s">
        <v>56</v>
      </c>
      <c r="AI22" t="s">
        <v>56</v>
      </c>
      <c r="AJ22" t="s">
        <v>56</v>
      </c>
      <c r="AK22" t="s">
        <v>56</v>
      </c>
      <c r="AL22" t="s">
        <v>56</v>
      </c>
      <c r="AM22" t="str">
        <f>HYPERLINK(".\links\SWISSP\TI_asb-35-SWISSP.txt","Zinc finger protein 252 OS=Homo sapiens GN=ZNF252 PE=5 SV=2")</f>
        <v>Zinc finger protein 252 OS=Homo sapiens GN=ZNF252 PE=5 SV=2</v>
      </c>
      <c r="AN22" s="19" t="str">
        <f>HYPERLINK("http://www.uniprot.org/uniprot/Q8WUN3","4.2")</f>
        <v>4.2</v>
      </c>
      <c r="AO22" t="str">
        <f>HYPERLINK(".\links\SWISSP\TI_asb-35-SWISSP.txt"," 2")</f>
        <v xml:space="preserve"> 2</v>
      </c>
      <c r="AP22" t="s">
        <v>329</v>
      </c>
      <c r="AQ22">
        <v>31.6</v>
      </c>
      <c r="AR22">
        <v>37</v>
      </c>
      <c r="AS22">
        <v>682</v>
      </c>
      <c r="AT22">
        <v>37</v>
      </c>
      <c r="AU22">
        <v>5</v>
      </c>
      <c r="AV22">
        <v>23</v>
      </c>
      <c r="AW22">
        <v>1</v>
      </c>
      <c r="AX22">
        <v>40</v>
      </c>
      <c r="AY22">
        <v>153</v>
      </c>
      <c r="AZ22">
        <v>1</v>
      </c>
      <c r="BA22">
        <v>-1</v>
      </c>
      <c r="BB22" t="s">
        <v>53</v>
      </c>
      <c r="BC22" t="s">
        <v>64</v>
      </c>
      <c r="BD22" t="s">
        <v>330</v>
      </c>
      <c r="BE22" t="s">
        <v>331</v>
      </c>
      <c r="BF22" t="s">
        <v>332</v>
      </c>
      <c r="BG22" t="str">
        <f>HYPERLINK(".\links\PREV-RHOD-PEP\TI_asb-35-PREV-RHOD-PEP.txt","Contig17960_69")</f>
        <v>Contig17960_69</v>
      </c>
      <c r="BH22" s="6">
        <v>3.9</v>
      </c>
      <c r="BI22" t="str">
        <f>HYPERLINK(".\links\PREV-RHOD-PEP\TI_asb-35-PREV-RHOD-PEP.txt"," 2")</f>
        <v xml:space="preserve"> 2</v>
      </c>
      <c r="BJ22" t="s">
        <v>333</v>
      </c>
      <c r="BK22">
        <v>27.7</v>
      </c>
      <c r="BL22">
        <v>43</v>
      </c>
      <c r="BM22">
        <v>136</v>
      </c>
      <c r="BN22">
        <v>34</v>
      </c>
      <c r="BO22">
        <v>32</v>
      </c>
      <c r="BP22">
        <v>28</v>
      </c>
      <c r="BQ22">
        <v>0</v>
      </c>
      <c r="BR22">
        <v>85</v>
      </c>
      <c r="BS22">
        <v>219</v>
      </c>
      <c r="BT22">
        <v>1</v>
      </c>
      <c r="BU22" t="s">
        <v>64</v>
      </c>
      <c r="BV22" t="s">
        <v>334</v>
      </c>
      <c r="BW22" t="s">
        <v>56</v>
      </c>
      <c r="BX22" t="str">
        <f>HYPERLINK(".\links\PREV-RHOD-CDS\TI_asb-35-PREV-RHOD-CDS.txt","Contig20655_1")</f>
        <v>Contig20655_1</v>
      </c>
      <c r="BY22" s="6">
        <v>7.8E-2</v>
      </c>
      <c r="BZ22" t="s">
        <v>335</v>
      </c>
      <c r="CA22">
        <v>38.200000000000003</v>
      </c>
      <c r="CB22">
        <v>18</v>
      </c>
      <c r="CC22">
        <v>69</v>
      </c>
      <c r="CD22">
        <v>100</v>
      </c>
      <c r="CE22">
        <v>28</v>
      </c>
      <c r="CF22">
        <v>0</v>
      </c>
      <c r="CG22">
        <v>0</v>
      </c>
      <c r="CH22">
        <v>28</v>
      </c>
      <c r="CI22">
        <v>399</v>
      </c>
      <c r="CJ22">
        <v>1</v>
      </c>
      <c r="CK22" t="s">
        <v>54</v>
      </c>
      <c r="CL22" t="s">
        <v>336</v>
      </c>
      <c r="CM22">
        <f>HYPERLINK(".\links\GO\TI_asb-35-GO.txt",3.5)</f>
        <v>3.5</v>
      </c>
      <c r="CN22" t="s">
        <v>337</v>
      </c>
      <c r="CO22" t="s">
        <v>185</v>
      </c>
      <c r="CP22" t="s">
        <v>338</v>
      </c>
      <c r="CQ22" t="s">
        <v>339</v>
      </c>
      <c r="CR22" s="6">
        <v>3.5</v>
      </c>
      <c r="CS22" t="s">
        <v>340</v>
      </c>
      <c r="CT22" t="s">
        <v>75</v>
      </c>
      <c r="CU22" t="s">
        <v>76</v>
      </c>
      <c r="CV22" t="s">
        <v>341</v>
      </c>
      <c r="CW22" s="6">
        <v>3.5</v>
      </c>
      <c r="CX22" t="s">
        <v>342</v>
      </c>
      <c r="CY22" t="s">
        <v>185</v>
      </c>
      <c r="CZ22" t="s">
        <v>338</v>
      </c>
      <c r="DA22" t="s">
        <v>343</v>
      </c>
      <c r="DB22" s="6">
        <v>3.5</v>
      </c>
      <c r="DC22" t="s">
        <v>56</v>
      </c>
      <c r="DD22" t="s">
        <v>56</v>
      </c>
      <c r="DE22" t="s">
        <v>56</v>
      </c>
      <c r="DF22" t="s">
        <v>56</v>
      </c>
      <c r="DG22" t="s">
        <v>56</v>
      </c>
      <c r="DH22" t="str">
        <f>HYPERLINK(".\links\PRK\TI_asb-35-PRK.txt","precorrin-2 dehydrogenase")</f>
        <v>precorrin-2 dehydrogenase</v>
      </c>
      <c r="DI22" s="6">
        <v>0.06</v>
      </c>
      <c r="DJ22" s="6" t="s">
        <v>56</v>
      </c>
      <c r="DN22" t="s">
        <v>56</v>
      </c>
      <c r="DO22" t="s">
        <v>56</v>
      </c>
      <c r="DP22" s="3" t="s">
        <v>56</v>
      </c>
      <c r="ED22" s="3" t="s">
        <v>56</v>
      </c>
    </row>
    <row r="23" spans="1:134">
      <c r="A23" t="str">
        <f>HYPERLINK(".\links\seq\TI_asb-38-seq.txt","TI_asb-38")</f>
        <v>TI_asb-38</v>
      </c>
      <c r="B23">
        <v>38</v>
      </c>
      <c r="C23" t="str">
        <f>HYPERLINK(".\links\tsa\TI_asb-38-tsa.txt","3")</f>
        <v>3</v>
      </c>
      <c r="D23">
        <v>3</v>
      </c>
      <c r="E23">
        <v>681</v>
      </c>
      <c r="G23" t="str">
        <f>HYPERLINK(".\links\qual\TI_asb-38-qual.txt","75")</f>
        <v>75</v>
      </c>
      <c r="H23">
        <v>0</v>
      </c>
      <c r="I23">
        <v>3</v>
      </c>
      <c r="J23">
        <f t="shared" si="0"/>
        <v>3</v>
      </c>
      <c r="K23" s="6">
        <f t="shared" si="1"/>
        <v>-3</v>
      </c>
      <c r="L23" s="6" t="s">
        <v>3868</v>
      </c>
      <c r="M23" s="6" t="s">
        <v>3869</v>
      </c>
      <c r="N23" s="6"/>
      <c r="O23" s="6"/>
      <c r="P23" s="6"/>
      <c r="Q23" s="3">
        <v>681</v>
      </c>
      <c r="R23" s="3">
        <v>297</v>
      </c>
      <c r="S23" s="3" t="s">
        <v>3501</v>
      </c>
      <c r="T23" s="3">
        <v>4</v>
      </c>
      <c r="U23" t="str">
        <f>HYPERLINK(".\links\NR-LIGHT\TI_asb-38-NR-LIGHT.txt","hypothetical protein")</f>
        <v>hypothetical protein</v>
      </c>
      <c r="V23" t="str">
        <f>HYPERLINK("http://www.ncbi.nlm.nih.gov/sutils/blink.cgi?pid=66506802","1E-005")</f>
        <v>1E-005</v>
      </c>
      <c r="W23" t="str">
        <f>HYPERLINK(".\links\NR-LIGHT\TI_asb-38-NR-LIGHT.txt"," 7")</f>
        <v xml:space="preserve"> 7</v>
      </c>
      <c r="X23" t="str">
        <f>HYPERLINK("http://www.ncbi.nlm.nih.gov/protein/66506802","gi|66506802")</f>
        <v>gi|66506802</v>
      </c>
      <c r="Y23">
        <v>52.4</v>
      </c>
      <c r="Z23">
        <v>43</v>
      </c>
      <c r="AA23">
        <v>116</v>
      </c>
      <c r="AB23">
        <v>65</v>
      </c>
      <c r="AC23">
        <v>37</v>
      </c>
      <c r="AD23">
        <v>15</v>
      </c>
      <c r="AE23">
        <v>0</v>
      </c>
      <c r="AF23">
        <v>1</v>
      </c>
      <c r="AG23">
        <v>25</v>
      </c>
      <c r="AH23">
        <v>1</v>
      </c>
      <c r="AI23">
        <v>1</v>
      </c>
      <c r="AJ23" t="s">
        <v>53</v>
      </c>
      <c r="AK23" t="s">
        <v>54</v>
      </c>
      <c r="AL23" t="s">
        <v>344</v>
      </c>
      <c r="AM23" t="s">
        <v>56</v>
      </c>
      <c r="AN23" s="19" t="s">
        <v>56</v>
      </c>
      <c r="AO23" t="s">
        <v>56</v>
      </c>
      <c r="AP23" t="s">
        <v>56</v>
      </c>
      <c r="AQ23" t="s">
        <v>56</v>
      </c>
      <c r="AR23" t="s">
        <v>56</v>
      </c>
      <c r="AS23" t="s">
        <v>56</v>
      </c>
      <c r="AT23" t="s">
        <v>56</v>
      </c>
      <c r="AU23" t="s">
        <v>56</v>
      </c>
      <c r="AV23" t="s">
        <v>56</v>
      </c>
      <c r="AW23" t="s">
        <v>56</v>
      </c>
      <c r="AX23" t="s">
        <v>56</v>
      </c>
      <c r="AY23" t="s">
        <v>56</v>
      </c>
      <c r="AZ23" t="s">
        <v>56</v>
      </c>
      <c r="BA23" t="s">
        <v>56</v>
      </c>
      <c r="BB23" t="s">
        <v>56</v>
      </c>
      <c r="BC23" t="s">
        <v>56</v>
      </c>
      <c r="BD23" t="s">
        <v>56</v>
      </c>
      <c r="BE23" t="s">
        <v>56</v>
      </c>
      <c r="BF23" t="s">
        <v>56</v>
      </c>
      <c r="BG23" t="str">
        <f>HYPERLINK(".\links\PREV-RHOD-PEP\TI_asb-38-PREV-RHOD-PEP.txt","Contig17073_25")</f>
        <v>Contig17073_25</v>
      </c>
      <c r="BH23" s="7">
        <v>2.0000000000000002E-15</v>
      </c>
      <c r="BI23" t="str">
        <f>HYPERLINK(".\links\PREV-RHOD-PEP\TI_asb-38-PREV-RHOD-PEP.txt"," 8")</f>
        <v xml:space="preserve"> 8</v>
      </c>
      <c r="BJ23" t="s">
        <v>345</v>
      </c>
      <c r="BK23">
        <v>79</v>
      </c>
      <c r="BL23">
        <v>44</v>
      </c>
      <c r="BM23">
        <v>103</v>
      </c>
      <c r="BN23">
        <v>86</v>
      </c>
      <c r="BO23">
        <v>43</v>
      </c>
      <c r="BP23">
        <v>6</v>
      </c>
      <c r="BQ23">
        <v>0</v>
      </c>
      <c r="BR23">
        <v>1</v>
      </c>
      <c r="BS23">
        <v>25</v>
      </c>
      <c r="BT23">
        <v>1</v>
      </c>
      <c r="BU23" t="s">
        <v>54</v>
      </c>
      <c r="BV23" t="s">
        <v>346</v>
      </c>
      <c r="BW23" t="s">
        <v>56</v>
      </c>
      <c r="BX23" t="str">
        <f>HYPERLINK(".\links\PREV-RHOD-CDS\TI_asb-38-PREV-RHOD-CDS.txt","Contig17073_25")</f>
        <v>Contig17073_25</v>
      </c>
      <c r="BY23" s="7">
        <v>9.9999999999999993E-78</v>
      </c>
      <c r="BZ23" t="s">
        <v>345</v>
      </c>
      <c r="CA23">
        <v>289</v>
      </c>
      <c r="CB23">
        <v>303</v>
      </c>
      <c r="CC23">
        <v>312</v>
      </c>
      <c r="CD23">
        <v>86</v>
      </c>
      <c r="CE23">
        <v>97</v>
      </c>
      <c r="CF23">
        <v>42</v>
      </c>
      <c r="CG23">
        <v>10</v>
      </c>
      <c r="CH23">
        <v>9</v>
      </c>
      <c r="CI23">
        <v>33</v>
      </c>
      <c r="CJ23">
        <v>1</v>
      </c>
      <c r="CK23" t="s">
        <v>54</v>
      </c>
      <c r="CL23" t="s">
        <v>347</v>
      </c>
      <c r="CM23">
        <f>HYPERLINK(".\links\GO\TI_asb-38-GO.txt",4.2)</f>
        <v>4.2</v>
      </c>
      <c r="CN23" t="s">
        <v>58</v>
      </c>
      <c r="CO23" t="s">
        <v>58</v>
      </c>
      <c r="CQ23" t="s">
        <v>59</v>
      </c>
      <c r="CR23">
        <v>5.4</v>
      </c>
      <c r="CS23" t="s">
        <v>60</v>
      </c>
      <c r="CT23" t="s">
        <v>60</v>
      </c>
      <c r="CV23" t="s">
        <v>61</v>
      </c>
      <c r="CW23" s="6">
        <v>5.4</v>
      </c>
      <c r="CX23" t="s">
        <v>62</v>
      </c>
      <c r="CY23" t="s">
        <v>58</v>
      </c>
      <c r="DA23" t="s">
        <v>63</v>
      </c>
      <c r="DB23">
        <v>5.4</v>
      </c>
      <c r="DC23" t="str">
        <f>HYPERLINK(".\links\CDD\TI_asb-38-CDD.txt","Merozoite_SPAM")</f>
        <v>Merozoite_SPAM</v>
      </c>
      <c r="DD23" t="str">
        <f>HYPERLINK("http://www.ncbi.nlm.nih.gov/Structure/cdd/cddsrv.cgi?uid=pfam07133&amp;version=v4.0","0.001")</f>
        <v>0.001</v>
      </c>
      <c r="DE23" t="s">
        <v>348</v>
      </c>
      <c r="DF23" t="str">
        <f>HYPERLINK(".\links\PFAM\TI_asb-38-PFAM.txt","Rtt106")</f>
        <v>Rtt106</v>
      </c>
      <c r="DG23" t="str">
        <f>HYPERLINK("http://pfam.sanger.ac.uk/family?acc=PF08512","7E-005")</f>
        <v>7E-005</v>
      </c>
      <c r="DH23" t="str">
        <f>HYPERLINK(".\links\PRK\TI_asb-38-PRK.txt","transcriptional regulator ICP4")</f>
        <v>transcriptional regulator ICP4</v>
      </c>
      <c r="DI23" s="7">
        <v>2.9999999999999997E-4</v>
      </c>
      <c r="DJ23" s="6" t="str">
        <f>HYPERLINK(".\links\KOG\TI_asb-38-KOG.txt","Uncharacterized conserved protein")</f>
        <v>Uncharacterized conserved protein</v>
      </c>
      <c r="DK23" s="6" t="str">
        <f>HYPERLINK("http://www.ncbi.nlm.nih.gov/COG/grace/shokog.cgi?KOG2318","2E-004")</f>
        <v>2E-004</v>
      </c>
      <c r="DL23" s="6" t="s">
        <v>4347</v>
      </c>
      <c r="DM23" s="6" t="str">
        <f>HYPERLINK(".\links\KOG\TI_asb-38-KOG.txt","KOG2318")</f>
        <v>KOG2318</v>
      </c>
      <c r="DN23" t="str">
        <f>HYPERLINK(".\links\SMART\TI_asb-38-SMART.txt","PSN")</f>
        <v>PSN</v>
      </c>
      <c r="DO23" t="str">
        <f>HYPERLINK("http://smart.embl-heidelberg.de/smart/do_annotation.pl?DOMAIN=PSN&amp;BLAST=DUMMY","8E-004")</f>
        <v>8E-004</v>
      </c>
      <c r="DP23" s="3" t="s">
        <v>56</v>
      </c>
      <c r="ED23" s="3" t="s">
        <v>56</v>
      </c>
    </row>
    <row r="24" spans="1:134">
      <c r="A24" t="str">
        <f>HYPERLINK(".\links\seq\TI_asb-39-seq.txt","TI_asb-39")</f>
        <v>TI_asb-39</v>
      </c>
      <c r="B24">
        <v>39</v>
      </c>
      <c r="C24" t="str">
        <f>HYPERLINK(".\links\tsa\TI_asb-39-tsa.txt","1")</f>
        <v>1</v>
      </c>
      <c r="D24">
        <v>1</v>
      </c>
      <c r="E24">
        <v>993</v>
      </c>
      <c r="G24" t="str">
        <f>HYPERLINK(".\links\qual\TI_asb-39-qual.txt","41")</f>
        <v>41</v>
      </c>
      <c r="H24">
        <v>0</v>
      </c>
      <c r="I24">
        <v>1</v>
      </c>
      <c r="J24">
        <f t="shared" si="0"/>
        <v>1</v>
      </c>
      <c r="K24" s="6">
        <f t="shared" si="1"/>
        <v>-1</v>
      </c>
      <c r="L24" s="6" t="s">
        <v>3896</v>
      </c>
      <c r="M24" s="6" t="s">
        <v>3886</v>
      </c>
      <c r="N24" s="6" t="s">
        <v>3867</v>
      </c>
      <c r="O24" s="7">
        <v>5.0000000000000004E-44</v>
      </c>
      <c r="P24" s="6">
        <v>71.5</v>
      </c>
      <c r="Q24" s="3">
        <v>993</v>
      </c>
      <c r="R24" s="3">
        <v>693</v>
      </c>
      <c r="S24" s="3" t="s">
        <v>3502</v>
      </c>
      <c r="T24" s="3">
        <v>1</v>
      </c>
      <c r="U24" t="str">
        <f>HYPERLINK(".\links\NR-LIGHT\TI_asb-39-NR-LIGHT.txt","CG1542")</f>
        <v>CG1542</v>
      </c>
      <c r="V24" t="str">
        <f>HYPERLINK("http://www.ncbi.nlm.nih.gov/sutils/blink.cgi?pid=21357767","2E-030")</f>
        <v>2E-030</v>
      </c>
      <c r="W24" t="str">
        <f>HYPERLINK(".\links\NR-LIGHT\TI_asb-39-NR-LIGHT.txt"," 10")</f>
        <v xml:space="preserve"> 10</v>
      </c>
      <c r="X24" t="str">
        <f>HYPERLINK("http://www.ncbi.nlm.nih.gov/protein/21357767","gi|21357767")</f>
        <v>gi|21357767</v>
      </c>
      <c r="Y24">
        <v>135</v>
      </c>
      <c r="Z24">
        <v>150</v>
      </c>
      <c r="AA24">
        <v>307</v>
      </c>
      <c r="AB24">
        <v>47</v>
      </c>
      <c r="AC24">
        <v>49</v>
      </c>
      <c r="AD24">
        <v>79</v>
      </c>
      <c r="AE24">
        <v>17</v>
      </c>
      <c r="AF24">
        <v>23</v>
      </c>
      <c r="AG24">
        <v>232</v>
      </c>
      <c r="AH24">
        <v>1</v>
      </c>
      <c r="AI24">
        <v>1</v>
      </c>
      <c r="AJ24" t="s">
        <v>53</v>
      </c>
      <c r="AK24" t="s">
        <v>54</v>
      </c>
      <c r="AL24" t="s">
        <v>349</v>
      </c>
      <c r="AM24" t="str">
        <f>HYPERLINK(".\links\SWISSP\TI_asb-39-SWISSP.txt","Probable rRNA-processing protein EBP2 homolog OS=Drosophila melanogaster")</f>
        <v>Probable rRNA-processing protein EBP2 homolog OS=Drosophila melanogaster</v>
      </c>
      <c r="AN24" s="19" t="str">
        <f>HYPERLINK("http://www.uniprot.org/uniprot/Q9V9Z9","5E-031")</f>
        <v>5E-031</v>
      </c>
      <c r="AO24" t="str">
        <f>HYPERLINK(".\links\SWISSP\TI_asb-39-SWISSP.txt"," 10")</f>
        <v xml:space="preserve"> 10</v>
      </c>
      <c r="AP24" t="s">
        <v>350</v>
      </c>
      <c r="AQ24">
        <v>135</v>
      </c>
      <c r="AR24">
        <v>150</v>
      </c>
      <c r="AS24">
        <v>307</v>
      </c>
      <c r="AT24">
        <v>47</v>
      </c>
      <c r="AU24">
        <v>49</v>
      </c>
      <c r="AV24">
        <v>79</v>
      </c>
      <c r="AW24">
        <v>17</v>
      </c>
      <c r="AX24">
        <v>23</v>
      </c>
      <c r="AY24">
        <v>232</v>
      </c>
      <c r="AZ24">
        <v>1</v>
      </c>
      <c r="BA24">
        <v>1</v>
      </c>
      <c r="BB24" t="s">
        <v>53</v>
      </c>
      <c r="BC24" t="s">
        <v>54</v>
      </c>
      <c r="BD24" s="6" t="s">
        <v>143</v>
      </c>
      <c r="BE24" t="s">
        <v>351</v>
      </c>
      <c r="BF24" t="s">
        <v>352</v>
      </c>
      <c r="BG24" t="str">
        <f>HYPERLINK(".\links\PREV-RHOD-PEP\TI_asb-39-PREV-RHOD-PEP.txt","Contig17709_31")</f>
        <v>Contig17709_31</v>
      </c>
      <c r="BH24" s="7">
        <v>6.0000000000000005E-76</v>
      </c>
      <c r="BI24" t="str">
        <f>HYPERLINK(".\links\PREV-RHOD-PEP\TI_asb-39-PREV-RHOD-PEP.txt"," 10")</f>
        <v xml:space="preserve"> 10</v>
      </c>
      <c r="BJ24" t="s">
        <v>353</v>
      </c>
      <c r="BK24">
        <v>280</v>
      </c>
      <c r="BL24">
        <v>202</v>
      </c>
      <c r="BM24">
        <v>294</v>
      </c>
      <c r="BN24">
        <v>73</v>
      </c>
      <c r="BO24">
        <v>69</v>
      </c>
      <c r="BP24">
        <v>54</v>
      </c>
      <c r="BQ24">
        <v>0</v>
      </c>
      <c r="BR24">
        <v>1</v>
      </c>
      <c r="BS24">
        <v>73</v>
      </c>
      <c r="BT24">
        <v>1</v>
      </c>
      <c r="BU24" t="s">
        <v>54</v>
      </c>
      <c r="BV24" t="s">
        <v>354</v>
      </c>
      <c r="BW24" t="s">
        <v>355</v>
      </c>
      <c r="BX24" t="str">
        <f>HYPERLINK(".\links\PREV-RHOD-CDS\TI_asb-39-PREV-RHOD-CDS.txt","Contig17709_31")</f>
        <v>Contig17709_31</v>
      </c>
      <c r="BY24" s="6">
        <v>0</v>
      </c>
      <c r="BZ24" t="s">
        <v>353</v>
      </c>
      <c r="CA24">
        <v>688</v>
      </c>
      <c r="CB24">
        <v>667</v>
      </c>
      <c r="CC24">
        <v>885</v>
      </c>
      <c r="CD24">
        <v>88</v>
      </c>
      <c r="CE24">
        <v>75</v>
      </c>
      <c r="CF24">
        <v>80</v>
      </c>
      <c r="CG24">
        <v>2</v>
      </c>
      <c r="CH24">
        <v>28</v>
      </c>
      <c r="CI24">
        <v>100</v>
      </c>
      <c r="CJ24">
        <v>1</v>
      </c>
      <c r="CK24" t="s">
        <v>54</v>
      </c>
      <c r="CL24" t="s">
        <v>356</v>
      </c>
      <c r="CM24">
        <f>HYPERLINK(".\links\GO\TI_asb-39-GO.txt",1E-31)</f>
        <v>1.0000000000000001E-31</v>
      </c>
      <c r="CN24" t="s">
        <v>58</v>
      </c>
      <c r="CO24" t="s">
        <v>58</v>
      </c>
      <c r="CQ24" t="s">
        <v>59</v>
      </c>
      <c r="CR24" s="7">
        <v>1.0000000000000001E-31</v>
      </c>
      <c r="CS24" t="s">
        <v>246</v>
      </c>
      <c r="CT24" t="s">
        <v>247</v>
      </c>
      <c r="CU24" t="s">
        <v>247</v>
      </c>
      <c r="CV24" t="s">
        <v>248</v>
      </c>
      <c r="CW24" s="7">
        <v>1.0000000000000001E-31</v>
      </c>
      <c r="CX24" t="s">
        <v>249</v>
      </c>
      <c r="CY24" t="s">
        <v>58</v>
      </c>
      <c r="DA24" t="s">
        <v>250</v>
      </c>
      <c r="DB24" s="7">
        <v>1.0000000000000001E-31</v>
      </c>
      <c r="DC24" t="str">
        <f>HYPERLINK(".\links\CDD\TI_asb-39-CDD.txt","Ebp2")</f>
        <v>Ebp2</v>
      </c>
      <c r="DD24" t="str">
        <f>HYPERLINK("http://www.ncbi.nlm.nih.gov/Structure/cdd/cddsrv.cgi?uid=pfam05890&amp;version=v4.0","1E-046")</f>
        <v>1E-046</v>
      </c>
      <c r="DE24" t="s">
        <v>357</v>
      </c>
      <c r="DF24" t="str">
        <f>HYPERLINK(".\links\PFAM\TI_asb-39-PFAM.txt","Ebp2")</f>
        <v>Ebp2</v>
      </c>
      <c r="DG24" t="str">
        <f>HYPERLINK("http://pfam.sanger.ac.uk/family?acc=PF05890","5E-044")</f>
        <v>5E-044</v>
      </c>
      <c r="DH24" t="str">
        <f>HYPERLINK(".\links\PRK\TI_asb-39-PRK.txt","NADH dehydrogenase subunit 5")</f>
        <v>NADH dehydrogenase subunit 5</v>
      </c>
      <c r="DI24" s="6">
        <v>1E-3</v>
      </c>
      <c r="DJ24" s="6" t="str">
        <f>HYPERLINK(".\links\KOG\TI_asb-39-KOG.txt","Nucleolar protein-like/EBNA1-binding protein")</f>
        <v>Nucleolar protein-like/EBNA1-binding protein</v>
      </c>
      <c r="DK24" s="6" t="str">
        <f>HYPERLINK("http://www.ncbi.nlm.nih.gov/COG/grace/shokog.cgi?KOG3080","2E-047")</f>
        <v>2E-047</v>
      </c>
      <c r="DL24" s="6" t="s">
        <v>4348</v>
      </c>
      <c r="DM24" s="6" t="str">
        <f>HYPERLINK(".\links\KOG\TI_asb-39-KOG.txt","KOG3080")</f>
        <v>KOG3080</v>
      </c>
      <c r="DN24" t="str">
        <f>HYPERLINK(".\links\SMART\TI_asb-39-SMART.txt","PSN")</f>
        <v>PSN</v>
      </c>
      <c r="DO24" t="str">
        <f>HYPERLINK("http://smart.embl-heidelberg.de/smart/do_annotation.pl?DOMAIN=PSN&amp;BLAST=DUMMY","0.018")</f>
        <v>0.018</v>
      </c>
      <c r="DP24" s="3" t="s">
        <v>56</v>
      </c>
      <c r="ED24" s="3" t="s">
        <v>56</v>
      </c>
    </row>
    <row r="25" spans="1:134">
      <c r="A25" t="str">
        <f>HYPERLINK(".\links\seq\TI_asb-40-seq.txt","TI_asb-40")</f>
        <v>TI_asb-40</v>
      </c>
      <c r="B25">
        <v>40</v>
      </c>
      <c r="C25" t="str">
        <f>HYPERLINK(".\links\tsa\TI_asb-40-tsa.txt","2")</f>
        <v>2</v>
      </c>
      <c r="D25">
        <v>2</v>
      </c>
      <c r="E25">
        <v>702</v>
      </c>
      <c r="G25" t="str">
        <f>HYPERLINK(".\links\qual\TI_asb-40-qual.txt","65")</f>
        <v>65</v>
      </c>
      <c r="H25">
        <v>2</v>
      </c>
      <c r="I25">
        <v>0</v>
      </c>
      <c r="J25">
        <f t="shared" si="0"/>
        <v>2</v>
      </c>
      <c r="K25" s="6">
        <f t="shared" si="1"/>
        <v>2</v>
      </c>
      <c r="L25" s="6" t="s">
        <v>3897</v>
      </c>
      <c r="M25" s="6" t="s">
        <v>3866</v>
      </c>
      <c r="N25" s="6" t="s">
        <v>3884</v>
      </c>
      <c r="O25" s="7">
        <v>1.9999999999999999E-40</v>
      </c>
      <c r="P25" s="6">
        <v>4.8</v>
      </c>
      <c r="Q25" s="3">
        <v>702</v>
      </c>
      <c r="R25" s="3">
        <v>696</v>
      </c>
      <c r="S25" s="6" t="s">
        <v>3503</v>
      </c>
      <c r="T25" s="3">
        <v>3</v>
      </c>
      <c r="U25" t="str">
        <f>HYPERLINK(".\links\NR-LIGHT\TI_asb-40-NR-LIGHT.txt","hypothetical protein TcasGA2_TC012900")</f>
        <v>hypothetical protein TcasGA2_TC012900</v>
      </c>
      <c r="V25" t="str">
        <f>HYPERLINK("http://www.ncbi.nlm.nih.gov/sutils/blink.cgi?pid=270016051","6E-072")</f>
        <v>6E-072</v>
      </c>
      <c r="W25" t="str">
        <f>HYPERLINK(".\links\NR-LIGHT\TI_asb-40-NR-LIGHT.txt"," 10")</f>
        <v xml:space="preserve"> 10</v>
      </c>
      <c r="X25" t="str">
        <f>HYPERLINK("http://www.ncbi.nlm.nih.gov/protein/270016051","gi|270016051")</f>
        <v>gi|270016051</v>
      </c>
      <c r="Y25">
        <v>272</v>
      </c>
      <c r="Z25">
        <v>235</v>
      </c>
      <c r="AA25">
        <v>1457</v>
      </c>
      <c r="AB25">
        <v>60</v>
      </c>
      <c r="AC25">
        <v>16</v>
      </c>
      <c r="AD25">
        <v>93</v>
      </c>
      <c r="AE25">
        <v>10</v>
      </c>
      <c r="AF25">
        <v>1078</v>
      </c>
      <c r="AG25">
        <v>24</v>
      </c>
      <c r="AH25">
        <v>1</v>
      </c>
      <c r="AI25">
        <v>3</v>
      </c>
      <c r="AJ25" t="s">
        <v>53</v>
      </c>
      <c r="AK25" t="s">
        <v>54</v>
      </c>
      <c r="AL25" t="s">
        <v>79</v>
      </c>
      <c r="AM25" t="str">
        <f>HYPERLINK(".\links\SWISSP\TI_asb-40-SWISSP.txt","Midasin OS=Homo sapiens GN=MDN1 PE=1 SV=2")</f>
        <v>Midasin OS=Homo sapiens GN=MDN1 PE=1 SV=2</v>
      </c>
      <c r="AN25" s="19" t="str">
        <f>HYPERLINK("http://www.uniprot.org/uniprot/Q9NU22","1E-051")</f>
        <v>1E-051</v>
      </c>
      <c r="AO25" t="str">
        <f>HYPERLINK(".\links\SWISSP\TI_asb-40-SWISSP.txt"," 10")</f>
        <v xml:space="preserve"> 10</v>
      </c>
      <c r="AP25" t="s">
        <v>358</v>
      </c>
      <c r="AQ25">
        <v>202</v>
      </c>
      <c r="AR25">
        <v>227</v>
      </c>
      <c r="AS25">
        <v>5596</v>
      </c>
      <c r="AT25">
        <v>49</v>
      </c>
      <c r="AU25">
        <v>4</v>
      </c>
      <c r="AV25">
        <v>114</v>
      </c>
      <c r="AW25">
        <v>8</v>
      </c>
      <c r="AX25">
        <v>5233</v>
      </c>
      <c r="AY25">
        <v>45</v>
      </c>
      <c r="AZ25">
        <v>1</v>
      </c>
      <c r="BA25">
        <v>3</v>
      </c>
      <c r="BB25" t="s">
        <v>53</v>
      </c>
      <c r="BC25" t="s">
        <v>54</v>
      </c>
      <c r="BD25" t="s">
        <v>330</v>
      </c>
      <c r="BE25" t="s">
        <v>359</v>
      </c>
      <c r="BF25" t="s">
        <v>360</v>
      </c>
      <c r="BG25" t="str">
        <f>HYPERLINK(".\links\PREV-RHOD-PEP\TI_asb-40-PREV-RHOD-PEP.txt","Contig17834_1")</f>
        <v>Contig17834_1</v>
      </c>
      <c r="BH25" s="7">
        <v>9.9999999999999995E-113</v>
      </c>
      <c r="BI25" t="str">
        <f>HYPERLINK(".\links\PREV-RHOD-PEP\TI_asb-40-PREV-RHOD-PEP.txt"," 10")</f>
        <v xml:space="preserve"> 10</v>
      </c>
      <c r="BJ25" t="s">
        <v>361</v>
      </c>
      <c r="BK25">
        <v>401</v>
      </c>
      <c r="BL25">
        <v>223</v>
      </c>
      <c r="BM25">
        <v>1363</v>
      </c>
      <c r="BN25">
        <v>91</v>
      </c>
      <c r="BO25">
        <v>16</v>
      </c>
      <c r="BP25">
        <v>19</v>
      </c>
      <c r="BQ25">
        <v>1</v>
      </c>
      <c r="BR25">
        <v>909</v>
      </c>
      <c r="BS25">
        <v>36</v>
      </c>
      <c r="BT25">
        <v>1</v>
      </c>
      <c r="BU25" t="s">
        <v>54</v>
      </c>
      <c r="BV25" t="s">
        <v>362</v>
      </c>
      <c r="BW25" t="s">
        <v>56</v>
      </c>
      <c r="BX25" t="str">
        <f>HYPERLINK(".\links\PREV-RHOD-CDS\TI_asb-40-PREV-RHOD-CDS.txt","Contig17834_1")</f>
        <v>Contig17834_1</v>
      </c>
      <c r="BY25" s="7">
        <v>9.9999999999999995E-178</v>
      </c>
      <c r="BZ25" t="s">
        <v>361</v>
      </c>
      <c r="CA25">
        <v>620</v>
      </c>
      <c r="CB25">
        <v>670</v>
      </c>
      <c r="CC25">
        <v>4089</v>
      </c>
      <c r="CD25">
        <v>86</v>
      </c>
      <c r="CE25">
        <v>16</v>
      </c>
      <c r="CF25">
        <v>89</v>
      </c>
      <c r="CG25">
        <v>3</v>
      </c>
      <c r="CH25">
        <v>2724</v>
      </c>
      <c r="CI25">
        <v>35</v>
      </c>
      <c r="CJ25">
        <v>1</v>
      </c>
      <c r="CK25" t="s">
        <v>54</v>
      </c>
      <c r="CL25" t="s">
        <v>363</v>
      </c>
      <c r="CM25">
        <f>HYPERLINK(".\links\GO\TI_asb-40-GO.txt",1E-43)</f>
        <v>1.0000000000000001E-43</v>
      </c>
      <c r="CN25" t="s">
        <v>364</v>
      </c>
      <c r="CO25" t="s">
        <v>129</v>
      </c>
      <c r="CP25" t="s">
        <v>166</v>
      </c>
      <c r="CQ25" t="s">
        <v>365</v>
      </c>
      <c r="CR25" s="7">
        <v>1.0000000000000001E-43</v>
      </c>
      <c r="CS25" t="s">
        <v>224</v>
      </c>
      <c r="CT25" t="s">
        <v>75</v>
      </c>
      <c r="CU25" t="s">
        <v>76</v>
      </c>
      <c r="CV25" t="s">
        <v>225</v>
      </c>
      <c r="CW25" s="7">
        <v>1.0000000000000001E-43</v>
      </c>
      <c r="CX25" t="s">
        <v>366</v>
      </c>
      <c r="CY25" t="s">
        <v>129</v>
      </c>
      <c r="CZ25" t="s">
        <v>166</v>
      </c>
      <c r="DA25" t="s">
        <v>367</v>
      </c>
      <c r="DB25" s="7">
        <v>1.0000000000000001E-43</v>
      </c>
      <c r="DC25" t="str">
        <f>HYPERLINK(".\links\CDD\TI_asb-40-CDD.txt","vWA_midasin")</f>
        <v>vWA_midasin</v>
      </c>
      <c r="DD25" t="str">
        <f>HYPERLINK("http://www.ncbi.nlm.nih.gov/Structure/cdd/cddsrv.cgi?uid=cd01460&amp;version=v4.0","6E-057")</f>
        <v>6E-057</v>
      </c>
      <c r="DE25" t="s">
        <v>368</v>
      </c>
      <c r="DF25" t="str">
        <f>HYPERLINK(".\links\PFAM\TI_asb-40-PFAM.txt","VWA_CoxE")</f>
        <v>VWA_CoxE</v>
      </c>
      <c r="DG25" t="str">
        <f>HYPERLINK("http://pfam.sanger.ac.uk/family?acc=PF05762","0.020")</f>
        <v>0.020</v>
      </c>
      <c r="DH25" t="str">
        <f>HYPERLINK(".\links\PRK\TI_asb-40-PRK.txt","NADH dehydrogenase subunit 4")</f>
        <v>NADH dehydrogenase subunit 4</v>
      </c>
      <c r="DI25" s="6">
        <v>6.6000000000000003E-2</v>
      </c>
      <c r="DJ25" s="6" t="str">
        <f>HYPERLINK(".\links\KOG\TI_asb-40-KOG.txt","AAA ATPase containing von Willebrand factor type A (vWA) domain")</f>
        <v>AAA ATPase containing von Willebrand factor type A (vWA) domain</v>
      </c>
      <c r="DK25" s="6" t="str">
        <f>HYPERLINK("http://www.ncbi.nlm.nih.gov/COG/grace/shokog.cgi?KOG1808","2E-027")</f>
        <v>2E-027</v>
      </c>
      <c r="DL25" s="6" t="s">
        <v>4337</v>
      </c>
      <c r="DM25" s="6" t="str">
        <f>HYPERLINK(".\links\KOG\TI_asb-40-KOG.txt","KOG1808")</f>
        <v>KOG1808</v>
      </c>
      <c r="DN25" t="str">
        <f>HYPERLINK(".\links\SMART\TI_asb-40-SMART.txt","VWA")</f>
        <v>VWA</v>
      </c>
      <c r="DO25" t="str">
        <f>HYPERLINK("http://smart.embl-heidelberg.de/smart/do_annotation.pl?DOMAIN=VWA&amp;BLAST=DUMMY","0.010")</f>
        <v>0.010</v>
      </c>
      <c r="DP25" s="3" t="s">
        <v>56</v>
      </c>
      <c r="ED25" s="3" t="s">
        <v>56</v>
      </c>
    </row>
    <row r="26" spans="1:134">
      <c r="A26" t="str">
        <f>HYPERLINK(".\links\seq\TI_asb-41-seq.txt","TI_asb-41")</f>
        <v>TI_asb-41</v>
      </c>
      <c r="B26">
        <v>41</v>
      </c>
      <c r="C26" t="str">
        <f>HYPERLINK(".\links\tsa\TI_asb-41-tsa.txt","3")</f>
        <v>3</v>
      </c>
      <c r="D26">
        <v>3</v>
      </c>
      <c r="E26">
        <v>571</v>
      </c>
      <c r="F26">
        <v>391</v>
      </c>
      <c r="G26" t="str">
        <f>HYPERLINK(".\links\qual\TI_asb-41-qual.txt","74")</f>
        <v>74</v>
      </c>
      <c r="H26">
        <v>1</v>
      </c>
      <c r="I26">
        <v>2</v>
      </c>
      <c r="J26">
        <f t="shared" si="0"/>
        <v>1</v>
      </c>
      <c r="K26" s="6">
        <f t="shared" si="1"/>
        <v>-1</v>
      </c>
      <c r="L26" s="6" t="s">
        <v>3898</v>
      </c>
      <c r="M26" s="6" t="s">
        <v>3871</v>
      </c>
      <c r="N26" s="6" t="s">
        <v>3864</v>
      </c>
      <c r="O26" s="7">
        <v>2.0000000000000001E-26</v>
      </c>
      <c r="P26" s="6">
        <v>95.9</v>
      </c>
      <c r="Q26" s="3">
        <v>571</v>
      </c>
      <c r="R26" s="3">
        <v>336</v>
      </c>
      <c r="S26" s="5" t="s">
        <v>3504</v>
      </c>
      <c r="T26" s="3">
        <v>5</v>
      </c>
      <c r="U26" t="str">
        <f>HYPERLINK(".\links\NR-LIGHT\TI_asb-41-NR-LIGHT.txt","similar to hydrogen-transporting ATP synthase, G-subunit, putative")</f>
        <v>similar to hydrogen-transporting ATP synthase, G-subunit, putative</v>
      </c>
      <c r="V26" t="str">
        <f>HYPERLINK("http://www.ncbi.nlm.nih.gov/sutils/blink.cgi?pid=91081869","2E-026")</f>
        <v>2E-026</v>
      </c>
      <c r="W26" t="str">
        <f>HYPERLINK(".\links\NR-LIGHT\TI_asb-41-NR-LIGHT.txt"," 10")</f>
        <v xml:space="preserve"> 10</v>
      </c>
      <c r="X26" t="str">
        <f>HYPERLINK("http://www.ncbi.nlm.nih.gov/protein/91081869","gi|91081869")</f>
        <v>gi|91081869</v>
      </c>
      <c r="Y26">
        <v>120</v>
      </c>
      <c r="Z26">
        <v>95</v>
      </c>
      <c r="AA26">
        <v>99</v>
      </c>
      <c r="AB26">
        <v>54</v>
      </c>
      <c r="AC26">
        <v>96</v>
      </c>
      <c r="AD26">
        <v>43</v>
      </c>
      <c r="AE26">
        <v>0</v>
      </c>
      <c r="AF26">
        <v>5</v>
      </c>
      <c r="AG26">
        <v>9</v>
      </c>
      <c r="AH26">
        <v>1</v>
      </c>
      <c r="AI26">
        <v>3</v>
      </c>
      <c r="AJ26" t="s">
        <v>53</v>
      </c>
      <c r="AK26" t="s">
        <v>54</v>
      </c>
      <c r="AL26" t="s">
        <v>79</v>
      </c>
      <c r="AM26" t="str">
        <f>HYPERLINK(".\links\SWISSP\TI_asb-41-SWISSP.txt","ATP synthase subunit g, mitochondrial OS=Pongo abelii GN=ATP5L PE=3 SV=1")</f>
        <v>ATP synthase subunit g, mitochondrial OS=Pongo abelii GN=ATP5L PE=3 SV=1</v>
      </c>
      <c r="AN26" s="19" t="str">
        <f>HYPERLINK("http://www.uniprot.org/uniprot/Q5RFH0","5E-023")</f>
        <v>5E-023</v>
      </c>
      <c r="AO26" t="str">
        <f>HYPERLINK(".\links\SWISSP\TI_asb-41-SWISSP.txt"," 10")</f>
        <v xml:space="preserve"> 10</v>
      </c>
      <c r="AP26" t="s">
        <v>369</v>
      </c>
      <c r="AQ26">
        <v>107</v>
      </c>
      <c r="AR26">
        <v>97</v>
      </c>
      <c r="AS26">
        <v>103</v>
      </c>
      <c r="AT26">
        <v>53</v>
      </c>
      <c r="AU26">
        <v>94</v>
      </c>
      <c r="AV26">
        <v>45</v>
      </c>
      <c r="AW26">
        <v>0</v>
      </c>
      <c r="AX26">
        <v>7</v>
      </c>
      <c r="AY26">
        <v>3</v>
      </c>
      <c r="AZ26">
        <v>1</v>
      </c>
      <c r="BA26">
        <v>3</v>
      </c>
      <c r="BB26" t="s">
        <v>53</v>
      </c>
      <c r="BC26" t="s">
        <v>54</v>
      </c>
      <c r="BD26" t="s">
        <v>245</v>
      </c>
      <c r="BE26" t="s">
        <v>370</v>
      </c>
      <c r="BF26" t="s">
        <v>371</v>
      </c>
      <c r="BG26" t="str">
        <f>HYPERLINK(".\links\PREV-RHOD-PEP\TI_asb-41-PREV-RHOD-PEP.txt","Contig17955_250")</f>
        <v>Contig17955_250</v>
      </c>
      <c r="BH26" s="7">
        <v>2E-41</v>
      </c>
      <c r="BI26" t="str">
        <f>HYPERLINK(".\links\PREV-RHOD-PEP\TI_asb-41-PREV-RHOD-PEP.txt"," 4")</f>
        <v xml:space="preserve"> 4</v>
      </c>
      <c r="BJ26" t="s">
        <v>372</v>
      </c>
      <c r="BK26">
        <v>164</v>
      </c>
      <c r="BL26">
        <v>93</v>
      </c>
      <c r="BM26">
        <v>94</v>
      </c>
      <c r="BN26">
        <v>81</v>
      </c>
      <c r="BO26">
        <v>99</v>
      </c>
      <c r="BP26">
        <v>17</v>
      </c>
      <c r="BQ26">
        <v>0</v>
      </c>
      <c r="BR26">
        <v>2</v>
      </c>
      <c r="BS26">
        <v>21</v>
      </c>
      <c r="BT26">
        <v>1</v>
      </c>
      <c r="BU26" t="s">
        <v>54</v>
      </c>
      <c r="BV26" t="s">
        <v>373</v>
      </c>
      <c r="BW26" t="s">
        <v>56</v>
      </c>
      <c r="BX26" t="str">
        <f>HYPERLINK(".\links\PREV-RHOD-CDS\TI_asb-41-PREV-RHOD-CDS.txt","Contig17955_250")</f>
        <v>Contig17955_250</v>
      </c>
      <c r="BY26" s="7">
        <v>2.9999999999999999E-50</v>
      </c>
      <c r="BZ26" t="s">
        <v>372</v>
      </c>
      <c r="CA26">
        <v>198</v>
      </c>
      <c r="CB26">
        <v>227</v>
      </c>
      <c r="CC26">
        <v>285</v>
      </c>
      <c r="CD26">
        <v>85</v>
      </c>
      <c r="CE26">
        <v>80</v>
      </c>
      <c r="CF26">
        <v>32</v>
      </c>
      <c r="CG26">
        <v>0</v>
      </c>
      <c r="CH26">
        <v>23</v>
      </c>
      <c r="CI26">
        <v>40</v>
      </c>
      <c r="CJ26">
        <v>1</v>
      </c>
      <c r="CK26" t="s">
        <v>54</v>
      </c>
      <c r="CL26" t="s">
        <v>374</v>
      </c>
      <c r="CM26">
        <f>HYPERLINK(".\links\GO\TI_asb-41-GO.txt",2E-26)</f>
        <v>2.0000000000000001E-26</v>
      </c>
      <c r="CN26" t="s">
        <v>375</v>
      </c>
      <c r="CO26" t="s">
        <v>129</v>
      </c>
      <c r="CP26" t="s">
        <v>166</v>
      </c>
      <c r="CQ26" t="s">
        <v>376</v>
      </c>
      <c r="CR26" s="7">
        <v>2.0000000000000001E-26</v>
      </c>
      <c r="CS26" t="s">
        <v>377</v>
      </c>
      <c r="CT26" t="s">
        <v>75</v>
      </c>
      <c r="CU26" t="s">
        <v>378</v>
      </c>
      <c r="CV26" t="s">
        <v>379</v>
      </c>
      <c r="CW26" s="7">
        <v>2.0000000000000001E-26</v>
      </c>
      <c r="CX26" t="s">
        <v>380</v>
      </c>
      <c r="CY26" t="s">
        <v>129</v>
      </c>
      <c r="CZ26" t="s">
        <v>166</v>
      </c>
      <c r="DA26" t="s">
        <v>381</v>
      </c>
      <c r="DB26" s="7">
        <v>2.0000000000000001E-26</v>
      </c>
      <c r="DC26" t="str">
        <f>HYPERLINK(".\links\CDD\TI_asb-41-CDD.txt","ATP-synt_G")</f>
        <v>ATP-synt_G</v>
      </c>
      <c r="DD26" t="str">
        <f>HYPERLINK("http://www.ncbi.nlm.nih.gov/Structure/cdd/cddsrv.cgi?uid=pfam04718&amp;version=v4.0","9E-018")</f>
        <v>9E-018</v>
      </c>
      <c r="DE26" t="s">
        <v>382</v>
      </c>
      <c r="DF26" t="str">
        <f>HYPERLINK(".\links\PFAM\TI_asb-41-PFAM.txt","ATP-synt_G")</f>
        <v>ATP-synt_G</v>
      </c>
      <c r="DG26" t="str">
        <f>HYPERLINK("http://pfam.sanger.ac.uk/family?acc=PF04718","1E-028")</f>
        <v>1E-028</v>
      </c>
      <c r="DH26" t="str">
        <f>HYPERLINK(".\links\PRK\TI_asb-41-PRK.txt","NADH dehydrogenase subunit 4")</f>
        <v>NADH dehydrogenase subunit 4</v>
      </c>
      <c r="DI26" s="7">
        <v>2.0000000000000001E-9</v>
      </c>
      <c r="DJ26" s="6" t="str">
        <f>HYPERLINK(".\links\KOG\TI_asb-41-KOG.txt","Mitochondrial F1F0-ATP synthase, subunit g/ATP20")</f>
        <v>Mitochondrial F1F0-ATP synthase, subunit g/ATP20</v>
      </c>
      <c r="DK26" s="6" t="str">
        <f>HYPERLINK("http://www.ncbi.nlm.nih.gov/COG/grace/shokog.cgi?KOG4103","5E-025")</f>
        <v>5E-025</v>
      </c>
      <c r="DL26" s="6" t="s">
        <v>4349</v>
      </c>
      <c r="DM26" s="6" t="str">
        <f>HYPERLINK(".\links\KOG\TI_asb-41-KOG.txt","KOG4103")</f>
        <v>KOG4103</v>
      </c>
      <c r="DN26" t="str">
        <f>HYPERLINK(".\links\SMART\TI_asb-41-SMART.txt","PSN")</f>
        <v>PSN</v>
      </c>
      <c r="DO26" t="str">
        <f>HYPERLINK("http://smart.embl-heidelberg.de/smart/do_annotation.pl?DOMAIN=PSN&amp;BLAST=DUMMY","4E-005")</f>
        <v>4E-005</v>
      </c>
      <c r="DP26" s="3" t="s">
        <v>56</v>
      </c>
      <c r="ED26" s="3" t="s">
        <v>56</v>
      </c>
    </row>
    <row r="27" spans="1:134">
      <c r="A27" t="str">
        <f>HYPERLINK(".\links\seq\TI_asb-44-seq.txt","TI_asb-44")</f>
        <v>TI_asb-44</v>
      </c>
      <c r="B27">
        <v>44</v>
      </c>
      <c r="C27" t="str">
        <f>HYPERLINK(".\links\tsa\TI_asb-44-tsa.txt","1")</f>
        <v>1</v>
      </c>
      <c r="D27">
        <v>1</v>
      </c>
      <c r="E27">
        <v>952</v>
      </c>
      <c r="F27">
        <v>835</v>
      </c>
      <c r="G27" t="str">
        <f>HYPERLINK(".\links\qual\TI_asb-44-qual.txt","27")</f>
        <v>27</v>
      </c>
      <c r="H27">
        <v>1</v>
      </c>
      <c r="I27">
        <v>0</v>
      </c>
      <c r="J27">
        <f t="shared" si="0"/>
        <v>1</v>
      </c>
      <c r="K27" s="6">
        <f t="shared" si="1"/>
        <v>1</v>
      </c>
      <c r="L27" s="6" t="s">
        <v>3899</v>
      </c>
      <c r="M27" s="6" t="s">
        <v>3900</v>
      </c>
      <c r="N27" s="6" t="s">
        <v>3864</v>
      </c>
      <c r="O27" s="7">
        <v>1E-51</v>
      </c>
      <c r="P27" s="6">
        <v>27</v>
      </c>
      <c r="Q27" s="3">
        <v>952</v>
      </c>
      <c r="R27" s="3">
        <v>381</v>
      </c>
      <c r="S27" s="3" t="s">
        <v>3505</v>
      </c>
      <c r="T27" s="3">
        <v>2</v>
      </c>
      <c r="U27" t="str">
        <f>HYPERLINK(".\links\NR-LIGHT\TI_asb-44-NR-LIGHT.txt","similar to proteasome subunit beta type 5,8")</f>
        <v>similar to proteasome subunit beta type 5,8</v>
      </c>
      <c r="V27" t="str">
        <f>HYPERLINK("http://www.ncbi.nlm.nih.gov/sutils/blink.cgi?pid=91085931","1E-051")</f>
        <v>1E-051</v>
      </c>
      <c r="W27" t="str">
        <f>HYPERLINK(".\links\NR-LIGHT\TI_asb-44-NR-LIGHT.txt"," 10")</f>
        <v xml:space="preserve"> 10</v>
      </c>
      <c r="X27" t="str">
        <f>HYPERLINK("http://www.ncbi.nlm.nih.gov/protein/91085931","gi|91085931")</f>
        <v>gi|91085931</v>
      </c>
      <c r="Y27">
        <v>125</v>
      </c>
      <c r="Z27">
        <v>77</v>
      </c>
      <c r="AA27">
        <v>279</v>
      </c>
      <c r="AB27">
        <v>76</v>
      </c>
      <c r="AC27">
        <v>28</v>
      </c>
      <c r="AD27">
        <v>18</v>
      </c>
      <c r="AE27">
        <v>0</v>
      </c>
      <c r="AF27">
        <v>31</v>
      </c>
      <c r="AG27">
        <v>158</v>
      </c>
      <c r="AH27">
        <v>2</v>
      </c>
      <c r="AI27">
        <v>1</v>
      </c>
      <c r="AJ27" t="s">
        <v>65</v>
      </c>
      <c r="AK27" t="s">
        <v>54</v>
      </c>
      <c r="AL27" t="s">
        <v>79</v>
      </c>
      <c r="AM27" t="str">
        <f>HYPERLINK(".\links\SWISSP\TI_asb-44-SWISSP.txt","Proteasome subunit beta type-5 OS=Rattus norvegicus GN=Psmb5 PE=1 SV=3")</f>
        <v>Proteasome subunit beta type-5 OS=Rattus norvegicus GN=Psmb5 PE=1 SV=3</v>
      </c>
      <c r="AN27" s="19" t="str">
        <f>HYPERLINK("http://www.uniprot.org/uniprot/P28075","1E-035")</f>
        <v>1E-035</v>
      </c>
      <c r="AO27" t="str">
        <f>HYPERLINK(".\links\SWISSP\TI_asb-44-SWISSP.txt"," 10")</f>
        <v xml:space="preserve"> 10</v>
      </c>
      <c r="AP27" t="s">
        <v>387</v>
      </c>
      <c r="AQ27">
        <v>119</v>
      </c>
      <c r="AR27">
        <v>77</v>
      </c>
      <c r="AS27">
        <v>263</v>
      </c>
      <c r="AT27">
        <v>70</v>
      </c>
      <c r="AU27">
        <v>29</v>
      </c>
      <c r="AV27">
        <v>23</v>
      </c>
      <c r="AW27">
        <v>0</v>
      </c>
      <c r="AX27">
        <v>51</v>
      </c>
      <c r="AY27">
        <v>248</v>
      </c>
      <c r="AZ27">
        <v>2</v>
      </c>
      <c r="BA27">
        <v>1</v>
      </c>
      <c r="BB27" t="s">
        <v>65</v>
      </c>
      <c r="BC27" t="s">
        <v>54</v>
      </c>
      <c r="BD27" t="s">
        <v>122</v>
      </c>
      <c r="BE27" t="s">
        <v>388</v>
      </c>
      <c r="BF27" t="s">
        <v>389</v>
      </c>
      <c r="BG27" t="str">
        <f>HYPERLINK(".\links\PREV-RHOD-PEP\TI_asb-44-PREV-RHOD-PEP.txt","Contig17812_13")</f>
        <v>Contig17812_13</v>
      </c>
      <c r="BH27" s="7">
        <v>2.9999999999999999E-82</v>
      </c>
      <c r="BI27" t="str">
        <f>HYPERLINK(".\links\PREV-RHOD-PEP\TI_asb-44-PREV-RHOD-PEP.txt"," 5")</f>
        <v xml:space="preserve"> 5</v>
      </c>
      <c r="BJ27" t="s">
        <v>390</v>
      </c>
      <c r="BK27">
        <v>177</v>
      </c>
      <c r="BL27">
        <v>102</v>
      </c>
      <c r="BM27">
        <v>274</v>
      </c>
      <c r="BN27">
        <v>84</v>
      </c>
      <c r="BO27">
        <v>37</v>
      </c>
      <c r="BP27">
        <v>16</v>
      </c>
      <c r="BQ27">
        <v>0</v>
      </c>
      <c r="BR27">
        <v>1</v>
      </c>
      <c r="BS27">
        <v>71</v>
      </c>
      <c r="BT27">
        <v>2</v>
      </c>
      <c r="BU27" t="s">
        <v>54</v>
      </c>
      <c r="BV27" t="s">
        <v>391</v>
      </c>
      <c r="BW27" t="s">
        <v>56</v>
      </c>
      <c r="BX27" t="str">
        <f>HYPERLINK(".\links\PREV-RHOD-CDS\TI_asb-44-PREV-RHOD-CDS.txt","Contig17812_13")</f>
        <v>Contig17812_13</v>
      </c>
      <c r="BY27" s="7">
        <v>1E-134</v>
      </c>
      <c r="BZ27" t="s">
        <v>390</v>
      </c>
      <c r="CA27">
        <v>478</v>
      </c>
      <c r="CB27">
        <v>436</v>
      </c>
      <c r="CC27">
        <v>825</v>
      </c>
      <c r="CD27">
        <v>89</v>
      </c>
      <c r="CE27">
        <v>53</v>
      </c>
      <c r="CF27">
        <v>48</v>
      </c>
      <c r="CG27">
        <v>1</v>
      </c>
      <c r="CH27">
        <v>76</v>
      </c>
      <c r="CI27">
        <v>146</v>
      </c>
      <c r="CJ27">
        <v>1</v>
      </c>
      <c r="CK27" t="s">
        <v>54</v>
      </c>
      <c r="CL27" t="s">
        <v>392</v>
      </c>
      <c r="CM27">
        <f>HYPERLINK(".\links\GO\TI_asb-44-GO.txt",1E-44)</f>
        <v>9.9999999999999995E-45</v>
      </c>
      <c r="CN27" t="s">
        <v>393</v>
      </c>
      <c r="CO27" t="s">
        <v>129</v>
      </c>
      <c r="CP27" t="s">
        <v>166</v>
      </c>
      <c r="CQ27" t="s">
        <v>394</v>
      </c>
      <c r="CR27" s="7">
        <v>9.9999999999999995E-45</v>
      </c>
      <c r="CS27" t="s">
        <v>395</v>
      </c>
      <c r="CT27" t="s">
        <v>396</v>
      </c>
      <c r="CU27" t="s">
        <v>397</v>
      </c>
      <c r="CV27" t="s">
        <v>398</v>
      </c>
      <c r="CW27" s="7">
        <v>9.9999999999999995E-45</v>
      </c>
      <c r="CX27" t="s">
        <v>399</v>
      </c>
      <c r="CY27" t="s">
        <v>129</v>
      </c>
      <c r="CZ27" t="s">
        <v>166</v>
      </c>
      <c r="DA27" t="s">
        <v>400</v>
      </c>
      <c r="DB27" s="7">
        <v>9.9999999999999995E-45</v>
      </c>
      <c r="DC27" t="str">
        <f>HYPERLINK(".\links\CDD\TI_asb-44-CDD.txt","proteasome_beta")</f>
        <v>proteasome_beta</v>
      </c>
      <c r="DD27" t="str">
        <f>HYPERLINK("http://www.ncbi.nlm.nih.gov/Structure/cdd/cddsrv.cgi?uid=cd03761&amp;version=v4.0","1E-034")</f>
        <v>1E-034</v>
      </c>
      <c r="DE27" t="s">
        <v>401</v>
      </c>
      <c r="DF27" t="str">
        <f>HYPERLINK(".\links\PFAM\TI_asb-44-PFAM.txt","Proteasome")</f>
        <v>Proteasome</v>
      </c>
      <c r="DG27" t="str">
        <f>HYPERLINK("http://pfam.sanger.ac.uk/family?acc=PF00227","2E-012")</f>
        <v>2E-012</v>
      </c>
      <c r="DH27" t="str">
        <f>HYPERLINK(".\links\PRK\TI_asb-44-PRK.txt","Proteasome subunit beta type-5")</f>
        <v>Proteasome subunit beta type-5</v>
      </c>
      <c r="DI27" s="7">
        <v>7.0000000000000006E-30</v>
      </c>
      <c r="DJ27" s="6" t="str">
        <f>HYPERLINK(".\links\KOG\TI_asb-44-KOG.txt","20S proteasome, regulatory subunit beta type PSMB5/PSMB8/PRE2")</f>
        <v>20S proteasome, regulatory subunit beta type PSMB5/PSMB8/PRE2</v>
      </c>
      <c r="DK27" s="6" t="str">
        <f>HYPERLINK("http://www.ncbi.nlm.nih.gov/COG/grace/shokog.cgi?KOG0175","1E-034")</f>
        <v>1E-034</v>
      </c>
      <c r="DL27" s="6" t="s">
        <v>4340</v>
      </c>
      <c r="DM27" s="6" t="str">
        <f>HYPERLINK(".\links\KOG\TI_asb-44-KOG.txt","KOG0175")</f>
        <v>KOG0175</v>
      </c>
      <c r="DN27" t="str">
        <f>HYPERLINK(".\links\SMART\TI_asb-44-SMART.txt","AgrB")</f>
        <v>AgrB</v>
      </c>
      <c r="DO27" t="str">
        <f>HYPERLINK("http://smart.embl-heidelberg.de/smart/do_annotation.pl?DOMAIN=AgrB&amp;BLAST=DUMMY","3E-004")</f>
        <v>3E-004</v>
      </c>
      <c r="DP27" s="3" t="s">
        <v>56</v>
      </c>
      <c r="ED27" s="3" t="s">
        <v>56</v>
      </c>
    </row>
    <row r="28" spans="1:134">
      <c r="A28" t="str">
        <f>HYPERLINK(".\links\seq\TI_asb-45-seq.txt","TI_asb-45")</f>
        <v>TI_asb-45</v>
      </c>
      <c r="B28">
        <v>45</v>
      </c>
      <c r="C28" t="str">
        <f>HYPERLINK(".\links\tsa\TI_asb-45-tsa.txt","1")</f>
        <v>1</v>
      </c>
      <c r="D28">
        <v>1</v>
      </c>
      <c r="E28">
        <v>612</v>
      </c>
      <c r="G28" t="str">
        <f>HYPERLINK(".\links\qual\TI_asb-45-qual.txt","55")</f>
        <v>55</v>
      </c>
      <c r="H28">
        <v>0</v>
      </c>
      <c r="I28">
        <v>1</v>
      </c>
      <c r="J28">
        <f t="shared" si="0"/>
        <v>1</v>
      </c>
      <c r="K28" s="6">
        <f t="shared" si="1"/>
        <v>-1</v>
      </c>
      <c r="L28" s="6" t="s">
        <v>3868</v>
      </c>
      <c r="M28" s="6" t="s">
        <v>3869</v>
      </c>
      <c r="N28" s="6"/>
      <c r="O28" s="6"/>
      <c r="P28" s="6"/>
      <c r="Q28" s="3">
        <v>612</v>
      </c>
      <c r="R28" s="3">
        <v>243</v>
      </c>
      <c r="S28" s="3" t="s">
        <v>3506</v>
      </c>
      <c r="T28" s="3">
        <v>6</v>
      </c>
      <c r="U28" t="s">
        <v>56</v>
      </c>
      <c r="V28" t="s">
        <v>56</v>
      </c>
      <c r="W28" t="s">
        <v>56</v>
      </c>
      <c r="X28" t="s">
        <v>56</v>
      </c>
      <c r="Y28" t="s">
        <v>56</v>
      </c>
      <c r="Z28" t="s">
        <v>56</v>
      </c>
      <c r="AA28" t="s">
        <v>56</v>
      </c>
      <c r="AB28" t="s">
        <v>56</v>
      </c>
      <c r="AC28" t="s">
        <v>56</v>
      </c>
      <c r="AD28" t="s">
        <v>56</v>
      </c>
      <c r="AE28" t="s">
        <v>56</v>
      </c>
      <c r="AF28" t="s">
        <v>56</v>
      </c>
      <c r="AG28" t="s">
        <v>56</v>
      </c>
      <c r="AH28" t="s">
        <v>56</v>
      </c>
      <c r="AI28" t="s">
        <v>56</v>
      </c>
      <c r="AJ28" t="s">
        <v>56</v>
      </c>
      <c r="AK28" t="s">
        <v>56</v>
      </c>
      <c r="AL28" t="s">
        <v>56</v>
      </c>
      <c r="AM28" t="s">
        <v>56</v>
      </c>
      <c r="AN28" s="19" t="s">
        <v>56</v>
      </c>
      <c r="AO28" t="s">
        <v>56</v>
      </c>
      <c r="AP28" t="s">
        <v>56</v>
      </c>
      <c r="AQ28" t="s">
        <v>56</v>
      </c>
      <c r="AR28" t="s">
        <v>56</v>
      </c>
      <c r="AS28" t="s">
        <v>56</v>
      </c>
      <c r="AT28" t="s">
        <v>56</v>
      </c>
      <c r="AU28" t="s">
        <v>56</v>
      </c>
      <c r="AV28" t="s">
        <v>56</v>
      </c>
      <c r="AW28" t="s">
        <v>56</v>
      </c>
      <c r="AX28" t="s">
        <v>56</v>
      </c>
      <c r="AY28" t="s">
        <v>56</v>
      </c>
      <c r="AZ28" t="s">
        <v>56</v>
      </c>
      <c r="BA28" t="s">
        <v>56</v>
      </c>
      <c r="BB28" t="s">
        <v>56</v>
      </c>
      <c r="BC28" t="s">
        <v>56</v>
      </c>
      <c r="BD28" t="s">
        <v>56</v>
      </c>
      <c r="BE28" t="s">
        <v>56</v>
      </c>
      <c r="BF28" t="s">
        <v>56</v>
      </c>
      <c r="BG28" t="str">
        <f>HYPERLINK(".\links\PREV-RHOD-PEP\TI_asb-45-PREV-RHOD-PEP.txt","Contig17578_17")</f>
        <v>Contig17578_17</v>
      </c>
      <c r="BH28" s="6">
        <v>4.9000000000000004</v>
      </c>
      <c r="BI28" t="str">
        <f>HYPERLINK(".\links\PREV-RHOD-PEP\TI_asb-45-PREV-RHOD-PEP.txt"," 3")</f>
        <v xml:space="preserve"> 3</v>
      </c>
      <c r="BJ28" t="s">
        <v>402</v>
      </c>
      <c r="BK28">
        <v>27.3</v>
      </c>
      <c r="BL28">
        <v>62</v>
      </c>
      <c r="BM28">
        <v>548</v>
      </c>
      <c r="BN28">
        <v>30</v>
      </c>
      <c r="BO28">
        <v>11</v>
      </c>
      <c r="BP28">
        <v>43</v>
      </c>
      <c r="BQ28">
        <v>0</v>
      </c>
      <c r="BR28">
        <v>68</v>
      </c>
      <c r="BS28">
        <v>94</v>
      </c>
      <c r="BT28">
        <v>1</v>
      </c>
      <c r="BU28" t="s">
        <v>54</v>
      </c>
      <c r="BV28" t="s">
        <v>403</v>
      </c>
      <c r="BW28" t="s">
        <v>56</v>
      </c>
      <c r="BX28" t="str">
        <f>HYPERLINK(".\links\PREV-RHOD-CDS\TI_asb-45-PREV-RHOD-CDS.txt","Contig3368_1")</f>
        <v>Contig3368_1</v>
      </c>
      <c r="BY28" s="6">
        <v>0.3</v>
      </c>
      <c r="BZ28" t="s">
        <v>404</v>
      </c>
      <c r="CA28">
        <v>36.200000000000003</v>
      </c>
      <c r="CB28">
        <v>17</v>
      </c>
      <c r="CC28">
        <v>150</v>
      </c>
      <c r="CD28">
        <v>100</v>
      </c>
      <c r="CE28">
        <v>12</v>
      </c>
      <c r="CF28">
        <v>0</v>
      </c>
      <c r="CG28">
        <v>0</v>
      </c>
      <c r="CH28">
        <v>42</v>
      </c>
      <c r="CI28">
        <v>306</v>
      </c>
      <c r="CJ28">
        <v>1</v>
      </c>
      <c r="CK28" t="s">
        <v>54</v>
      </c>
      <c r="CL28" t="s">
        <v>405</v>
      </c>
      <c r="CM28">
        <f>HYPERLINK(".\links\GO\TI_asb-45-GO.txt",3.4)</f>
        <v>3.4</v>
      </c>
      <c r="CN28" t="s">
        <v>406</v>
      </c>
      <c r="CO28" t="s">
        <v>129</v>
      </c>
      <c r="CP28" t="s">
        <v>151</v>
      </c>
      <c r="CQ28" t="s">
        <v>407</v>
      </c>
      <c r="CR28" s="6">
        <v>5.8</v>
      </c>
      <c r="CS28" t="s">
        <v>408</v>
      </c>
      <c r="CT28" t="s">
        <v>75</v>
      </c>
      <c r="CU28" t="s">
        <v>76</v>
      </c>
      <c r="CV28" t="s">
        <v>409</v>
      </c>
      <c r="CW28" s="6">
        <v>5.8</v>
      </c>
      <c r="CX28" t="s">
        <v>410</v>
      </c>
      <c r="CY28" t="s">
        <v>129</v>
      </c>
      <c r="CZ28" t="s">
        <v>151</v>
      </c>
      <c r="DA28" t="s">
        <v>411</v>
      </c>
      <c r="DB28" s="6">
        <v>5.8</v>
      </c>
      <c r="DC28" t="s">
        <v>56</v>
      </c>
      <c r="DD28" t="s">
        <v>56</v>
      </c>
      <c r="DE28" t="s">
        <v>56</v>
      </c>
      <c r="DF28" t="s">
        <v>56</v>
      </c>
      <c r="DG28" t="s">
        <v>56</v>
      </c>
      <c r="DH28" t="s">
        <v>56</v>
      </c>
      <c r="DI28" s="6" t="s">
        <v>56</v>
      </c>
      <c r="DJ28" s="6" t="s">
        <v>56</v>
      </c>
      <c r="DN28" t="s">
        <v>56</v>
      </c>
      <c r="DO28" t="s">
        <v>56</v>
      </c>
      <c r="DP28" s="3" t="s">
        <v>56</v>
      </c>
      <c r="ED28" s="3" t="s">
        <v>56</v>
      </c>
    </row>
    <row r="29" spans="1:134">
      <c r="A29" t="str">
        <f>HYPERLINK(".\links\seq\TI_asb-47-seq.txt","TI_asb-47")</f>
        <v>TI_asb-47</v>
      </c>
      <c r="B29">
        <v>47</v>
      </c>
      <c r="C29" t="str">
        <f>HYPERLINK(".\links\tsa\TI_asb-47-tsa.txt","1")</f>
        <v>1</v>
      </c>
      <c r="D29">
        <v>1</v>
      </c>
      <c r="E29">
        <v>520</v>
      </c>
      <c r="G29" t="str">
        <f>HYPERLINK(".\links\qual\TI_asb-47-qual.txt","26")</f>
        <v>26</v>
      </c>
      <c r="H29">
        <v>1</v>
      </c>
      <c r="I29">
        <v>0</v>
      </c>
      <c r="J29">
        <f t="shared" si="0"/>
        <v>1</v>
      </c>
      <c r="K29" s="6">
        <f t="shared" si="1"/>
        <v>1</v>
      </c>
      <c r="L29" s="6" t="s">
        <v>3901</v>
      </c>
      <c r="M29" s="6" t="s">
        <v>3863</v>
      </c>
      <c r="N29" s="6" t="s">
        <v>3902</v>
      </c>
      <c r="O29" s="6">
        <v>2.0000000000000001E-13</v>
      </c>
      <c r="P29" s="6">
        <v>97</v>
      </c>
      <c r="Q29" s="3">
        <v>520</v>
      </c>
      <c r="R29" s="3">
        <v>426</v>
      </c>
      <c r="S29" s="6" t="s">
        <v>3507</v>
      </c>
      <c r="T29" s="3">
        <v>3</v>
      </c>
      <c r="U29" t="str">
        <f>HYPERLINK(".\links\NR-LIGHT\TI_asb-47-NR-LIGHT.txt","heme-binding protein")</f>
        <v>heme-binding protein</v>
      </c>
      <c r="V29" t="str">
        <f>HYPERLINK("http://www.ncbi.nlm.nih.gov/sutils/blink.cgi?pid=149689110","4E-038")</f>
        <v>4E-038</v>
      </c>
      <c r="W29" t="str">
        <f>HYPERLINK(".\links\NR-LIGHT\TI_asb-47-NR-LIGHT.txt"," 10")</f>
        <v xml:space="preserve"> 10</v>
      </c>
      <c r="X29" t="str">
        <f>HYPERLINK("http://www.ncbi.nlm.nih.gov/protein/149689110","gi|149689110")</f>
        <v>gi|149689110</v>
      </c>
      <c r="Y29">
        <v>159</v>
      </c>
      <c r="Z29">
        <v>140</v>
      </c>
      <c r="AA29">
        <v>143</v>
      </c>
      <c r="AB29">
        <v>55</v>
      </c>
      <c r="AC29">
        <v>98</v>
      </c>
      <c r="AD29">
        <v>63</v>
      </c>
      <c r="AE29">
        <v>7</v>
      </c>
      <c r="AF29">
        <v>1</v>
      </c>
      <c r="AG29">
        <v>45</v>
      </c>
      <c r="AH29">
        <v>1</v>
      </c>
      <c r="AI29">
        <v>3</v>
      </c>
      <c r="AJ29" t="s">
        <v>53</v>
      </c>
      <c r="AK29" t="s">
        <v>54</v>
      </c>
      <c r="AL29" t="s">
        <v>55</v>
      </c>
      <c r="AM29" t="str">
        <f>HYPERLINK(".\links\SWISSP\TI_asb-47-SWISSP.txt","Uncharacterized MFS-type transporter efpA OS=Mycobacterium tuberculosis GN=efpA")</f>
        <v>Uncharacterized MFS-type transporter efpA OS=Mycobacterium tuberculosis GN=efpA</v>
      </c>
      <c r="AN29" s="19" t="str">
        <f>HYPERLINK("http://www.uniprot.org/uniprot/O05813","2.8")</f>
        <v>2.8</v>
      </c>
      <c r="AO29" t="str">
        <f>HYPERLINK(".\links\SWISSP\TI_asb-47-SWISSP.txt"," 7")</f>
        <v xml:space="preserve"> 7</v>
      </c>
      <c r="AP29" t="s">
        <v>412</v>
      </c>
      <c r="AQ29">
        <v>31.6</v>
      </c>
      <c r="AR29">
        <v>22</v>
      </c>
      <c r="AS29">
        <v>530</v>
      </c>
      <c r="AT29">
        <v>54</v>
      </c>
      <c r="AU29">
        <v>4</v>
      </c>
      <c r="AV29">
        <v>10</v>
      </c>
      <c r="AW29">
        <v>0</v>
      </c>
      <c r="AX29">
        <v>6</v>
      </c>
      <c r="AY29">
        <v>373</v>
      </c>
      <c r="AZ29">
        <v>1</v>
      </c>
      <c r="BA29">
        <v>-2</v>
      </c>
      <c r="BB29" t="s">
        <v>53</v>
      </c>
      <c r="BC29" t="s">
        <v>64</v>
      </c>
      <c r="BD29" t="s">
        <v>413</v>
      </c>
      <c r="BE29" t="s">
        <v>414</v>
      </c>
      <c r="BF29" t="s">
        <v>415</v>
      </c>
      <c r="BG29" t="str">
        <f>HYPERLINK(".\links\PREV-RHOD-PEP\TI_asb-47-PREV-RHOD-PEP.txt","Contig18036_44")</f>
        <v>Contig18036_44</v>
      </c>
      <c r="BH29" s="7">
        <v>1.0000000000000001E-18</v>
      </c>
      <c r="BI29" t="str">
        <f>HYPERLINK(".\links\PREV-RHOD-PEP\TI_asb-47-PREV-RHOD-PEP.txt"," 10")</f>
        <v xml:space="preserve"> 10</v>
      </c>
      <c r="BJ29" t="s">
        <v>416</v>
      </c>
      <c r="BK29">
        <v>89</v>
      </c>
      <c r="BL29">
        <v>129</v>
      </c>
      <c r="BM29">
        <v>128</v>
      </c>
      <c r="BN29">
        <v>37</v>
      </c>
      <c r="BO29">
        <v>101</v>
      </c>
      <c r="BP29">
        <v>80</v>
      </c>
      <c r="BQ29">
        <v>2</v>
      </c>
      <c r="BR29">
        <v>1</v>
      </c>
      <c r="BS29">
        <v>45</v>
      </c>
      <c r="BT29">
        <v>1</v>
      </c>
      <c r="BU29" t="s">
        <v>54</v>
      </c>
      <c r="BV29" t="s">
        <v>417</v>
      </c>
      <c r="BW29" t="s">
        <v>56</v>
      </c>
      <c r="BX29" t="str">
        <f>HYPERLINK(".\links\PREV-RHOD-CDS\TI_asb-47-PREV-RHOD-CDS.txt","Contig17783_13")</f>
        <v>Contig17783_13</v>
      </c>
      <c r="BY29" s="6">
        <v>6.5000000000000002E-2</v>
      </c>
      <c r="BZ29" t="s">
        <v>418</v>
      </c>
      <c r="CA29">
        <v>38.200000000000003</v>
      </c>
      <c r="CB29">
        <v>18</v>
      </c>
      <c r="CC29">
        <v>1860</v>
      </c>
      <c r="CD29">
        <v>100</v>
      </c>
      <c r="CE29">
        <v>1</v>
      </c>
      <c r="CF29">
        <v>0</v>
      </c>
      <c r="CG29">
        <v>0</v>
      </c>
      <c r="CH29">
        <v>358</v>
      </c>
      <c r="CI29">
        <v>321</v>
      </c>
      <c r="CJ29">
        <v>1</v>
      </c>
      <c r="CK29" t="s">
        <v>54</v>
      </c>
      <c r="CL29" t="s">
        <v>419</v>
      </c>
      <c r="CM29">
        <f>HYPERLINK(".\links\GO\TI_asb-47-GO.txt",0.007)</f>
        <v>7.0000000000000001E-3</v>
      </c>
      <c r="CN29" t="s">
        <v>420</v>
      </c>
      <c r="CO29" t="s">
        <v>185</v>
      </c>
      <c r="CP29" t="s">
        <v>421</v>
      </c>
      <c r="CQ29" t="s">
        <v>422</v>
      </c>
      <c r="CR29" s="6">
        <v>7.0000000000000001E-3</v>
      </c>
      <c r="CS29" t="s">
        <v>60</v>
      </c>
      <c r="CT29" t="s">
        <v>60</v>
      </c>
      <c r="CV29" t="s">
        <v>61</v>
      </c>
      <c r="CW29" s="6">
        <v>7.0000000000000001E-3</v>
      </c>
      <c r="CX29" t="s">
        <v>423</v>
      </c>
      <c r="CY29" t="s">
        <v>185</v>
      </c>
      <c r="CZ29" t="s">
        <v>421</v>
      </c>
      <c r="DA29" t="s">
        <v>424</v>
      </c>
      <c r="DB29" s="6">
        <v>7.0000000000000001E-3</v>
      </c>
      <c r="DC29" t="str">
        <f>HYPERLINK(".\links\CDD\TI_asb-47-CDD.txt","PBP_GOBP")</f>
        <v>PBP_GOBP</v>
      </c>
      <c r="DD29" t="str">
        <f>HYPERLINK("http://www.ncbi.nlm.nih.gov/Structure/cdd/cddsrv.cgi?uid=pfam01395&amp;version=v4.0","5E-011")</f>
        <v>5E-011</v>
      </c>
      <c r="DE29" t="s">
        <v>425</v>
      </c>
      <c r="DF29" t="str">
        <f>HYPERLINK(".\links\PFAM\TI_asb-47-PFAM.txt","PBP_GOBP")</f>
        <v>PBP_GOBP</v>
      </c>
      <c r="DG29" t="str">
        <f>HYPERLINK("http://pfam.sanger.ac.uk/family?acc=PF01395","3E-012")</f>
        <v>3E-012</v>
      </c>
      <c r="DH29" t="s">
        <v>56</v>
      </c>
      <c r="DI29" s="6" t="s">
        <v>56</v>
      </c>
      <c r="DJ29" s="6" t="s">
        <v>56</v>
      </c>
      <c r="DN29" t="str">
        <f>HYPERLINK(".\links\SMART\TI_asb-47-SMART.txt","PhBP")</f>
        <v>PhBP</v>
      </c>
      <c r="DO29" t="str">
        <f>HYPERLINK("http://smart.embl-heidelberg.de/smart/do_annotation.pl?DOMAIN=PhBP&amp;BLAST=DUMMY","2E-013")</f>
        <v>2E-013</v>
      </c>
      <c r="DP29" s="3" t="s">
        <v>56</v>
      </c>
      <c r="ED29" s="3" t="s">
        <v>56</v>
      </c>
    </row>
    <row r="30" spans="1:134">
      <c r="A30" t="str">
        <f>HYPERLINK(".\links\seq\TI_asb-48-seq.txt","TI_asb-48")</f>
        <v>TI_asb-48</v>
      </c>
      <c r="B30">
        <v>48</v>
      </c>
      <c r="C30" t="str">
        <f>HYPERLINK(".\links\tsa\TI_asb-48-tsa.txt","1")</f>
        <v>1</v>
      </c>
      <c r="D30">
        <v>1</v>
      </c>
      <c r="E30">
        <v>983</v>
      </c>
      <c r="G30" t="str">
        <f>HYPERLINK(".\links\qual\TI_asb-48-qual.txt","33")</f>
        <v>33</v>
      </c>
      <c r="H30">
        <v>1</v>
      </c>
      <c r="I30">
        <v>0</v>
      </c>
      <c r="J30">
        <f t="shared" si="0"/>
        <v>1</v>
      </c>
      <c r="K30" s="6">
        <f t="shared" si="1"/>
        <v>1</v>
      </c>
      <c r="L30" s="6" t="s">
        <v>3895</v>
      </c>
      <c r="M30" s="6" t="s">
        <v>3874</v>
      </c>
      <c r="N30" s="6" t="s">
        <v>3872</v>
      </c>
      <c r="O30" s="7">
        <v>4.0000000000000003E-17</v>
      </c>
      <c r="P30" s="6">
        <v>36.6</v>
      </c>
      <c r="Q30" s="3">
        <v>983</v>
      </c>
      <c r="R30" s="3">
        <v>564</v>
      </c>
      <c r="S30" s="3" t="s">
        <v>3508</v>
      </c>
      <c r="T30" s="3">
        <v>1</v>
      </c>
      <c r="U30" t="str">
        <f>HYPERLINK(".\links\NR-LIGHT\TI_asb-48-NR-LIGHT.txt","similar to AGAP004450-PA")</f>
        <v>similar to AGAP004450-PA</v>
      </c>
      <c r="V30" t="str">
        <f>HYPERLINK("http://www.ncbi.nlm.nih.gov/sutils/blink.cgi?pid=91081053","7E-018")</f>
        <v>7E-018</v>
      </c>
      <c r="W30" t="str">
        <f>HYPERLINK(".\links\NR-LIGHT\TI_asb-48-NR-LIGHT.txt"," 10")</f>
        <v xml:space="preserve"> 10</v>
      </c>
      <c r="X30" t="str">
        <f>HYPERLINK("http://www.ncbi.nlm.nih.gov/protein/91081053","gi|91081053")</f>
        <v>gi|91081053</v>
      </c>
      <c r="Y30">
        <v>94</v>
      </c>
      <c r="Z30">
        <v>123</v>
      </c>
      <c r="AA30">
        <v>322</v>
      </c>
      <c r="AB30">
        <v>40</v>
      </c>
      <c r="AC30">
        <v>38</v>
      </c>
      <c r="AD30">
        <v>73</v>
      </c>
      <c r="AE30">
        <v>0</v>
      </c>
      <c r="AF30">
        <v>144</v>
      </c>
      <c r="AG30">
        <v>238</v>
      </c>
      <c r="AH30">
        <v>1</v>
      </c>
      <c r="AI30">
        <v>1</v>
      </c>
      <c r="AJ30" t="s">
        <v>53</v>
      </c>
      <c r="AK30" t="s">
        <v>54</v>
      </c>
      <c r="AL30" t="s">
        <v>79</v>
      </c>
      <c r="AM30" t="str">
        <f>HYPERLINK(".\links\SWISSP\TI_asb-48-SWISSP.txt","Estradiol 17-beta-dehydrogenase 2 OS=Rattus norvegicus GN=Hsd17b2 PE=2 SV=1")</f>
        <v>Estradiol 17-beta-dehydrogenase 2 OS=Rattus norvegicus GN=Hsd17b2 PE=2 SV=1</v>
      </c>
      <c r="AN30" s="19" t="str">
        <f>HYPERLINK("http://www.uniprot.org/uniprot/Q62730","0.002")</f>
        <v>0.002</v>
      </c>
      <c r="AO30" t="str">
        <f>HYPERLINK(".\links\SWISSP\TI_asb-48-SWISSP.txt"," 10")</f>
        <v xml:space="preserve"> 10</v>
      </c>
      <c r="AP30" t="s">
        <v>426</v>
      </c>
      <c r="AQ30">
        <v>43.5</v>
      </c>
      <c r="AR30">
        <v>109</v>
      </c>
      <c r="AS30">
        <v>381</v>
      </c>
      <c r="AT30">
        <v>31</v>
      </c>
      <c r="AU30">
        <v>29</v>
      </c>
      <c r="AV30">
        <v>75</v>
      </c>
      <c r="AW30">
        <v>6</v>
      </c>
      <c r="AX30">
        <v>161</v>
      </c>
      <c r="AY30">
        <v>238</v>
      </c>
      <c r="AZ30">
        <v>1</v>
      </c>
      <c r="BA30">
        <v>1</v>
      </c>
      <c r="BB30" t="s">
        <v>53</v>
      </c>
      <c r="BC30" t="s">
        <v>54</v>
      </c>
      <c r="BD30" t="s">
        <v>122</v>
      </c>
      <c r="BE30" t="s">
        <v>427</v>
      </c>
      <c r="BF30" t="s">
        <v>428</v>
      </c>
      <c r="BG30" t="str">
        <f>HYPERLINK(".\links\PREV-RHOD-PEP\TI_asb-48-PREV-RHOD-PEP.txt","Contig17851_114")</f>
        <v>Contig17851_114</v>
      </c>
      <c r="BH30" s="7">
        <v>7.9999999999999996E-57</v>
      </c>
      <c r="BI30" t="str">
        <f>HYPERLINK(".\links\PREV-RHOD-PEP\TI_asb-48-PREV-RHOD-PEP.txt"," 10")</f>
        <v xml:space="preserve"> 10</v>
      </c>
      <c r="BJ30" t="s">
        <v>291</v>
      </c>
      <c r="BK30">
        <v>216</v>
      </c>
      <c r="BL30">
        <v>172</v>
      </c>
      <c r="BM30">
        <v>213</v>
      </c>
      <c r="BN30">
        <v>68</v>
      </c>
      <c r="BO30">
        <v>81</v>
      </c>
      <c r="BP30">
        <v>55</v>
      </c>
      <c r="BQ30">
        <v>0</v>
      </c>
      <c r="BR30">
        <v>13</v>
      </c>
      <c r="BS30">
        <v>232</v>
      </c>
      <c r="BT30">
        <v>1</v>
      </c>
      <c r="BU30" t="s">
        <v>54</v>
      </c>
      <c r="BV30" t="s">
        <v>429</v>
      </c>
      <c r="BW30" t="s">
        <v>56</v>
      </c>
      <c r="BX30" t="str">
        <f>HYPERLINK(".\links\PREV-RHOD-CDS\TI_asb-48-PREV-RHOD-CDS.txt","Contig17851_114")</f>
        <v>Contig17851_114</v>
      </c>
      <c r="BY30" s="7">
        <v>9.9999999999999996E-70</v>
      </c>
      <c r="BZ30" t="s">
        <v>291</v>
      </c>
      <c r="CA30">
        <v>264</v>
      </c>
      <c r="CB30">
        <v>344</v>
      </c>
      <c r="CC30">
        <v>642</v>
      </c>
      <c r="CD30">
        <v>84</v>
      </c>
      <c r="CE30">
        <v>54</v>
      </c>
      <c r="CF30">
        <v>53</v>
      </c>
      <c r="CG30">
        <v>0</v>
      </c>
      <c r="CH30">
        <v>49</v>
      </c>
      <c r="CI30">
        <v>244</v>
      </c>
      <c r="CJ30">
        <v>1</v>
      </c>
      <c r="CK30" t="s">
        <v>54</v>
      </c>
      <c r="CL30" t="s">
        <v>293</v>
      </c>
      <c r="CM30">
        <f>HYPERLINK(".\links\GO\TI_asb-48-GO.txt",0.00000000009)</f>
        <v>8.9999999999999999E-11</v>
      </c>
      <c r="CN30" t="s">
        <v>430</v>
      </c>
      <c r="CO30" t="s">
        <v>129</v>
      </c>
      <c r="CP30" t="s">
        <v>130</v>
      </c>
      <c r="CQ30" t="s">
        <v>431</v>
      </c>
      <c r="CR30" s="6">
        <v>1.2E-2</v>
      </c>
      <c r="CS30" t="s">
        <v>56</v>
      </c>
      <c r="CT30" t="s">
        <v>56</v>
      </c>
      <c r="CU30" t="s">
        <v>56</v>
      </c>
      <c r="CV30" t="s">
        <v>56</v>
      </c>
      <c r="CW30" s="6" t="s">
        <v>56</v>
      </c>
      <c r="CX30" t="s">
        <v>56</v>
      </c>
      <c r="CY30" t="s">
        <v>56</v>
      </c>
      <c r="CZ30" t="s">
        <v>56</v>
      </c>
      <c r="DA30" t="s">
        <v>56</v>
      </c>
      <c r="DB30" s="6" t="s">
        <v>56</v>
      </c>
      <c r="DC30" t="str">
        <f>HYPERLINK(".\links\CDD\TI_asb-48-CDD.txt","PRK12828")</f>
        <v>PRK12828</v>
      </c>
      <c r="DD30" t="str">
        <f>HYPERLINK("http://www.ncbi.nlm.nih.gov/Structure/cdd/cddsrv.cgi?uid=PRK12828&amp;version=v4.0","1E-015")</f>
        <v>1E-015</v>
      </c>
      <c r="DE30" t="s">
        <v>432</v>
      </c>
      <c r="DF30" t="str">
        <f>HYPERLINK(".\links\PFAM\TI_asb-48-PFAM.txt","adh_short")</f>
        <v>adh_short</v>
      </c>
      <c r="DG30" t="str">
        <f>HYPERLINK("http://pfam.sanger.ac.uk/family?acc=PF00106","1E-007")</f>
        <v>1E-007</v>
      </c>
      <c r="DH30" t="str">
        <f>HYPERLINK(".\links\PRK\TI_asb-48-PRK.txt","short chain dehydrogenase")</f>
        <v>short chain dehydrogenase</v>
      </c>
      <c r="DI30" s="7">
        <v>5.0000000000000004E-16</v>
      </c>
      <c r="DJ30" s="6" t="str">
        <f>HYPERLINK(".\links\KOG\TI_asb-48-KOG.txt","Corticosteroid 11-beta-dehydrogenase and related short chain-type dehydrogenases")</f>
        <v>Corticosteroid 11-beta-dehydrogenase and related short chain-type dehydrogenases</v>
      </c>
      <c r="DK30" s="6" t="str">
        <f>HYPERLINK("http://www.ncbi.nlm.nih.gov/COG/grace/shokog.cgi?KOG1610","4E-017")</f>
        <v>4E-017</v>
      </c>
      <c r="DL30" s="6" t="s">
        <v>4345</v>
      </c>
      <c r="DM30" s="6" t="str">
        <f>HYPERLINK(".\links\KOG\TI_asb-48-KOG.txt","KOG1610")</f>
        <v>KOG1610</v>
      </c>
      <c r="DN30" t="str">
        <f>HYPERLINK(".\links\SMART\TI_asb-48-SMART.txt","HTTM")</f>
        <v>HTTM</v>
      </c>
      <c r="DO30" t="str">
        <f>HYPERLINK("http://smart.embl-heidelberg.de/smart/do_annotation.pl?DOMAIN=HTTM&amp;BLAST=DUMMY","0.047")</f>
        <v>0.047</v>
      </c>
      <c r="DP30" s="3" t="s">
        <v>56</v>
      </c>
      <c r="ED30" s="3" t="s">
        <v>56</v>
      </c>
    </row>
    <row r="31" spans="1:134">
      <c r="A31" t="str">
        <f>HYPERLINK(".\links\seq\TI_asb-50-seq.txt","TI_asb-50")</f>
        <v>TI_asb-50</v>
      </c>
      <c r="B31">
        <v>50</v>
      </c>
      <c r="C31" t="str">
        <f>HYPERLINK(".\links\tsa\TI_asb-50-tsa.txt","1")</f>
        <v>1</v>
      </c>
      <c r="D31">
        <v>1</v>
      </c>
      <c r="E31">
        <v>680</v>
      </c>
      <c r="F31">
        <v>658</v>
      </c>
      <c r="G31" t="str">
        <f>HYPERLINK(".\links\qual\TI_asb-50-qual.txt","50")</f>
        <v>50</v>
      </c>
      <c r="H31">
        <v>1</v>
      </c>
      <c r="I31">
        <v>0</v>
      </c>
      <c r="J31">
        <f t="shared" si="0"/>
        <v>1</v>
      </c>
      <c r="K31" s="6">
        <f t="shared" si="1"/>
        <v>1</v>
      </c>
      <c r="L31" s="6" t="s">
        <v>3868</v>
      </c>
      <c r="M31" s="6" t="s">
        <v>3869</v>
      </c>
      <c r="N31" s="6"/>
      <c r="O31" s="6"/>
      <c r="P31" s="6"/>
      <c r="Q31" s="3">
        <v>680</v>
      </c>
      <c r="R31" s="3">
        <v>675</v>
      </c>
      <c r="S31" s="6" t="s">
        <v>3509</v>
      </c>
      <c r="T31" s="3">
        <v>2</v>
      </c>
      <c r="U31" t="str">
        <f>HYPERLINK(".\links\NR-LIGHT\TI_asb-50-NR-LIGHT.txt","hypothetical protein")</f>
        <v>hypothetical protein</v>
      </c>
      <c r="V31" t="str">
        <f>HYPERLINK("http://www.ncbi.nlm.nih.gov/sutils/blink.cgi?pid=156544907","4E-010")</f>
        <v>4E-010</v>
      </c>
      <c r="W31" t="str">
        <f>HYPERLINK(".\links\NR-LIGHT\TI_asb-50-NR-LIGHT.txt"," 10")</f>
        <v xml:space="preserve"> 10</v>
      </c>
      <c r="X31" t="str">
        <f>HYPERLINK("http://www.ncbi.nlm.nih.gov/protein/156544907","gi|156544907")</f>
        <v>gi|156544907</v>
      </c>
      <c r="Y31">
        <v>67.400000000000006</v>
      </c>
      <c r="Z31">
        <v>182</v>
      </c>
      <c r="AA31">
        <v>1493</v>
      </c>
      <c r="AB31">
        <v>23</v>
      </c>
      <c r="AC31">
        <v>12</v>
      </c>
      <c r="AD31">
        <v>139</v>
      </c>
      <c r="AE31">
        <v>0</v>
      </c>
      <c r="AF31">
        <v>473</v>
      </c>
      <c r="AG31">
        <v>65</v>
      </c>
      <c r="AH31">
        <v>3</v>
      </c>
      <c r="AI31">
        <v>2</v>
      </c>
      <c r="AJ31" t="s">
        <v>53</v>
      </c>
      <c r="AK31" t="s">
        <v>54</v>
      </c>
      <c r="AL31" t="s">
        <v>66</v>
      </c>
      <c r="AM31" t="str">
        <f>HYPERLINK(".\links\SWISSP\TI_asb-50-SWISSP.txt","Mite allergen Lep d 7 OS=Lepidoglyphus destructor PE=1 SV=1")</f>
        <v>Mite allergen Lep d 7 OS=Lepidoglyphus destructor PE=1 SV=1</v>
      </c>
      <c r="AN31" s="19" t="str">
        <f>HYPERLINK("http://www.uniprot.org/uniprot/Q9U1G2","0.004")</f>
        <v>0.004</v>
      </c>
      <c r="AO31" t="str">
        <f>HYPERLINK(".\links\SWISSP\TI_asb-50-SWISSP.txt"," 10")</f>
        <v xml:space="preserve"> 10</v>
      </c>
      <c r="AP31" t="s">
        <v>433</v>
      </c>
      <c r="AQ31">
        <v>42</v>
      </c>
      <c r="AR31">
        <v>190</v>
      </c>
      <c r="AS31">
        <v>216</v>
      </c>
      <c r="AT31">
        <v>20</v>
      </c>
      <c r="AU31">
        <v>88</v>
      </c>
      <c r="AV31">
        <v>152</v>
      </c>
      <c r="AW31">
        <v>2</v>
      </c>
      <c r="AX31">
        <v>27</v>
      </c>
      <c r="AY31">
        <v>80</v>
      </c>
      <c r="AZ31">
        <v>1</v>
      </c>
      <c r="BA31">
        <v>2</v>
      </c>
      <c r="BB31" t="s">
        <v>53</v>
      </c>
      <c r="BC31" t="s">
        <v>54</v>
      </c>
      <c r="BD31" t="s">
        <v>434</v>
      </c>
      <c r="BE31" t="s">
        <v>435</v>
      </c>
      <c r="BF31" t="s">
        <v>436</v>
      </c>
      <c r="BG31" t="str">
        <f>HYPERLINK(".\links\PREV-RHOD-PEP\TI_asb-50-PREV-RHOD-PEP.txt","Contig17849_53")</f>
        <v>Contig17849_53</v>
      </c>
      <c r="BH31" s="7">
        <v>6.0000000000000004E-85</v>
      </c>
      <c r="BI31" t="str">
        <f>HYPERLINK(".\links\PREV-RHOD-PEP\TI_asb-50-PREV-RHOD-PEP.txt"," 10")</f>
        <v xml:space="preserve"> 10</v>
      </c>
      <c r="BJ31" t="s">
        <v>437</v>
      </c>
      <c r="BK31">
        <v>309</v>
      </c>
      <c r="BL31">
        <v>213</v>
      </c>
      <c r="BM31">
        <v>424</v>
      </c>
      <c r="BN31">
        <v>68</v>
      </c>
      <c r="BO31">
        <v>50</v>
      </c>
      <c r="BP31">
        <v>68</v>
      </c>
      <c r="BQ31">
        <v>0</v>
      </c>
      <c r="BR31">
        <v>4</v>
      </c>
      <c r="BS31">
        <v>17</v>
      </c>
      <c r="BT31">
        <v>1</v>
      </c>
      <c r="BU31" t="s">
        <v>54</v>
      </c>
      <c r="BV31" t="s">
        <v>438</v>
      </c>
      <c r="BW31" t="s">
        <v>439</v>
      </c>
      <c r="BX31" t="str">
        <f>HYPERLINK(".\links\PREV-RHOD-CDS\TI_asb-50-PREV-RHOD-CDS.txt","Contig17849_53")</f>
        <v>Contig17849_53</v>
      </c>
      <c r="BY31" s="7">
        <v>1.9999999999999998E-21</v>
      </c>
      <c r="BZ31" t="s">
        <v>437</v>
      </c>
      <c r="CA31">
        <v>103</v>
      </c>
      <c r="CB31">
        <v>147</v>
      </c>
      <c r="CC31">
        <v>1275</v>
      </c>
      <c r="CD31">
        <v>83</v>
      </c>
      <c r="CE31">
        <v>12</v>
      </c>
      <c r="CF31">
        <v>24</v>
      </c>
      <c r="CG31">
        <v>0</v>
      </c>
      <c r="CH31">
        <v>73</v>
      </c>
      <c r="CI31">
        <v>80</v>
      </c>
      <c r="CJ31">
        <v>1</v>
      </c>
      <c r="CK31" t="s">
        <v>54</v>
      </c>
      <c r="CL31" t="s">
        <v>440</v>
      </c>
      <c r="CM31">
        <f>HYPERLINK(".\links\GO\TI_asb-50-GO.txt",0.64)</f>
        <v>0.64</v>
      </c>
      <c r="CN31" t="s">
        <v>58</v>
      </c>
      <c r="CO31" t="s">
        <v>58</v>
      </c>
      <c r="CQ31" t="s">
        <v>59</v>
      </c>
      <c r="CR31" s="6">
        <v>1.4</v>
      </c>
      <c r="CS31" t="s">
        <v>441</v>
      </c>
      <c r="CT31" t="s">
        <v>75</v>
      </c>
      <c r="CU31" t="s">
        <v>442</v>
      </c>
      <c r="CV31" t="s">
        <v>443</v>
      </c>
      <c r="CW31" s="6">
        <v>1.4</v>
      </c>
      <c r="CX31" t="s">
        <v>444</v>
      </c>
      <c r="CY31" t="s">
        <v>58</v>
      </c>
      <c r="DA31" t="s">
        <v>445</v>
      </c>
      <c r="DB31" s="6">
        <v>1.4</v>
      </c>
      <c r="DC31" t="str">
        <f>HYPERLINK(".\links\CDD\TI_asb-50-CDD.txt","dnaA")</f>
        <v>dnaA</v>
      </c>
      <c r="DD31" t="str">
        <f>HYPERLINK("http://www.ncbi.nlm.nih.gov/Structure/cdd/cddsrv.cgi?uid=PRK00149&amp;version=v4.0","0.082")</f>
        <v>0.082</v>
      </c>
      <c r="DE31" t="s">
        <v>446</v>
      </c>
      <c r="DF31" t="str">
        <f>HYPERLINK(".\links\PFAM\TI_asb-50-PFAM.txt","Frag1")</f>
        <v>Frag1</v>
      </c>
      <c r="DG31" t="str">
        <f>HYPERLINK("http://pfam.sanger.ac.uk/family?acc=PF10277","0.100")</f>
        <v>0.100</v>
      </c>
      <c r="DH31" t="s">
        <v>56</v>
      </c>
      <c r="DI31" s="6" t="s">
        <v>56</v>
      </c>
      <c r="DJ31" s="6" t="s">
        <v>56</v>
      </c>
      <c r="DN31" t="str">
        <f>HYPERLINK(".\links\SMART\TI_asb-50-SMART.txt","PLCYc")</f>
        <v>PLCYc</v>
      </c>
      <c r="DO31" t="str">
        <f>HYPERLINK("http://smart.embl-heidelberg.de/smart/do_annotation.pl?DOMAIN=PLCYc&amp;BLAST=DUMMY","0.044")</f>
        <v>0.044</v>
      </c>
      <c r="DP31" s="3" t="s">
        <v>56</v>
      </c>
      <c r="ED31" s="3" t="s">
        <v>56</v>
      </c>
    </row>
    <row r="32" spans="1:134">
      <c r="A32" t="str">
        <f>HYPERLINK(".\links\seq\TI_asb-51-seq.txt","TI_asb-51")</f>
        <v>TI_asb-51</v>
      </c>
      <c r="B32">
        <v>51</v>
      </c>
      <c r="C32" t="str">
        <f>HYPERLINK(".\links\tsa\TI_asb-51-tsa.txt","1")</f>
        <v>1</v>
      </c>
      <c r="D32">
        <v>1</v>
      </c>
      <c r="E32">
        <v>978</v>
      </c>
      <c r="G32" t="str">
        <f>HYPERLINK(".\links\qual\TI_asb-51-qual.txt","40")</f>
        <v>40</v>
      </c>
      <c r="H32">
        <v>0</v>
      </c>
      <c r="I32">
        <v>1</v>
      </c>
      <c r="J32">
        <f t="shared" si="0"/>
        <v>1</v>
      </c>
      <c r="K32" s="6">
        <f t="shared" si="1"/>
        <v>-1</v>
      </c>
      <c r="L32" s="6" t="s">
        <v>3868</v>
      </c>
      <c r="M32" s="6" t="s">
        <v>3869</v>
      </c>
      <c r="N32" s="6"/>
      <c r="O32" s="6"/>
      <c r="P32" s="6"/>
      <c r="Q32" s="3">
        <v>978</v>
      </c>
      <c r="R32" s="3">
        <v>276</v>
      </c>
      <c r="S32" s="6" t="s">
        <v>3510</v>
      </c>
      <c r="T32" s="3">
        <v>3</v>
      </c>
      <c r="U32" t="str">
        <f>HYPERLINK(".\links\NR-LIGHT\TI_asb-51-NR-LIGHT.txt","conserved Plasmodium protein, unknown function")</f>
        <v>conserved Plasmodium protein, unknown function</v>
      </c>
      <c r="V32" t="str">
        <f>HYPERLINK("http://www.ncbi.nlm.nih.gov/sutils/blink.cgi?pid=124506213","3.6")</f>
        <v>3.6</v>
      </c>
      <c r="W32" t="str">
        <f>HYPERLINK(".\links\NR-LIGHT\TI_asb-51-NR-LIGHT.txt"," 1")</f>
        <v xml:space="preserve"> 1</v>
      </c>
      <c r="X32" t="str">
        <f>HYPERLINK("http://www.ncbi.nlm.nih.gov/protein/124506213","gi|124506213")</f>
        <v>gi|124506213</v>
      </c>
      <c r="Y32">
        <v>35</v>
      </c>
      <c r="Z32">
        <v>42</v>
      </c>
      <c r="AA32">
        <v>1560</v>
      </c>
      <c r="AB32">
        <v>45</v>
      </c>
      <c r="AC32">
        <v>3</v>
      </c>
      <c r="AD32">
        <v>23</v>
      </c>
      <c r="AE32">
        <v>7</v>
      </c>
      <c r="AF32">
        <v>430</v>
      </c>
      <c r="AG32">
        <v>464</v>
      </c>
      <c r="AH32">
        <v>1</v>
      </c>
      <c r="AI32">
        <v>-3</v>
      </c>
      <c r="AJ32" t="s">
        <v>53</v>
      </c>
      <c r="AK32" t="s">
        <v>64</v>
      </c>
      <c r="AL32" t="s">
        <v>294</v>
      </c>
      <c r="AM32" t="str">
        <f>HYPERLINK(".\links\SWISSP\TI_asb-51-SWISSP.txt","NADH-ubiquinone oxidoreductase chain 5 OS=Trypanosoma brucei brucei GN=ND5 PE=3")</f>
        <v>NADH-ubiquinone oxidoreductase chain 5 OS=Trypanosoma brucei brucei GN=ND5 PE=3</v>
      </c>
      <c r="AN32" s="19" t="str">
        <f>HYPERLINK("http://www.uniprot.org/uniprot/P04540","8.9")</f>
        <v>8.9</v>
      </c>
      <c r="AO32" t="str">
        <f>HYPERLINK(".\links\SWISSP\TI_asb-51-SWISSP.txt"," 1")</f>
        <v xml:space="preserve"> 1</v>
      </c>
      <c r="AP32" t="s">
        <v>447</v>
      </c>
      <c r="AQ32">
        <v>31.6</v>
      </c>
      <c r="AR32">
        <v>55</v>
      </c>
      <c r="AS32">
        <v>590</v>
      </c>
      <c r="AT32">
        <v>27</v>
      </c>
      <c r="AU32">
        <v>9</v>
      </c>
      <c r="AV32">
        <v>40</v>
      </c>
      <c r="AW32">
        <v>0</v>
      </c>
      <c r="AX32">
        <v>436</v>
      </c>
      <c r="AY32">
        <v>557</v>
      </c>
      <c r="AZ32">
        <v>1</v>
      </c>
      <c r="BA32">
        <v>2</v>
      </c>
      <c r="BB32" t="s">
        <v>53</v>
      </c>
      <c r="BC32" t="s">
        <v>54</v>
      </c>
      <c r="BD32" t="s">
        <v>448</v>
      </c>
      <c r="BE32" t="s">
        <v>449</v>
      </c>
      <c r="BF32" t="s">
        <v>450</v>
      </c>
      <c r="BG32" t="str">
        <f>HYPERLINK(".\links\PREV-RHOD-PEP\TI_asb-51-PREV-RHOD-PEP.txt","Contig17982_6")</f>
        <v>Contig17982_6</v>
      </c>
      <c r="BH32" s="6">
        <v>0.1</v>
      </c>
      <c r="BI32" t="str">
        <f>HYPERLINK(".\links\PREV-RHOD-PEP\TI_asb-51-PREV-RHOD-PEP.txt"," 6")</f>
        <v xml:space="preserve"> 6</v>
      </c>
      <c r="BJ32" t="s">
        <v>451</v>
      </c>
      <c r="BK32">
        <v>33.9</v>
      </c>
      <c r="BL32">
        <v>16</v>
      </c>
      <c r="BM32">
        <v>1169</v>
      </c>
      <c r="BN32">
        <v>93</v>
      </c>
      <c r="BO32">
        <v>1</v>
      </c>
      <c r="BP32">
        <v>1</v>
      </c>
      <c r="BQ32">
        <v>0</v>
      </c>
      <c r="BR32">
        <v>8</v>
      </c>
      <c r="BS32">
        <v>222</v>
      </c>
      <c r="BT32">
        <v>1</v>
      </c>
      <c r="BU32" t="s">
        <v>54</v>
      </c>
      <c r="BV32" t="s">
        <v>452</v>
      </c>
      <c r="BW32" t="s">
        <v>56</v>
      </c>
      <c r="BX32" t="str">
        <f>HYPERLINK(".\links\PREV-RHOD-CDS\TI_asb-51-PREV-RHOD-CDS.txt","Contig17982_6")</f>
        <v>Contig17982_6</v>
      </c>
      <c r="BY32" s="7">
        <v>5.0000000000000004E-32</v>
      </c>
      <c r="BZ32" t="s">
        <v>451</v>
      </c>
      <c r="CA32">
        <v>139</v>
      </c>
      <c r="CB32">
        <v>98</v>
      </c>
      <c r="CC32">
        <v>3510</v>
      </c>
      <c r="CD32">
        <v>97</v>
      </c>
      <c r="CE32">
        <v>3</v>
      </c>
      <c r="CF32">
        <v>2</v>
      </c>
      <c r="CG32">
        <v>0</v>
      </c>
      <c r="CH32">
        <v>2</v>
      </c>
      <c r="CI32">
        <v>88</v>
      </c>
      <c r="CJ32">
        <v>2</v>
      </c>
      <c r="CK32" t="s">
        <v>54</v>
      </c>
      <c r="CL32" t="s">
        <v>56</v>
      </c>
      <c r="CM32" t="s">
        <v>56</v>
      </c>
      <c r="CN32" t="s">
        <v>56</v>
      </c>
      <c r="CO32" t="s">
        <v>56</v>
      </c>
      <c r="CP32" t="s">
        <v>56</v>
      </c>
      <c r="CQ32" t="s">
        <v>56</v>
      </c>
      <c r="CR32" s="6" t="s">
        <v>56</v>
      </c>
      <c r="CS32" t="s">
        <v>56</v>
      </c>
      <c r="CT32" t="s">
        <v>56</v>
      </c>
      <c r="CU32" t="s">
        <v>56</v>
      </c>
      <c r="CV32" t="s">
        <v>56</v>
      </c>
      <c r="CW32" s="6" t="s">
        <v>56</v>
      </c>
      <c r="CX32" t="s">
        <v>56</v>
      </c>
      <c r="CY32" t="s">
        <v>56</v>
      </c>
      <c r="CZ32" t="s">
        <v>56</v>
      </c>
      <c r="DA32" t="s">
        <v>56</v>
      </c>
      <c r="DB32" s="6" t="s">
        <v>56</v>
      </c>
      <c r="DC32" t="str">
        <f>HYPERLINK(".\links\CDD\TI_asb-51-CDD.txt","ND6")</f>
        <v>ND6</v>
      </c>
      <c r="DD32" t="str">
        <f>HYPERLINK("http://www.ncbi.nlm.nih.gov/Structure/cdd/cddsrv.cgi?uid=MTH00097&amp;version=v4.0","7E-005")</f>
        <v>7E-005</v>
      </c>
      <c r="DE32" t="s">
        <v>453</v>
      </c>
      <c r="DF32" t="str">
        <f>HYPERLINK(".\links\PFAM\TI_asb-51-PFAM.txt","EcsB")</f>
        <v>EcsB</v>
      </c>
      <c r="DG32" t="str">
        <f>HYPERLINK("http://pfam.sanger.ac.uk/family?acc=PF05975","0.002")</f>
        <v>0.002</v>
      </c>
      <c r="DH32" t="str">
        <f>HYPERLINK(".\links\PRK\TI_asb-51-PRK.txt","NADH dehydrogenase subunit 6")</f>
        <v>NADH dehydrogenase subunit 6</v>
      </c>
      <c r="DI32" s="7">
        <v>2.0000000000000001E-4</v>
      </c>
      <c r="DJ32" s="6" t="str">
        <f>HYPERLINK(".\links\KOG\TI_asb-51-KOG.txt","beta-1,6-N-acetylglucosaminyltransferase, contains WSC domain")</f>
        <v>beta-1,6-N-acetylglucosaminyltransferase, contains WSC domain</v>
      </c>
      <c r="DK32" s="6" t="str">
        <f>HYPERLINK("http://www.ncbi.nlm.nih.gov/COG/grace/shokog.cgi?KOG4157","0.045")</f>
        <v>0.045</v>
      </c>
      <c r="DL32" s="6" t="s">
        <v>4350</v>
      </c>
      <c r="DM32" s="6" t="str">
        <f>HYPERLINK(".\links\KOG\TI_asb-51-KOG.txt","KOG4157")</f>
        <v>KOG4157</v>
      </c>
      <c r="DN32" t="str">
        <f>HYPERLINK(".\links\SMART\TI_asb-51-SMART.txt","FGF")</f>
        <v>FGF</v>
      </c>
      <c r="DO32" t="str">
        <f>HYPERLINK("http://smart.embl-heidelberg.de/smart/do_annotation.pl?DOMAIN=FGF&amp;BLAST=DUMMY","0.013")</f>
        <v>0.013</v>
      </c>
      <c r="DP32" s="3" t="s">
        <v>56</v>
      </c>
      <c r="ED32" s="3" t="s">
        <v>56</v>
      </c>
    </row>
    <row r="33" spans="1:134">
      <c r="A33" t="str">
        <f>HYPERLINK(".\links\seq\TI_asb-52-seq.txt","TI_asb-52")</f>
        <v>TI_asb-52</v>
      </c>
      <c r="B33">
        <v>52</v>
      </c>
      <c r="C33" t="str">
        <f>HYPERLINK(".\links\tsa\TI_asb-52-tsa.txt","1")</f>
        <v>1</v>
      </c>
      <c r="D33">
        <v>1</v>
      </c>
      <c r="E33">
        <v>733</v>
      </c>
      <c r="G33" t="str">
        <f>HYPERLINK(".\links\qual\TI_asb-52-qual.txt","57")</f>
        <v>57</v>
      </c>
      <c r="H33">
        <v>1</v>
      </c>
      <c r="I33">
        <v>0</v>
      </c>
      <c r="J33">
        <f t="shared" si="0"/>
        <v>1</v>
      </c>
      <c r="K33" s="6">
        <f t="shared" si="1"/>
        <v>1</v>
      </c>
      <c r="L33" s="6" t="s">
        <v>3868</v>
      </c>
      <c r="M33" s="6" t="s">
        <v>3869</v>
      </c>
      <c r="N33" s="6"/>
      <c r="O33" s="6"/>
      <c r="P33" s="6"/>
      <c r="Q33" s="3">
        <v>733</v>
      </c>
      <c r="R33" s="3">
        <v>195</v>
      </c>
      <c r="S33" s="6" t="s">
        <v>3511</v>
      </c>
      <c r="T33" s="3">
        <v>2</v>
      </c>
      <c r="U33" t="s">
        <v>56</v>
      </c>
      <c r="V33" t="s">
        <v>56</v>
      </c>
      <c r="W33" t="s">
        <v>56</v>
      </c>
      <c r="X33" t="s">
        <v>56</v>
      </c>
      <c r="Y33" t="s">
        <v>56</v>
      </c>
      <c r="Z33" t="s">
        <v>56</v>
      </c>
      <c r="AA33" t="s">
        <v>56</v>
      </c>
      <c r="AB33" t="s">
        <v>56</v>
      </c>
      <c r="AC33" t="s">
        <v>56</v>
      </c>
      <c r="AD33" t="s">
        <v>56</v>
      </c>
      <c r="AE33" t="s">
        <v>56</v>
      </c>
      <c r="AF33" t="s">
        <v>56</v>
      </c>
      <c r="AG33" t="s">
        <v>56</v>
      </c>
      <c r="AH33" t="s">
        <v>56</v>
      </c>
      <c r="AI33" t="s">
        <v>56</v>
      </c>
      <c r="AJ33" t="s">
        <v>56</v>
      </c>
      <c r="AK33" t="s">
        <v>56</v>
      </c>
      <c r="AL33" t="s">
        <v>56</v>
      </c>
      <c r="AM33" t="str">
        <f>HYPERLINK(".\links\SWISSP\TI_asb-52-SWISSP.txt","Alpha-1,2-mannosyltransferase ALG11 OS=Kluyveromyces lactis GN=ALG11 PE=3 SV=1")</f>
        <v>Alpha-1,2-mannosyltransferase ALG11 OS=Kluyveromyces lactis GN=ALG11 PE=3 SV=1</v>
      </c>
      <c r="AN33" s="19" t="str">
        <f>HYPERLINK("http://www.uniprot.org/uniprot/Q6CLD6","9.6")</f>
        <v>9.6</v>
      </c>
      <c r="AO33" t="str">
        <f>HYPERLINK(".\links\SWISSP\TI_asb-52-SWISSP.txt"," 1")</f>
        <v xml:space="preserve"> 1</v>
      </c>
      <c r="AP33" t="s">
        <v>454</v>
      </c>
      <c r="AQ33">
        <v>30.8</v>
      </c>
      <c r="AR33">
        <v>65</v>
      </c>
      <c r="AS33">
        <v>570</v>
      </c>
      <c r="AT33">
        <v>30</v>
      </c>
      <c r="AU33">
        <v>11</v>
      </c>
      <c r="AV33">
        <v>45</v>
      </c>
      <c r="AW33">
        <v>1</v>
      </c>
      <c r="AX33">
        <v>361</v>
      </c>
      <c r="AY33">
        <v>511</v>
      </c>
      <c r="AZ33">
        <v>1</v>
      </c>
      <c r="BA33">
        <v>-2</v>
      </c>
      <c r="BB33" t="s">
        <v>53</v>
      </c>
      <c r="BC33" t="s">
        <v>64</v>
      </c>
      <c r="BD33" t="s">
        <v>455</v>
      </c>
      <c r="BE33" t="s">
        <v>456</v>
      </c>
      <c r="BF33" t="s">
        <v>457</v>
      </c>
      <c r="BG33" t="s">
        <v>56</v>
      </c>
      <c r="BH33" s="6" t="s">
        <v>56</v>
      </c>
      <c r="BI33" t="s">
        <v>56</v>
      </c>
      <c r="BJ33" t="s">
        <v>56</v>
      </c>
      <c r="BK33" t="s">
        <v>56</v>
      </c>
      <c r="BL33" t="s">
        <v>56</v>
      </c>
      <c r="BM33" t="s">
        <v>56</v>
      </c>
      <c r="BN33" t="s">
        <v>56</v>
      </c>
      <c r="BO33" t="s">
        <v>56</v>
      </c>
      <c r="BP33" t="s">
        <v>56</v>
      </c>
      <c r="BQ33" t="s">
        <v>56</v>
      </c>
      <c r="BR33" t="s">
        <v>56</v>
      </c>
      <c r="BS33" t="s">
        <v>56</v>
      </c>
      <c r="BT33" t="s">
        <v>56</v>
      </c>
      <c r="BU33" t="s">
        <v>56</v>
      </c>
      <c r="BV33" t="s">
        <v>56</v>
      </c>
      <c r="BW33" t="s">
        <v>56</v>
      </c>
      <c r="BX33" t="str">
        <f>HYPERLINK(".\links\PREV-RHOD-CDS\TI_asb-52-PREV-RHOD-CDS.txt","Contig17932_114")</f>
        <v>Contig17932_114</v>
      </c>
      <c r="BY33" s="6">
        <v>2.3E-2</v>
      </c>
      <c r="BZ33" t="s">
        <v>458</v>
      </c>
      <c r="CA33">
        <v>40.1</v>
      </c>
      <c r="CB33">
        <v>19</v>
      </c>
      <c r="CC33">
        <v>3993</v>
      </c>
      <c r="CD33">
        <v>100</v>
      </c>
      <c r="CE33">
        <v>1</v>
      </c>
      <c r="CF33">
        <v>0</v>
      </c>
      <c r="CG33">
        <v>0</v>
      </c>
      <c r="CH33">
        <v>2317</v>
      </c>
      <c r="CI33">
        <v>677</v>
      </c>
      <c r="CJ33">
        <v>1</v>
      </c>
      <c r="CK33" t="s">
        <v>64</v>
      </c>
      <c r="CL33" t="s">
        <v>56</v>
      </c>
      <c r="CM33" t="s">
        <v>56</v>
      </c>
      <c r="CN33" t="s">
        <v>56</v>
      </c>
      <c r="CO33" t="s">
        <v>56</v>
      </c>
      <c r="CP33" t="s">
        <v>56</v>
      </c>
      <c r="CQ33" t="s">
        <v>56</v>
      </c>
      <c r="CR33" s="6" t="s">
        <v>56</v>
      </c>
      <c r="CS33" t="s">
        <v>56</v>
      </c>
      <c r="CT33" t="s">
        <v>56</v>
      </c>
      <c r="CU33" t="s">
        <v>56</v>
      </c>
      <c r="CV33" t="s">
        <v>56</v>
      </c>
      <c r="CW33" s="6" t="s">
        <v>56</v>
      </c>
      <c r="CX33" t="s">
        <v>56</v>
      </c>
      <c r="CY33" t="s">
        <v>56</v>
      </c>
      <c r="CZ33" t="s">
        <v>56</v>
      </c>
      <c r="DA33" t="s">
        <v>56</v>
      </c>
      <c r="DB33" s="6" t="s">
        <v>56</v>
      </c>
      <c r="DC33" t="str">
        <f>HYPERLINK(".\links\CDD\TI_asb-52-CDD.txt","7TM_GPCR_Srbc")</f>
        <v>7TM_GPCR_Srbc</v>
      </c>
      <c r="DD33" t="str">
        <f>HYPERLINK("http://www.ncbi.nlm.nih.gov/Structure/cdd/cddsrv.cgi?uid=pfam10316&amp;version=v4.0","0.008")</f>
        <v>0.008</v>
      </c>
      <c r="DE33" t="s">
        <v>459</v>
      </c>
      <c r="DF33" t="str">
        <f>HYPERLINK(".\links\PFAM\TI_asb-52-PFAM.txt","7TM_GPCR_Srbc")</f>
        <v>7TM_GPCR_Srbc</v>
      </c>
      <c r="DG33" t="str">
        <f>HYPERLINK("http://pfam.sanger.ac.uk/family?acc=PF10316","0.002")</f>
        <v>0.002</v>
      </c>
      <c r="DH33" t="str">
        <f>HYPERLINK(".\links\PRK\TI_asb-52-PRK.txt","NADH dehydrogenase subunit 4")</f>
        <v>NADH dehydrogenase subunit 4</v>
      </c>
      <c r="DI33" s="6">
        <v>7.0000000000000001E-3</v>
      </c>
      <c r="DJ33" s="6" t="s">
        <v>56</v>
      </c>
      <c r="DN33" t="s">
        <v>56</v>
      </c>
      <c r="DO33" t="s">
        <v>56</v>
      </c>
      <c r="DP33" s="3" t="s">
        <v>56</v>
      </c>
      <c r="ED33" s="3" t="s">
        <v>56</v>
      </c>
    </row>
    <row r="34" spans="1:134">
      <c r="A34" t="str">
        <f>HYPERLINK(".\links\seq\TI_asb-53-seq.txt","TI_asb-53")</f>
        <v>TI_asb-53</v>
      </c>
      <c r="B34">
        <v>53</v>
      </c>
      <c r="C34" t="str">
        <f>HYPERLINK(".\links\tsa\TI_asb-53-tsa.txt","1")</f>
        <v>1</v>
      </c>
      <c r="D34">
        <v>1</v>
      </c>
      <c r="E34">
        <v>981</v>
      </c>
      <c r="G34" t="str">
        <f>HYPERLINK(".\links\qual\TI_asb-53-qual.txt","27")</f>
        <v>27</v>
      </c>
      <c r="H34">
        <v>1</v>
      </c>
      <c r="I34">
        <v>0</v>
      </c>
      <c r="J34">
        <f t="shared" si="0"/>
        <v>1</v>
      </c>
      <c r="K34" s="6">
        <f t="shared" si="1"/>
        <v>1</v>
      </c>
      <c r="L34" s="6" t="s">
        <v>3903</v>
      </c>
      <c r="M34" s="6" t="s">
        <v>3904</v>
      </c>
      <c r="N34" s="6" t="s">
        <v>3872</v>
      </c>
      <c r="O34" s="7">
        <v>4.0000000000000002E-25</v>
      </c>
      <c r="P34" s="6">
        <v>20.9</v>
      </c>
      <c r="Q34" s="3">
        <v>981</v>
      </c>
      <c r="R34" s="3">
        <v>300</v>
      </c>
      <c r="S34" s="6" t="s">
        <v>3512</v>
      </c>
      <c r="T34" s="3">
        <v>1</v>
      </c>
      <c r="U34" t="str">
        <f>HYPERLINK(".\links\NR-LIGHT\TI_asb-53-NR-LIGHT.txt","CG7920")</f>
        <v>CG7920</v>
      </c>
      <c r="V34" t="str">
        <f>HYPERLINK("http://www.ncbi.nlm.nih.gov/sutils/blink.cgi?pid=21358615","2E-026")</f>
        <v>2E-026</v>
      </c>
      <c r="W34" t="str">
        <f>HYPERLINK(".\links\NR-LIGHT\TI_asb-53-NR-LIGHT.txt"," 10")</f>
        <v xml:space="preserve"> 10</v>
      </c>
      <c r="X34" t="str">
        <f>HYPERLINK("http://www.ncbi.nlm.nih.gov/protein/21358615","gi|21358615")</f>
        <v>gi|21358615</v>
      </c>
      <c r="Y34">
        <v>122</v>
      </c>
      <c r="Z34">
        <v>84</v>
      </c>
      <c r="AA34">
        <v>477</v>
      </c>
      <c r="AB34">
        <v>67</v>
      </c>
      <c r="AC34">
        <v>18</v>
      </c>
      <c r="AD34">
        <v>27</v>
      </c>
      <c r="AE34">
        <v>0</v>
      </c>
      <c r="AF34">
        <v>114</v>
      </c>
      <c r="AG34">
        <v>325</v>
      </c>
      <c r="AH34">
        <v>1</v>
      </c>
      <c r="AI34">
        <v>1</v>
      </c>
      <c r="AJ34" t="s">
        <v>53</v>
      </c>
      <c r="AK34" t="s">
        <v>54</v>
      </c>
      <c r="AL34" t="s">
        <v>349</v>
      </c>
      <c r="AM34" t="str">
        <f>HYPERLINK(".\links\SWISSP\TI_asb-53-SWISSP.txt","4-hydroxybutyrate coenzyme A transferase OS=Clostridium kluyveri (strain ATCC")</f>
        <v>4-hydroxybutyrate coenzyme A transferase OS=Clostridium kluyveri (strain ATCC</v>
      </c>
      <c r="AN34" s="19" t="str">
        <f>HYPERLINK("http://www.uniprot.org/uniprot/P38942","1E-011")</f>
        <v>1E-011</v>
      </c>
      <c r="AO34" t="str">
        <f>HYPERLINK(".\links\SWISSP\TI_asb-53-SWISSP.txt"," 6")</f>
        <v xml:space="preserve"> 6</v>
      </c>
      <c r="AP34" t="s">
        <v>460</v>
      </c>
      <c r="AQ34">
        <v>70.900000000000006</v>
      </c>
      <c r="AR34">
        <v>85</v>
      </c>
      <c r="AS34">
        <v>429</v>
      </c>
      <c r="AT34">
        <v>41</v>
      </c>
      <c r="AU34">
        <v>20</v>
      </c>
      <c r="AV34">
        <v>50</v>
      </c>
      <c r="AW34">
        <v>0</v>
      </c>
      <c r="AX34">
        <v>73</v>
      </c>
      <c r="AY34">
        <v>319</v>
      </c>
      <c r="AZ34">
        <v>1</v>
      </c>
      <c r="BA34">
        <v>1</v>
      </c>
      <c r="BB34" t="s">
        <v>53</v>
      </c>
      <c r="BC34" t="s">
        <v>54</v>
      </c>
      <c r="BD34" t="s">
        <v>461</v>
      </c>
      <c r="BE34" t="s">
        <v>462</v>
      </c>
      <c r="BF34" t="s">
        <v>463</v>
      </c>
      <c r="BG34" t="str">
        <f>HYPERLINK(".\links\PREV-RHOD-PEP\TI_asb-53-PREV-RHOD-PEP.txt","Contig17215_4")</f>
        <v>Contig17215_4</v>
      </c>
      <c r="BH34" s="7">
        <v>7.9999999999999995E-36</v>
      </c>
      <c r="BI34" t="str">
        <f>HYPERLINK(".\links\PREV-RHOD-PEP\TI_asb-53-PREV-RHOD-PEP.txt"," 10")</f>
        <v xml:space="preserve"> 10</v>
      </c>
      <c r="BJ34" t="s">
        <v>464</v>
      </c>
      <c r="BK34">
        <v>147</v>
      </c>
      <c r="BL34">
        <v>95</v>
      </c>
      <c r="BM34">
        <v>554</v>
      </c>
      <c r="BN34">
        <v>77</v>
      </c>
      <c r="BO34">
        <v>17</v>
      </c>
      <c r="BP34">
        <v>21</v>
      </c>
      <c r="BQ34">
        <v>1</v>
      </c>
      <c r="BR34">
        <v>190</v>
      </c>
      <c r="BS34">
        <v>322</v>
      </c>
      <c r="BT34">
        <v>1</v>
      </c>
      <c r="BU34" t="s">
        <v>54</v>
      </c>
      <c r="BV34" t="s">
        <v>465</v>
      </c>
      <c r="BW34" t="s">
        <v>56</v>
      </c>
      <c r="BX34" t="str">
        <f>HYPERLINK(".\links\PREV-RHOD-CDS\TI_asb-53-PREV-RHOD-CDS.txt","Contig17215_4")</f>
        <v>Contig17215_4</v>
      </c>
      <c r="BY34" s="7">
        <v>4.0000000000000001E-54</v>
      </c>
      <c r="BZ34" t="s">
        <v>464</v>
      </c>
      <c r="CA34">
        <v>212</v>
      </c>
      <c r="CB34">
        <v>210</v>
      </c>
      <c r="CC34">
        <v>1665</v>
      </c>
      <c r="CD34">
        <v>87</v>
      </c>
      <c r="CE34">
        <v>13</v>
      </c>
      <c r="CF34">
        <v>26</v>
      </c>
      <c r="CG34">
        <v>0</v>
      </c>
      <c r="CH34">
        <v>566</v>
      </c>
      <c r="CI34">
        <v>320</v>
      </c>
      <c r="CJ34">
        <v>1</v>
      </c>
      <c r="CK34" t="s">
        <v>54</v>
      </c>
      <c r="CL34" t="s">
        <v>466</v>
      </c>
      <c r="CM34">
        <f>HYPERLINK(".\links\GO\TI_asb-53-GO.txt",1E-27)</f>
        <v>1E-27</v>
      </c>
      <c r="CN34" t="s">
        <v>467</v>
      </c>
      <c r="CO34" t="s">
        <v>129</v>
      </c>
      <c r="CP34" t="s">
        <v>239</v>
      </c>
      <c r="CQ34" t="s">
        <v>468</v>
      </c>
      <c r="CR34" s="6">
        <v>0.17</v>
      </c>
      <c r="CS34" t="s">
        <v>469</v>
      </c>
      <c r="CT34" t="s">
        <v>75</v>
      </c>
      <c r="CU34" t="s">
        <v>76</v>
      </c>
      <c r="CV34" t="s">
        <v>470</v>
      </c>
      <c r="CW34" s="6">
        <v>0.17</v>
      </c>
      <c r="CX34" t="s">
        <v>471</v>
      </c>
      <c r="CY34" t="s">
        <v>129</v>
      </c>
      <c r="CZ34" t="s">
        <v>239</v>
      </c>
      <c r="DA34" t="s">
        <v>472</v>
      </c>
      <c r="DB34" s="6">
        <v>0.17</v>
      </c>
      <c r="DC34" t="str">
        <f>HYPERLINK(".\links\CDD\TI_asb-53-CDD.txt","ACH1")</f>
        <v>ACH1</v>
      </c>
      <c r="DD34" t="str">
        <f>HYPERLINK("http://www.ncbi.nlm.nih.gov/Structure/cdd/cddsrv.cgi?uid=COG0427&amp;version=v4.0","2E-010")</f>
        <v>2E-010</v>
      </c>
      <c r="DE34" t="s">
        <v>473</v>
      </c>
      <c r="DF34" t="str">
        <f>HYPERLINK(".\links\PFAM\TI_asb-53-PFAM.txt","AcetylCoA_hydro")</f>
        <v>AcetylCoA_hydro</v>
      </c>
      <c r="DG34" t="str">
        <f>HYPERLINK("http://pfam.sanger.ac.uk/family?acc=PF02550","4E-010")</f>
        <v>4E-010</v>
      </c>
      <c r="DH34" t="str">
        <f>HYPERLINK(".\links\PRK\TI_asb-53-PRK.txt","NADH dehydrogenase subunit 6")</f>
        <v>NADH dehydrogenase subunit 6</v>
      </c>
      <c r="DI34" s="7">
        <v>2.9999999999999997E-4</v>
      </c>
      <c r="DJ34" s="6" t="str">
        <f>HYPERLINK(".\links\KOG\TI_asb-53-KOG.txt","Acetyl-CoA hydrolase")</f>
        <v>Acetyl-CoA hydrolase</v>
      </c>
      <c r="DK34" s="6" t="str">
        <f>HYPERLINK("http://www.ncbi.nlm.nih.gov/COG/grace/shokog.cgi?KOG2828","4E-025")</f>
        <v>4E-025</v>
      </c>
      <c r="DL34" s="6" t="s">
        <v>4349</v>
      </c>
      <c r="DM34" s="6" t="str">
        <f>HYPERLINK(".\links\KOG\TI_asb-53-KOG.txt","KOG2828")</f>
        <v>KOG2828</v>
      </c>
      <c r="DN34" t="s">
        <v>56</v>
      </c>
      <c r="DO34" t="s">
        <v>56</v>
      </c>
      <c r="DP34" s="3" t="s">
        <v>56</v>
      </c>
      <c r="ED34" s="3" t="s">
        <v>56</v>
      </c>
    </row>
    <row r="35" spans="1:134">
      <c r="A35" t="str">
        <f>HYPERLINK(".\links\seq\TI_asb-58-seq.txt","TI_asb-58")</f>
        <v>TI_asb-58</v>
      </c>
      <c r="B35">
        <v>58</v>
      </c>
      <c r="C35" t="str">
        <f>HYPERLINK(".\links\tsa\TI_asb-58-tsa.txt","1")</f>
        <v>1</v>
      </c>
      <c r="D35">
        <v>1</v>
      </c>
      <c r="E35">
        <v>384</v>
      </c>
      <c r="F35">
        <v>102</v>
      </c>
      <c r="G35" t="str">
        <f>HYPERLINK(".\links\qual\TI_asb-58-qual.txt","16")</f>
        <v>16</v>
      </c>
      <c r="H35">
        <v>1</v>
      </c>
      <c r="I35">
        <v>0</v>
      </c>
      <c r="J35">
        <f t="shared" si="0"/>
        <v>1</v>
      </c>
      <c r="K35" s="6">
        <f t="shared" si="1"/>
        <v>1</v>
      </c>
      <c r="L35" s="6" t="s">
        <v>3868</v>
      </c>
      <c r="M35" s="6" t="s">
        <v>3869</v>
      </c>
      <c r="N35" s="6"/>
      <c r="O35" s="6"/>
      <c r="P35" s="6"/>
      <c r="Q35" s="3">
        <v>384</v>
      </c>
      <c r="R35" s="3">
        <v>141</v>
      </c>
      <c r="S35" s="3" t="s">
        <v>3513</v>
      </c>
      <c r="T35" s="3">
        <v>6</v>
      </c>
      <c r="U35" t="str">
        <f>HYPERLINK(".\links\NR-LIGHT\TI_asb-58-NR-LIGHT.txt","beta-D-galactosidase")</f>
        <v>beta-D-galactosidase</v>
      </c>
      <c r="V35" t="str">
        <f>HYPERLINK("http://www.ncbi.nlm.nih.gov/sutils/blink.cgi?pid=307229792","1.2")</f>
        <v>1.2</v>
      </c>
      <c r="W35" t="str">
        <f>HYPERLINK(".\links\NR-LIGHT\TI_asb-58-NR-LIGHT.txt"," 10")</f>
        <v xml:space="preserve"> 10</v>
      </c>
      <c r="X35" t="str">
        <f>HYPERLINK("http://www.ncbi.nlm.nih.gov/protein/307229792","gi|307229792")</f>
        <v>gi|307229792</v>
      </c>
      <c r="Y35">
        <v>34.299999999999997</v>
      </c>
      <c r="Z35">
        <v>47</v>
      </c>
      <c r="AA35">
        <v>1024</v>
      </c>
      <c r="AB35">
        <v>38</v>
      </c>
      <c r="AC35">
        <v>5</v>
      </c>
      <c r="AD35">
        <v>29</v>
      </c>
      <c r="AE35">
        <v>0</v>
      </c>
      <c r="AF35">
        <v>6</v>
      </c>
      <c r="AG35">
        <v>237</v>
      </c>
      <c r="AH35">
        <v>1</v>
      </c>
      <c r="AI35">
        <v>3</v>
      </c>
      <c r="AJ35" t="s">
        <v>53</v>
      </c>
      <c r="AK35" t="s">
        <v>54</v>
      </c>
      <c r="AL35" t="s">
        <v>476</v>
      </c>
      <c r="AM35" t="str">
        <f>HYPERLINK(".\links\SWISSP\TI_asb-58-SWISSP.txt","Beta-galactosidase OS=Escherichia coli GN=lacZ PE=3 SV=1")</f>
        <v>Beta-galactosidase OS=Escherichia coli GN=lacZ PE=3 SV=1</v>
      </c>
      <c r="AN35" s="19" t="str">
        <f>HYPERLINK("http://www.uniprot.org/uniprot/Q8VNN2","0.25")</f>
        <v>0.25</v>
      </c>
      <c r="AO35" t="str">
        <f>HYPERLINK(".\links\SWISSP\TI_asb-58-SWISSP.txt"," 10")</f>
        <v xml:space="preserve"> 10</v>
      </c>
      <c r="AP35" t="s">
        <v>477</v>
      </c>
      <c r="AQ35">
        <v>34.299999999999997</v>
      </c>
      <c r="AR35">
        <v>47</v>
      </c>
      <c r="AS35">
        <v>1029</v>
      </c>
      <c r="AT35">
        <v>38</v>
      </c>
      <c r="AU35">
        <v>5</v>
      </c>
      <c r="AV35">
        <v>29</v>
      </c>
      <c r="AW35">
        <v>0</v>
      </c>
      <c r="AX35">
        <v>11</v>
      </c>
      <c r="AY35">
        <v>237</v>
      </c>
      <c r="AZ35">
        <v>1</v>
      </c>
      <c r="BA35">
        <v>3</v>
      </c>
      <c r="BB35" t="s">
        <v>53</v>
      </c>
      <c r="BC35" t="s">
        <v>54</v>
      </c>
      <c r="BD35" t="s">
        <v>478</v>
      </c>
      <c r="BE35" t="s">
        <v>479</v>
      </c>
      <c r="BF35" t="s">
        <v>480</v>
      </c>
      <c r="BG35" t="str">
        <f>HYPERLINK(".\links\PREV-RHOD-PEP\TI_asb-58-PREV-RHOD-PEP.txt","Contig17938_69")</f>
        <v>Contig17938_69</v>
      </c>
      <c r="BH35" s="6">
        <v>2.2000000000000002</v>
      </c>
      <c r="BI35" t="str">
        <f>HYPERLINK(".\links\PREV-RHOD-PEP\TI_asb-58-PREV-RHOD-PEP.txt"," 2")</f>
        <v xml:space="preserve"> 2</v>
      </c>
      <c r="BJ35" t="s">
        <v>481</v>
      </c>
      <c r="BK35">
        <v>27.3</v>
      </c>
      <c r="BL35">
        <v>32</v>
      </c>
      <c r="BM35">
        <v>4081</v>
      </c>
      <c r="BN35">
        <v>37</v>
      </c>
      <c r="BO35">
        <v>1</v>
      </c>
      <c r="BP35">
        <v>20</v>
      </c>
      <c r="BQ35">
        <v>0</v>
      </c>
      <c r="BR35">
        <v>2630</v>
      </c>
      <c r="BS35">
        <v>160</v>
      </c>
      <c r="BT35">
        <v>1</v>
      </c>
      <c r="BU35" t="s">
        <v>64</v>
      </c>
      <c r="BV35" t="s">
        <v>482</v>
      </c>
      <c r="BW35" t="s">
        <v>56</v>
      </c>
      <c r="BX35" t="str">
        <f>HYPERLINK(".\links\PREV-RHOD-CDS\TI_asb-58-PREV-RHOD-CDS.txt","Contig17942_195")</f>
        <v>Contig17942_195</v>
      </c>
      <c r="BY35" s="6">
        <v>0.74</v>
      </c>
      <c r="BZ35" t="s">
        <v>483</v>
      </c>
      <c r="CA35">
        <v>34.200000000000003</v>
      </c>
      <c r="CB35">
        <v>16</v>
      </c>
      <c r="CC35">
        <v>3348</v>
      </c>
      <c r="CD35">
        <v>100</v>
      </c>
      <c r="CE35">
        <v>1</v>
      </c>
      <c r="CF35">
        <v>0</v>
      </c>
      <c r="CG35">
        <v>0</v>
      </c>
      <c r="CH35">
        <v>2495</v>
      </c>
      <c r="CI35">
        <v>190</v>
      </c>
      <c r="CJ35">
        <v>1</v>
      </c>
      <c r="CK35" t="s">
        <v>54</v>
      </c>
      <c r="CL35" t="s">
        <v>484</v>
      </c>
      <c r="CM35">
        <f>HYPERLINK(".\links\GO\TI_asb-58-GO.txt",0.1)</f>
        <v>0.1</v>
      </c>
      <c r="CN35" t="s">
        <v>485</v>
      </c>
      <c r="CO35" t="s">
        <v>129</v>
      </c>
      <c r="CP35" t="s">
        <v>166</v>
      </c>
      <c r="CQ35" t="s">
        <v>486</v>
      </c>
      <c r="CR35" s="6">
        <v>0.1</v>
      </c>
      <c r="CS35" t="s">
        <v>56</v>
      </c>
      <c r="CT35" t="s">
        <v>56</v>
      </c>
      <c r="CU35" t="s">
        <v>56</v>
      </c>
      <c r="CV35" t="s">
        <v>56</v>
      </c>
      <c r="CW35" s="6" t="s">
        <v>56</v>
      </c>
      <c r="CX35" t="s">
        <v>487</v>
      </c>
      <c r="CY35" t="s">
        <v>129</v>
      </c>
      <c r="CZ35" t="s">
        <v>166</v>
      </c>
      <c r="DA35" t="s">
        <v>488</v>
      </c>
      <c r="DB35" s="6">
        <v>0.1</v>
      </c>
      <c r="DC35" t="s">
        <v>56</v>
      </c>
      <c r="DD35" t="s">
        <v>56</v>
      </c>
      <c r="DE35" t="s">
        <v>56</v>
      </c>
      <c r="DF35" t="s">
        <v>56</v>
      </c>
      <c r="DG35" t="s">
        <v>56</v>
      </c>
      <c r="DH35" t="s">
        <v>56</v>
      </c>
      <c r="DI35" s="6" t="s">
        <v>56</v>
      </c>
      <c r="DJ35" s="6" t="s">
        <v>56</v>
      </c>
      <c r="DN35" t="s">
        <v>56</v>
      </c>
      <c r="DO35" t="s">
        <v>56</v>
      </c>
      <c r="DP35" s="3" t="s">
        <v>56</v>
      </c>
      <c r="ED35" s="3" t="s">
        <v>56</v>
      </c>
    </row>
    <row r="36" spans="1:134">
      <c r="A36" t="str">
        <f>HYPERLINK(".\links\seq\TI_asb-61-seq.txt","TI_asb-61")</f>
        <v>TI_asb-61</v>
      </c>
      <c r="B36">
        <v>61</v>
      </c>
      <c r="C36" t="str">
        <f>HYPERLINK(".\links\tsa\TI_asb-61-tsa.txt","1")</f>
        <v>1</v>
      </c>
      <c r="D36">
        <v>1</v>
      </c>
      <c r="E36">
        <v>502</v>
      </c>
      <c r="G36" t="str">
        <f>HYPERLINK(".\links\qual\TI_asb-61-qual.txt","25")</f>
        <v>25</v>
      </c>
      <c r="H36">
        <v>1</v>
      </c>
      <c r="I36">
        <v>0</v>
      </c>
      <c r="J36">
        <f t="shared" si="0"/>
        <v>1</v>
      </c>
      <c r="K36" s="6">
        <f t="shared" si="1"/>
        <v>1</v>
      </c>
      <c r="L36" s="6" t="s">
        <v>3907</v>
      </c>
      <c r="M36" s="6" t="s">
        <v>3886</v>
      </c>
      <c r="N36" s="6" t="s">
        <v>3864</v>
      </c>
      <c r="O36" s="7">
        <v>3E-24</v>
      </c>
      <c r="P36" s="6">
        <v>41.7</v>
      </c>
      <c r="Q36" s="3">
        <v>502</v>
      </c>
      <c r="R36" s="3">
        <v>294</v>
      </c>
      <c r="S36" s="3" t="s">
        <v>3514</v>
      </c>
      <c r="T36" s="3">
        <v>1</v>
      </c>
      <c r="U36" t="str">
        <f>HYPERLINK(".\links\NR-LIGHT\TI_asb-61-NR-LIGHT.txt","enhancer of rudimentary")</f>
        <v>enhancer of rudimentary</v>
      </c>
      <c r="V36" t="str">
        <f>HYPERLINK("http://www.ncbi.nlm.nih.gov/sutils/blink.cgi?pid=187173295","3E-024")</f>
        <v>3E-024</v>
      </c>
      <c r="W36" t="str">
        <f>HYPERLINK(".\links\NR-LIGHT\TI_asb-61-NR-LIGHT.txt"," 10")</f>
        <v xml:space="preserve"> 10</v>
      </c>
      <c r="X36" t="str">
        <f>HYPERLINK("http://www.ncbi.nlm.nih.gov/protein/187173295","gi|187173295")</f>
        <v>gi|187173295</v>
      </c>
      <c r="Y36">
        <v>77</v>
      </c>
      <c r="Z36">
        <v>43</v>
      </c>
      <c r="AA36">
        <v>103</v>
      </c>
      <c r="AB36">
        <v>79</v>
      </c>
      <c r="AC36">
        <v>42</v>
      </c>
      <c r="AD36">
        <v>9</v>
      </c>
      <c r="AE36">
        <v>0</v>
      </c>
      <c r="AF36">
        <v>1</v>
      </c>
      <c r="AG36">
        <v>172</v>
      </c>
      <c r="AH36">
        <v>2</v>
      </c>
      <c r="AI36">
        <v>1</v>
      </c>
      <c r="AJ36" t="s">
        <v>65</v>
      </c>
      <c r="AK36" t="s">
        <v>54</v>
      </c>
      <c r="AL36" t="s">
        <v>177</v>
      </c>
      <c r="AM36" t="str">
        <f>HYPERLINK(".\links\SWISSP\TI_asb-61-SWISSP.txt","Enhancer of rudimentary homolog OS=Taenia solium GN=ERH PE=3 SV=1")</f>
        <v>Enhancer of rudimentary homolog OS=Taenia solium GN=ERH PE=3 SV=1</v>
      </c>
      <c r="AN36" s="19" t="str">
        <f>HYPERLINK("http://www.uniprot.org/uniprot/P69100","2E-014")</f>
        <v>2E-014</v>
      </c>
      <c r="AO36" t="str">
        <f>HYPERLINK(".\links\SWISSP\TI_asb-61-SWISSP.txt"," 10")</f>
        <v xml:space="preserve"> 10</v>
      </c>
      <c r="AP36" t="s">
        <v>490</v>
      </c>
      <c r="AQ36">
        <v>57</v>
      </c>
      <c r="AR36">
        <v>42</v>
      </c>
      <c r="AS36">
        <v>102</v>
      </c>
      <c r="AT36">
        <v>59</v>
      </c>
      <c r="AU36">
        <v>41</v>
      </c>
      <c r="AV36">
        <v>17</v>
      </c>
      <c r="AW36">
        <v>1</v>
      </c>
      <c r="AX36">
        <v>1</v>
      </c>
      <c r="AY36">
        <v>172</v>
      </c>
      <c r="AZ36">
        <v>2</v>
      </c>
      <c r="BA36">
        <v>1</v>
      </c>
      <c r="BB36" t="s">
        <v>65</v>
      </c>
      <c r="BC36" t="s">
        <v>54</v>
      </c>
      <c r="BD36" t="s">
        <v>491</v>
      </c>
      <c r="BE36" t="s">
        <v>492</v>
      </c>
      <c r="BF36" t="s">
        <v>493</v>
      </c>
      <c r="BG36" t="str">
        <f>HYPERLINK(".\links\PREV-RHOD-PEP\TI_asb-61-PREV-RHOD-PEP.txt","Contig10627_1")</f>
        <v>Contig10627_1</v>
      </c>
      <c r="BH36" s="7">
        <v>2E-16</v>
      </c>
      <c r="BI36" t="str">
        <f>HYPERLINK(".\links\PREV-RHOD-PEP\TI_asb-61-PREV-RHOD-PEP.txt"," 4")</f>
        <v xml:space="preserve"> 4</v>
      </c>
      <c r="BJ36" t="s">
        <v>494</v>
      </c>
      <c r="BK36">
        <v>81.599999999999994</v>
      </c>
      <c r="BL36">
        <v>60</v>
      </c>
      <c r="BM36">
        <v>358</v>
      </c>
      <c r="BN36">
        <v>70</v>
      </c>
      <c r="BO36">
        <v>17</v>
      </c>
      <c r="BP36">
        <v>18</v>
      </c>
      <c r="BQ36">
        <v>2</v>
      </c>
      <c r="BR36">
        <v>122</v>
      </c>
      <c r="BS36">
        <v>175</v>
      </c>
      <c r="BT36">
        <v>2</v>
      </c>
      <c r="BU36" t="s">
        <v>54</v>
      </c>
      <c r="BV36" t="s">
        <v>495</v>
      </c>
      <c r="BW36" t="s">
        <v>56</v>
      </c>
      <c r="BX36" t="str">
        <f>HYPERLINK(".\links\PREV-RHOD-CDS\TI_asb-61-PREV-RHOD-CDS.txt","Contig10627_1")</f>
        <v>Contig10627_1</v>
      </c>
      <c r="BY36" s="7">
        <v>2.9999999999999999E-41</v>
      </c>
      <c r="BZ36" t="s">
        <v>494</v>
      </c>
      <c r="CA36">
        <v>168</v>
      </c>
      <c r="CB36">
        <v>280</v>
      </c>
      <c r="CC36">
        <v>1077</v>
      </c>
      <c r="CD36">
        <v>83</v>
      </c>
      <c r="CE36">
        <v>26</v>
      </c>
      <c r="CF36">
        <v>46</v>
      </c>
      <c r="CG36">
        <v>5</v>
      </c>
      <c r="CH36">
        <v>370</v>
      </c>
      <c r="CI36">
        <v>181</v>
      </c>
      <c r="CJ36">
        <v>1</v>
      </c>
      <c r="CK36" t="s">
        <v>54</v>
      </c>
      <c r="CL36" t="s">
        <v>496</v>
      </c>
      <c r="CM36">
        <f>HYPERLINK(".\links\GO\TI_asb-61-GO.txt",0.00000000000004)</f>
        <v>4E-14</v>
      </c>
      <c r="CN36" t="s">
        <v>58</v>
      </c>
      <c r="CO36" t="s">
        <v>58</v>
      </c>
      <c r="CQ36" t="s">
        <v>59</v>
      </c>
      <c r="CR36" s="6">
        <v>3</v>
      </c>
      <c r="CS36" t="s">
        <v>60</v>
      </c>
      <c r="CT36" t="s">
        <v>60</v>
      </c>
      <c r="CV36" t="s">
        <v>61</v>
      </c>
      <c r="CW36" s="6">
        <v>3</v>
      </c>
      <c r="CX36" t="s">
        <v>62</v>
      </c>
      <c r="CY36" t="s">
        <v>58</v>
      </c>
      <c r="DA36" t="s">
        <v>63</v>
      </c>
      <c r="DB36" s="6">
        <v>3</v>
      </c>
      <c r="DC36" t="str">
        <f>HYPERLINK(".\links\CDD\TI_asb-61-CDD.txt","ER")</f>
        <v>ER</v>
      </c>
      <c r="DD36" t="str">
        <f>HYPERLINK("http://www.ncbi.nlm.nih.gov/Structure/cdd/cddsrv.cgi?uid=pfam01133&amp;version=v4.0","5E-016")</f>
        <v>5E-016</v>
      </c>
      <c r="DE36" t="s">
        <v>497</v>
      </c>
      <c r="DF36" t="str">
        <f>HYPERLINK(".\links\PFAM\TI_asb-61-PFAM.txt","ER")</f>
        <v>ER</v>
      </c>
      <c r="DG36" t="str">
        <f>HYPERLINK("http://pfam.sanger.ac.uk/family?acc=PF01133","1E-016")</f>
        <v>1E-016</v>
      </c>
      <c r="DH36" t="str">
        <f>HYPERLINK(".\links\PRK\TI_asb-61-PRK.txt","helicase-primase primase subunit")</f>
        <v>helicase-primase primase subunit</v>
      </c>
      <c r="DI36" s="6">
        <v>2.1999999999999999E-2</v>
      </c>
      <c r="DJ36" s="6" t="str">
        <f>HYPERLINK(".\links\KOG\TI_asb-61-KOG.txt","Enhancer of rudimentary")</f>
        <v>Enhancer of rudimentary</v>
      </c>
      <c r="DK36" s="6" t="str">
        <f>HYPERLINK("http://www.ncbi.nlm.nih.gov/COG/grace/shokog.cgi?KOG1766","1E-015")</f>
        <v>1E-015</v>
      </c>
      <c r="DL36" s="6" t="s">
        <v>4337</v>
      </c>
      <c r="DM36" s="6" t="str">
        <f>HYPERLINK(".\links\KOG\TI_asb-61-KOG.txt","KOG1766")</f>
        <v>KOG1766</v>
      </c>
      <c r="DN36" t="s">
        <v>56</v>
      </c>
      <c r="DO36" t="s">
        <v>56</v>
      </c>
      <c r="DP36" s="3" t="s">
        <v>56</v>
      </c>
      <c r="ED36" s="3" t="s">
        <v>56</v>
      </c>
    </row>
    <row r="37" spans="1:134">
      <c r="A37" t="str">
        <f>HYPERLINK(".\links\seq\TI_asb-63-seq.txt","TI_asb-63")</f>
        <v>TI_asb-63</v>
      </c>
      <c r="B37">
        <v>63</v>
      </c>
      <c r="C37" t="str">
        <f>HYPERLINK(".\links\tsa\TI_asb-63-tsa.txt","1")</f>
        <v>1</v>
      </c>
      <c r="D37">
        <v>1</v>
      </c>
      <c r="E37">
        <v>543</v>
      </c>
      <c r="G37" t="str">
        <f>HYPERLINK(".\links\qual\TI_asb-63-qual.txt","39")</f>
        <v>39</v>
      </c>
      <c r="H37">
        <v>1</v>
      </c>
      <c r="I37">
        <v>0</v>
      </c>
      <c r="J37">
        <f t="shared" si="0"/>
        <v>1</v>
      </c>
      <c r="K37" s="6">
        <f t="shared" si="1"/>
        <v>1</v>
      </c>
      <c r="L37" s="6" t="s">
        <v>3908</v>
      </c>
      <c r="M37" s="6" t="s">
        <v>3881</v>
      </c>
      <c r="N37" s="6" t="s">
        <v>3909</v>
      </c>
      <c r="O37" s="7">
        <v>3.0000000000000002E-44</v>
      </c>
      <c r="P37" s="6">
        <v>38.1</v>
      </c>
      <c r="Q37" s="3">
        <v>543</v>
      </c>
      <c r="R37" s="3">
        <v>540</v>
      </c>
      <c r="S37" s="6" t="s">
        <v>3515</v>
      </c>
      <c r="T37" s="3">
        <v>1</v>
      </c>
      <c r="U37" t="str">
        <f>HYPERLINK(".\links\NR-LIGHT\TI_asb-63-NR-LIGHT.txt","cathepsin D (lysosomal aspartyl protease)")</f>
        <v>cathepsin D (lysosomal aspartyl protease)</v>
      </c>
      <c r="V37" t="str">
        <f>HYPERLINK("http://www.ncbi.nlm.nih.gov/sutils/blink.cgi?pid=257215794","1E-036")</f>
        <v>1E-036</v>
      </c>
      <c r="W37" t="str">
        <f>HYPERLINK(".\links\NR-LIGHT\TI_asb-63-NR-LIGHT.txt"," 10")</f>
        <v xml:space="preserve"> 10</v>
      </c>
      <c r="X37" t="str">
        <f>HYPERLINK("http://www.ncbi.nlm.nih.gov/protein/257215794","gi|257215794")</f>
        <v>gi|257215794</v>
      </c>
      <c r="Y37">
        <v>154</v>
      </c>
      <c r="Z37">
        <v>181</v>
      </c>
      <c r="AA37">
        <v>240</v>
      </c>
      <c r="AB37">
        <v>41</v>
      </c>
      <c r="AC37">
        <v>75</v>
      </c>
      <c r="AD37">
        <v>105</v>
      </c>
      <c r="AE37">
        <v>1</v>
      </c>
      <c r="AF37">
        <v>17</v>
      </c>
      <c r="AG37">
        <v>4</v>
      </c>
      <c r="AH37">
        <v>1</v>
      </c>
      <c r="AI37">
        <v>1</v>
      </c>
      <c r="AJ37" t="s">
        <v>53</v>
      </c>
      <c r="AK37" t="s">
        <v>54</v>
      </c>
      <c r="AL37" t="s">
        <v>289</v>
      </c>
      <c r="AM37" t="str">
        <f>HYPERLINK(".\links\SWISSP\TI_asb-63-SWISSP.txt","Cathepsin D OS=Gallus gallus GN=CTSD PE=1 SV=1")</f>
        <v>Cathepsin D OS=Gallus gallus GN=CTSD PE=1 SV=1</v>
      </c>
      <c r="AN37" s="19" t="str">
        <f>HYPERLINK("http://www.uniprot.org/uniprot/Q05744","1E-035")</f>
        <v>1E-035</v>
      </c>
      <c r="AO37" t="str">
        <f>HYPERLINK(".\links\SWISSP\TI_asb-63-SWISSP.txt"," 10")</f>
        <v xml:space="preserve"> 10</v>
      </c>
      <c r="AP37" t="s">
        <v>158</v>
      </c>
      <c r="AQ37">
        <v>149</v>
      </c>
      <c r="AR37">
        <v>123</v>
      </c>
      <c r="AS37">
        <v>398</v>
      </c>
      <c r="AT37">
        <v>52</v>
      </c>
      <c r="AU37">
        <v>31</v>
      </c>
      <c r="AV37">
        <v>59</v>
      </c>
      <c r="AW37">
        <v>0</v>
      </c>
      <c r="AX37">
        <v>70</v>
      </c>
      <c r="AY37">
        <v>154</v>
      </c>
      <c r="AZ37">
        <v>1</v>
      </c>
      <c r="BA37">
        <v>1</v>
      </c>
      <c r="BB37" t="s">
        <v>53</v>
      </c>
      <c r="BC37" t="s">
        <v>54</v>
      </c>
      <c r="BD37" t="s">
        <v>159</v>
      </c>
      <c r="BE37" t="s">
        <v>503</v>
      </c>
      <c r="BF37" t="s">
        <v>504</v>
      </c>
      <c r="BG37" t="str">
        <f>HYPERLINK(".\links\PREV-RHOD-PEP\TI_asb-63-PREV-RHOD-PEP.txt","Contig16285_5")</f>
        <v>Contig16285_5</v>
      </c>
      <c r="BH37" s="7">
        <v>1.9999999999999999E-81</v>
      </c>
      <c r="BI37" t="str">
        <f>HYPERLINK(".\links\PREV-RHOD-PEP\TI_asb-63-PREV-RHOD-PEP.txt"," 10")</f>
        <v xml:space="preserve"> 10</v>
      </c>
      <c r="BJ37" t="s">
        <v>505</v>
      </c>
      <c r="BK37">
        <v>297</v>
      </c>
      <c r="BL37">
        <v>180</v>
      </c>
      <c r="BM37">
        <v>399</v>
      </c>
      <c r="BN37">
        <v>76</v>
      </c>
      <c r="BO37">
        <v>45</v>
      </c>
      <c r="BP37">
        <v>43</v>
      </c>
      <c r="BQ37">
        <v>0</v>
      </c>
      <c r="BR37">
        <v>23</v>
      </c>
      <c r="BS37">
        <v>1</v>
      </c>
      <c r="BT37">
        <v>1</v>
      </c>
      <c r="BU37" t="s">
        <v>54</v>
      </c>
      <c r="BV37" t="s">
        <v>506</v>
      </c>
      <c r="BW37" t="s">
        <v>56</v>
      </c>
      <c r="BX37" t="str">
        <f>HYPERLINK(".\links\PREV-RHOD-CDS\TI_asb-63-PREV-RHOD-CDS.txt","Contig16285_5")</f>
        <v>Contig16285_5</v>
      </c>
      <c r="BY37" s="7">
        <v>1E-46</v>
      </c>
      <c r="BZ37" t="s">
        <v>505</v>
      </c>
      <c r="CA37">
        <v>186</v>
      </c>
      <c r="CB37">
        <v>373</v>
      </c>
      <c r="CC37">
        <v>1200</v>
      </c>
      <c r="CD37">
        <v>81</v>
      </c>
      <c r="CE37">
        <v>31</v>
      </c>
      <c r="CF37">
        <v>70</v>
      </c>
      <c r="CG37">
        <v>0</v>
      </c>
      <c r="CH37">
        <v>202</v>
      </c>
      <c r="CI37">
        <v>136</v>
      </c>
      <c r="CJ37">
        <v>1</v>
      </c>
      <c r="CK37" t="s">
        <v>54</v>
      </c>
      <c r="CL37" t="s">
        <v>507</v>
      </c>
      <c r="CM37">
        <f>HYPERLINK(".\links\GO\TI_asb-63-GO.txt",3E-36)</f>
        <v>3.0000000000000002E-36</v>
      </c>
      <c r="CN37" t="s">
        <v>165</v>
      </c>
      <c r="CO37" t="s">
        <v>129</v>
      </c>
      <c r="CP37" t="s">
        <v>166</v>
      </c>
      <c r="CQ37" t="s">
        <v>167</v>
      </c>
      <c r="CR37" s="7">
        <v>5E-36</v>
      </c>
      <c r="CS37" t="s">
        <v>168</v>
      </c>
      <c r="CT37" t="s">
        <v>75</v>
      </c>
      <c r="CU37" t="s">
        <v>76</v>
      </c>
      <c r="CV37" t="s">
        <v>169</v>
      </c>
      <c r="CW37" s="7">
        <v>5E-36</v>
      </c>
      <c r="CX37" t="s">
        <v>170</v>
      </c>
      <c r="CY37" t="s">
        <v>129</v>
      </c>
      <c r="CZ37" t="s">
        <v>166</v>
      </c>
      <c r="DA37" t="s">
        <v>171</v>
      </c>
      <c r="DB37" s="7">
        <v>5E-36</v>
      </c>
      <c r="DC37" t="str">
        <f>HYPERLINK(".\links\CDD\TI_asb-63-CDD.txt","Cathepsin_D2")</f>
        <v>Cathepsin_D2</v>
      </c>
      <c r="DD37" t="str">
        <f>HYPERLINK("http://www.ncbi.nlm.nih.gov/Structure/cdd/cddsrv.cgi?uid=cd05490&amp;version=v4.0","3E-044")</f>
        <v>3E-044</v>
      </c>
      <c r="DE37" t="s">
        <v>508</v>
      </c>
      <c r="DF37" t="str">
        <f>HYPERLINK(".\links\PFAM\TI_asb-63-PFAM.txt","Asp")</f>
        <v>Asp</v>
      </c>
      <c r="DG37" t="str">
        <f>HYPERLINK("http://pfam.sanger.ac.uk/family?acc=PF00026","2E-040")</f>
        <v>2E-040</v>
      </c>
      <c r="DH37" t="str">
        <f>HYPERLINK(".\links\PRK\TI_asb-63-PRK.txt","aspartyl protease")</f>
        <v>aspartyl protease</v>
      </c>
      <c r="DI37" s="7">
        <v>4.9999999999999997E-30</v>
      </c>
      <c r="DJ37" s="6" t="str">
        <f>HYPERLINK(".\links\KOG\TI_asb-63-KOG.txt","Aspartyl protease")</f>
        <v>Aspartyl protease</v>
      </c>
      <c r="DK37" s="6" t="str">
        <f>HYPERLINK("http://www.ncbi.nlm.nih.gov/COG/grace/shokog.cgi?KOG1339","2E-023")</f>
        <v>2E-023</v>
      </c>
      <c r="DL37" s="6" t="s">
        <v>4340</v>
      </c>
      <c r="DM37" s="6" t="str">
        <f>HYPERLINK(".\links\KOG\TI_asb-63-KOG.txt","KOG1339")</f>
        <v>KOG1339</v>
      </c>
      <c r="DN37" t="s">
        <v>56</v>
      </c>
      <c r="DO37" t="s">
        <v>56</v>
      </c>
      <c r="DP37" s="3" t="s">
        <v>56</v>
      </c>
      <c r="ED37" s="3" t="s">
        <v>56</v>
      </c>
    </row>
    <row r="38" spans="1:134">
      <c r="A38" t="str">
        <f>HYPERLINK(".\links\seq\TI_asb-64-seq.txt","TI_asb-64")</f>
        <v>TI_asb-64</v>
      </c>
      <c r="B38">
        <v>64</v>
      </c>
      <c r="C38" t="str">
        <f>HYPERLINK(".\links\tsa\TI_asb-64-tsa.txt","2")</f>
        <v>2</v>
      </c>
      <c r="D38">
        <v>2</v>
      </c>
      <c r="E38">
        <v>670</v>
      </c>
      <c r="G38" t="str">
        <f>HYPERLINK(".\links\qual\TI_asb-64-qual.txt","76")</f>
        <v>76</v>
      </c>
      <c r="H38">
        <v>2</v>
      </c>
      <c r="I38">
        <v>0</v>
      </c>
      <c r="J38">
        <f t="shared" si="0"/>
        <v>2</v>
      </c>
      <c r="K38" s="6">
        <f t="shared" si="1"/>
        <v>2</v>
      </c>
      <c r="L38" s="6" t="s">
        <v>3910</v>
      </c>
      <c r="M38" s="6" t="s">
        <v>3906</v>
      </c>
      <c r="N38" s="6" t="s">
        <v>3872</v>
      </c>
      <c r="O38" s="7">
        <v>4.9999999999999999E-46</v>
      </c>
      <c r="P38" s="6">
        <v>56.9</v>
      </c>
      <c r="Q38" s="3">
        <v>670</v>
      </c>
      <c r="R38" s="3">
        <v>669</v>
      </c>
      <c r="S38" s="6" t="s">
        <v>3516</v>
      </c>
      <c r="T38" s="3">
        <v>1</v>
      </c>
      <c r="U38" t="str">
        <f>HYPERLINK(".\links\NR-LIGHT\TI_asb-64-NR-LIGHT.txt","similar to heterogeneous nuclear ribonucleoprotein A1")</f>
        <v>similar to heterogeneous nuclear ribonucleoprotein A1</v>
      </c>
      <c r="V38" t="str">
        <f>HYPERLINK("http://www.ncbi.nlm.nih.gov/sutils/blink.cgi?pid=193688386","1E-062")</f>
        <v>1E-062</v>
      </c>
      <c r="W38" t="str">
        <f>HYPERLINK(".\links\NR-LIGHT\TI_asb-64-NR-LIGHT.txt"," 10")</f>
        <v xml:space="preserve"> 10</v>
      </c>
      <c r="X38" t="str">
        <f>HYPERLINK("http://www.ncbi.nlm.nih.gov/protein/193688386","gi|193688386")</f>
        <v>gi|193688386</v>
      </c>
      <c r="Y38">
        <v>241</v>
      </c>
      <c r="Z38">
        <v>185</v>
      </c>
      <c r="AA38">
        <v>348</v>
      </c>
      <c r="AB38">
        <v>64</v>
      </c>
      <c r="AC38">
        <v>53</v>
      </c>
      <c r="AD38">
        <v>66</v>
      </c>
      <c r="AE38">
        <v>1</v>
      </c>
      <c r="AF38">
        <v>5</v>
      </c>
      <c r="AG38">
        <v>115</v>
      </c>
      <c r="AH38">
        <v>1</v>
      </c>
      <c r="AI38">
        <v>1</v>
      </c>
      <c r="AJ38" t="s">
        <v>53</v>
      </c>
      <c r="AK38" t="s">
        <v>54</v>
      </c>
      <c r="AL38" t="s">
        <v>177</v>
      </c>
      <c r="AM38" t="str">
        <f>HYPERLINK(".\links\SWISSP\TI_asb-64-SWISSP.txt","Heterogeneous nuclear ribonucleoprotein A1, A2/B1 homolog OS=Schistocerca")</f>
        <v>Heterogeneous nuclear ribonucleoprotein A1, A2/B1 homolog OS=Schistocerca</v>
      </c>
      <c r="AN38" s="19" t="str">
        <f>HYPERLINK("http://www.uniprot.org/uniprot/P21522","1E-060")</f>
        <v>1E-060</v>
      </c>
      <c r="AO38" t="str">
        <f>HYPERLINK(".\links\SWISSP\TI_asb-64-SWISSP.txt"," 10")</f>
        <v xml:space="preserve"> 10</v>
      </c>
      <c r="AP38" t="s">
        <v>509</v>
      </c>
      <c r="AQ38">
        <v>233</v>
      </c>
      <c r="AR38">
        <v>189</v>
      </c>
      <c r="AS38">
        <v>342</v>
      </c>
      <c r="AT38">
        <v>59</v>
      </c>
      <c r="AU38">
        <v>55</v>
      </c>
      <c r="AV38">
        <v>77</v>
      </c>
      <c r="AW38">
        <v>1</v>
      </c>
      <c r="AX38">
        <v>8</v>
      </c>
      <c r="AY38">
        <v>103</v>
      </c>
      <c r="AZ38">
        <v>1</v>
      </c>
      <c r="BA38">
        <v>1</v>
      </c>
      <c r="BB38" t="s">
        <v>53</v>
      </c>
      <c r="BC38" t="s">
        <v>54</v>
      </c>
      <c r="BD38" t="s">
        <v>510</v>
      </c>
      <c r="BE38" t="s">
        <v>511</v>
      </c>
      <c r="BF38" t="s">
        <v>512</v>
      </c>
      <c r="BG38" t="str">
        <f>HYPERLINK(".\links\PREV-RHOD-PEP\TI_asb-64-PREV-RHOD-PEP.txt","Contig17966_159")</f>
        <v>Contig17966_159</v>
      </c>
      <c r="BH38" s="7">
        <v>3E-98</v>
      </c>
      <c r="BI38" t="str">
        <f>HYPERLINK(".\links\PREV-RHOD-PEP\TI_asb-64-PREV-RHOD-PEP.txt"," 10")</f>
        <v xml:space="preserve"> 10</v>
      </c>
      <c r="BJ38" t="s">
        <v>513</v>
      </c>
      <c r="BK38">
        <v>353</v>
      </c>
      <c r="BL38">
        <v>190</v>
      </c>
      <c r="BM38">
        <v>939</v>
      </c>
      <c r="BN38">
        <v>91</v>
      </c>
      <c r="BO38">
        <v>20</v>
      </c>
      <c r="BP38">
        <v>17</v>
      </c>
      <c r="BQ38">
        <v>1</v>
      </c>
      <c r="BR38">
        <v>27</v>
      </c>
      <c r="BS38">
        <v>103</v>
      </c>
      <c r="BT38">
        <v>2</v>
      </c>
      <c r="BU38" t="s">
        <v>54</v>
      </c>
      <c r="BV38" t="s">
        <v>514</v>
      </c>
      <c r="BW38" t="s">
        <v>56</v>
      </c>
      <c r="BX38" t="str">
        <f>HYPERLINK(".\links\PREV-RHOD-CDS\TI_asb-64-PREV-RHOD-CDS.txt","Contig17966_159")</f>
        <v>Contig17966_159</v>
      </c>
      <c r="BY38" s="7">
        <v>9.9999999999999999E-132</v>
      </c>
      <c r="BZ38" t="s">
        <v>513</v>
      </c>
      <c r="CA38">
        <v>468</v>
      </c>
      <c r="CB38">
        <v>515</v>
      </c>
      <c r="CC38">
        <v>2820</v>
      </c>
      <c r="CD38">
        <v>86</v>
      </c>
      <c r="CE38">
        <v>18</v>
      </c>
      <c r="CF38">
        <v>70</v>
      </c>
      <c r="CG38">
        <v>0</v>
      </c>
      <c r="CH38">
        <v>1660</v>
      </c>
      <c r="CI38">
        <v>115</v>
      </c>
      <c r="CJ38">
        <v>1</v>
      </c>
      <c r="CK38" t="s">
        <v>54</v>
      </c>
      <c r="CL38" t="s">
        <v>515</v>
      </c>
      <c r="CM38">
        <f>HYPERLINK(".\links\GO\TI_asb-64-GO.txt",3E-61)</f>
        <v>3.0000000000000001E-61</v>
      </c>
      <c r="CN38" t="s">
        <v>516</v>
      </c>
      <c r="CO38" t="s">
        <v>185</v>
      </c>
      <c r="CP38" t="s">
        <v>222</v>
      </c>
      <c r="CQ38" t="s">
        <v>517</v>
      </c>
      <c r="CR38" s="7">
        <v>1E-59</v>
      </c>
      <c r="CS38" t="s">
        <v>518</v>
      </c>
      <c r="CT38" t="s">
        <v>247</v>
      </c>
      <c r="CU38" t="s">
        <v>247</v>
      </c>
      <c r="CV38" t="s">
        <v>519</v>
      </c>
      <c r="CW38" s="7">
        <v>1E-59</v>
      </c>
      <c r="CX38" t="s">
        <v>520</v>
      </c>
      <c r="CY38" t="s">
        <v>185</v>
      </c>
      <c r="CZ38" t="s">
        <v>222</v>
      </c>
      <c r="DA38" t="s">
        <v>521</v>
      </c>
      <c r="DB38" s="7">
        <v>1E-59</v>
      </c>
      <c r="DC38" t="str">
        <f>HYPERLINK(".\links\CDD\TI_asb-64-CDD.txt","PABP-1234")</f>
        <v>PABP-1234</v>
      </c>
      <c r="DD38" t="str">
        <f>HYPERLINK("http://www.ncbi.nlm.nih.gov/Structure/cdd/cddsrv.cgi?uid=TIGR01628&amp;version=v4.0","5E-018")</f>
        <v>5E-018</v>
      </c>
      <c r="DE38" t="s">
        <v>522</v>
      </c>
      <c r="DF38" t="str">
        <f>HYPERLINK(".\links\PFAM\TI_asb-64-PFAM.txt","RRM_1")</f>
        <v>RRM_1</v>
      </c>
      <c r="DG38" t="str">
        <f>HYPERLINK("http://pfam.sanger.ac.uk/family?acc=PF00076","1E-014")</f>
        <v>1E-014</v>
      </c>
      <c r="DH38" t="str">
        <f>HYPERLINK(".\links\PRK\TI_asb-64-PRK.txt","glycine-rich RNA-binding protein 4")</f>
        <v>glycine-rich RNA-binding protein 4</v>
      </c>
      <c r="DI38" s="7">
        <v>1E-10</v>
      </c>
      <c r="DJ38" s="6" t="str">
        <f>HYPERLINK(".\links\KOG\TI_asb-64-KOG.txt","RNA-binding protein musashi/mRNA cleavage and polyadenylation factor I complex, subunit HRP1")</f>
        <v>RNA-binding protein musashi/mRNA cleavage and polyadenylation factor I complex, subunit HRP1</v>
      </c>
      <c r="DK38" s="6" t="str">
        <f>HYPERLINK("http://www.ncbi.nlm.nih.gov/COG/grace/shokog.cgi?KOG4205","5E-046")</f>
        <v>5E-046</v>
      </c>
      <c r="DL38" s="6" t="s">
        <v>4348</v>
      </c>
      <c r="DM38" s="6" t="str">
        <f>HYPERLINK(".\links\KOG\TI_asb-64-KOG.txt","KOG4205")</f>
        <v>KOG4205</v>
      </c>
      <c r="DN38" t="str">
        <f>HYPERLINK(".\links\SMART\TI_asb-64-SMART.txt","RRM")</f>
        <v>RRM</v>
      </c>
      <c r="DO38" t="str">
        <f>HYPERLINK("http://smart.embl-heidelberg.de/smart/do_annotation.pl?DOMAIN=RRM&amp;BLAST=DUMMY","4E-017")</f>
        <v>4E-017</v>
      </c>
      <c r="DP38" s="3" t="s">
        <v>56</v>
      </c>
      <c r="ED38" s="3" t="s">
        <v>56</v>
      </c>
    </row>
    <row r="39" spans="1:134">
      <c r="A39" t="str">
        <f>HYPERLINK(".\links\seq\TI_asb-65-seq.txt","TI_asb-65")</f>
        <v>TI_asb-65</v>
      </c>
      <c r="B39">
        <v>65</v>
      </c>
      <c r="C39" t="str">
        <f>HYPERLINK(".\links\tsa\TI_asb-65-tsa.txt","1")</f>
        <v>1</v>
      </c>
      <c r="D39">
        <v>1</v>
      </c>
      <c r="E39">
        <v>405</v>
      </c>
      <c r="G39" t="str">
        <f>HYPERLINK(".\links\qual\TI_asb-65-qual.txt","42")</f>
        <v>42</v>
      </c>
      <c r="H39">
        <v>1</v>
      </c>
      <c r="I39">
        <v>0</v>
      </c>
      <c r="J39">
        <f t="shared" ref="J39:J77" si="2">ABS(H39-I39)</f>
        <v>1</v>
      </c>
      <c r="K39" s="6">
        <f t="shared" ref="K39:K77" si="3">H39-I39</f>
        <v>1</v>
      </c>
      <c r="L39" s="6" t="s">
        <v>3911</v>
      </c>
      <c r="M39" s="6" t="s">
        <v>3912</v>
      </c>
      <c r="N39" s="6" t="s">
        <v>3872</v>
      </c>
      <c r="O39" s="7">
        <v>1E-35</v>
      </c>
      <c r="P39" s="6">
        <v>43.2</v>
      </c>
      <c r="Q39" s="3">
        <v>405</v>
      </c>
      <c r="R39" s="3">
        <v>402</v>
      </c>
      <c r="S39" s="6" t="s">
        <v>3517</v>
      </c>
      <c r="T39" s="3">
        <v>2</v>
      </c>
      <c r="U39" t="str">
        <f>HYPERLINK(".\links\NR-LIGHT\TI_asb-65-NR-LIGHT.txt","selenophosphate synthetase 1 +E9 variant")</f>
        <v>selenophosphate synthetase 1 +E9 variant</v>
      </c>
      <c r="V39" t="str">
        <f>HYPERLINK("http://www.ncbi.nlm.nih.gov/sutils/blink.cgi?pid=295083339","7E-033")</f>
        <v>7E-033</v>
      </c>
      <c r="W39" t="str">
        <f>HYPERLINK(".\links\NR-LIGHT\TI_asb-65-NR-LIGHT.txt"," 10")</f>
        <v xml:space="preserve"> 10</v>
      </c>
      <c r="X39" t="str">
        <f>HYPERLINK("http://www.ncbi.nlm.nih.gov/protein/295083339","gi|295083339")</f>
        <v>gi|295083339</v>
      </c>
      <c r="Y39">
        <v>141</v>
      </c>
      <c r="Z39">
        <v>134</v>
      </c>
      <c r="AA39">
        <v>324</v>
      </c>
      <c r="AB39">
        <v>48</v>
      </c>
      <c r="AC39">
        <v>41</v>
      </c>
      <c r="AD39">
        <v>69</v>
      </c>
      <c r="AE39">
        <v>0</v>
      </c>
      <c r="AF39">
        <v>162</v>
      </c>
      <c r="AG39">
        <v>2</v>
      </c>
      <c r="AH39">
        <v>1</v>
      </c>
      <c r="AI39">
        <v>2</v>
      </c>
      <c r="AJ39" t="s">
        <v>53</v>
      </c>
      <c r="AK39" t="s">
        <v>54</v>
      </c>
      <c r="AL39" t="s">
        <v>330</v>
      </c>
      <c r="AM39" t="str">
        <f>HYPERLINK(".\links\SWISSP\TI_asb-65-SWISSP.txt","Selenide, water dikinase 1 OS=Pongo abelii GN=SEPHS1 PE=2 SV=1")</f>
        <v>Selenide, water dikinase 1 OS=Pongo abelii GN=SEPHS1 PE=2 SV=1</v>
      </c>
      <c r="AN39" s="19" t="str">
        <f>HYPERLINK("http://www.uniprot.org/uniprot/Q5RF87","1E-033")</f>
        <v>1E-033</v>
      </c>
      <c r="AO39" t="str">
        <f>HYPERLINK(".\links\SWISSP\TI_asb-65-SWISSP.txt"," 10")</f>
        <v xml:space="preserve"> 10</v>
      </c>
      <c r="AP39" t="s">
        <v>523</v>
      </c>
      <c r="AQ39">
        <v>141</v>
      </c>
      <c r="AR39">
        <v>134</v>
      </c>
      <c r="AS39">
        <v>392</v>
      </c>
      <c r="AT39">
        <v>48</v>
      </c>
      <c r="AU39">
        <v>34</v>
      </c>
      <c r="AV39">
        <v>69</v>
      </c>
      <c r="AW39">
        <v>0</v>
      </c>
      <c r="AX39">
        <v>162</v>
      </c>
      <c r="AY39">
        <v>2</v>
      </c>
      <c r="AZ39">
        <v>1</v>
      </c>
      <c r="BA39">
        <v>2</v>
      </c>
      <c r="BB39" t="s">
        <v>53</v>
      </c>
      <c r="BC39" t="s">
        <v>54</v>
      </c>
      <c r="BD39" t="s">
        <v>245</v>
      </c>
      <c r="BE39" t="s">
        <v>524</v>
      </c>
      <c r="BF39" t="s">
        <v>525</v>
      </c>
      <c r="BG39" t="str">
        <f>HYPERLINK(".\links\PREV-RHOD-PEP\TI_asb-65-PREV-RHOD-PEP.txt","Contig16819_4")</f>
        <v>Contig16819_4</v>
      </c>
      <c r="BH39" s="7">
        <v>7.9999999999999995E-49</v>
      </c>
      <c r="BI39" t="str">
        <f>HYPERLINK(".\links\PREV-RHOD-PEP\TI_asb-65-PREV-RHOD-PEP.txt"," 10")</f>
        <v xml:space="preserve"> 10</v>
      </c>
      <c r="BJ39" t="s">
        <v>526</v>
      </c>
      <c r="BK39">
        <v>188</v>
      </c>
      <c r="BL39">
        <v>119</v>
      </c>
      <c r="BM39">
        <v>203</v>
      </c>
      <c r="BN39">
        <v>78</v>
      </c>
      <c r="BO39">
        <v>59</v>
      </c>
      <c r="BP39">
        <v>26</v>
      </c>
      <c r="BQ39">
        <v>5</v>
      </c>
      <c r="BR39">
        <v>5</v>
      </c>
      <c r="BS39">
        <v>62</v>
      </c>
      <c r="BT39">
        <v>1</v>
      </c>
      <c r="BU39" t="s">
        <v>54</v>
      </c>
      <c r="BV39" t="s">
        <v>527</v>
      </c>
      <c r="BW39" t="s">
        <v>56</v>
      </c>
      <c r="BX39" t="str">
        <f>HYPERLINK(".\links\PREV-RHOD-CDS\TI_asb-65-PREV-RHOD-CDS.txt","Contig16819_4")</f>
        <v>Contig16819_4</v>
      </c>
      <c r="BY39" s="7">
        <v>6.0000000000000001E-23</v>
      </c>
      <c r="BZ39" t="s">
        <v>526</v>
      </c>
      <c r="CA39">
        <v>107</v>
      </c>
      <c r="CB39">
        <v>181</v>
      </c>
      <c r="CC39">
        <v>612</v>
      </c>
      <c r="CD39">
        <v>82</v>
      </c>
      <c r="CE39">
        <v>30</v>
      </c>
      <c r="CF39">
        <v>32</v>
      </c>
      <c r="CG39">
        <v>0</v>
      </c>
      <c r="CH39">
        <v>37</v>
      </c>
      <c r="CI39">
        <v>86</v>
      </c>
      <c r="CJ39">
        <v>1</v>
      </c>
      <c r="CK39" t="s">
        <v>54</v>
      </c>
      <c r="CL39" t="s">
        <v>528</v>
      </c>
      <c r="CM39">
        <f>HYPERLINK(".\links\GO\TI_asb-65-GO.txt",5E-30)</f>
        <v>4.9999999999999997E-30</v>
      </c>
      <c r="CN39" t="s">
        <v>337</v>
      </c>
      <c r="CO39" t="s">
        <v>185</v>
      </c>
      <c r="CP39" t="s">
        <v>338</v>
      </c>
      <c r="CQ39" t="s">
        <v>339</v>
      </c>
      <c r="CR39" s="7">
        <v>5.0000000000000002E-27</v>
      </c>
      <c r="CS39" t="s">
        <v>60</v>
      </c>
      <c r="CT39" t="s">
        <v>60</v>
      </c>
      <c r="CV39" t="s">
        <v>61</v>
      </c>
      <c r="CW39" s="7">
        <v>5.0000000000000002E-27</v>
      </c>
      <c r="CX39" t="s">
        <v>529</v>
      </c>
      <c r="CY39" t="s">
        <v>185</v>
      </c>
      <c r="CZ39" t="s">
        <v>338</v>
      </c>
      <c r="DA39" t="s">
        <v>530</v>
      </c>
      <c r="DB39" s="7">
        <v>5.0000000000000002E-27</v>
      </c>
      <c r="DC39" t="str">
        <f>HYPERLINK(".\links\CDD\TI_asb-65-CDD.txt","COG5022")</f>
        <v>COG5022</v>
      </c>
      <c r="DD39" t="str">
        <f>HYPERLINK("http://www.ncbi.nlm.nih.gov/Structure/cdd/cddsrv.cgi?uid=COG5022&amp;version=v4.0","0.0")</f>
        <v>0.0</v>
      </c>
      <c r="DE39" t="s">
        <v>531</v>
      </c>
      <c r="DF39" t="str">
        <f>HYPERLINK(".\links\PFAM\TI_asb-65-PFAM.txt","AIRS_C")</f>
        <v>AIRS_C</v>
      </c>
      <c r="DG39" t="str">
        <f>HYPERLINK("http://pfam.sanger.ac.uk/family?acc=PF02769","8E-006")</f>
        <v>8E-006</v>
      </c>
      <c r="DH39" t="str">
        <f>HYPERLINK(".\links\PRK\TI_asb-65-PRK.txt","selenophosphate synthetase")</f>
        <v>selenophosphate synthetase</v>
      </c>
      <c r="DI39" s="7">
        <v>3.9999999999999998E-20</v>
      </c>
      <c r="DJ39" s="6" t="str">
        <f>HYPERLINK(".\links\KOG\TI_asb-65-KOG.txt","Nuclear protein, contains WD40 repeats")</f>
        <v>Nuclear protein, contains WD40 repeats</v>
      </c>
      <c r="DK39" s="6" t="str">
        <f>HYPERLINK("http://www.ncbi.nlm.nih.gov/COG/grace/shokog.cgi?KOG1916","0.0")</f>
        <v>0.0</v>
      </c>
      <c r="DL39" s="6" t="s">
        <v>4337</v>
      </c>
      <c r="DM39" s="6" t="str">
        <f>HYPERLINK(".\links\KOG\TI_asb-65-KOG.txt","KOG1916")</f>
        <v>KOG1916</v>
      </c>
      <c r="DN39" t="s">
        <v>56</v>
      </c>
      <c r="DO39" t="s">
        <v>56</v>
      </c>
      <c r="DP39" s="3" t="s">
        <v>56</v>
      </c>
      <c r="ED39" s="3" t="s">
        <v>56</v>
      </c>
    </row>
    <row r="40" spans="1:134">
      <c r="A40" t="str">
        <f>HYPERLINK(".\links\seq\TI_asb-67-seq.txt","TI_asb-67")</f>
        <v>TI_asb-67</v>
      </c>
      <c r="B40">
        <v>67</v>
      </c>
      <c r="C40" t="str">
        <f>HYPERLINK(".\links\tsa\TI_asb-67-tsa.txt","1")</f>
        <v>1</v>
      </c>
      <c r="D40">
        <v>1</v>
      </c>
      <c r="E40">
        <v>548</v>
      </c>
      <c r="G40" t="str">
        <f>HYPERLINK(".\links\qual\TI_asb-67-qual.txt","55")</f>
        <v>55</v>
      </c>
      <c r="H40">
        <v>1</v>
      </c>
      <c r="I40">
        <v>0</v>
      </c>
      <c r="J40">
        <f t="shared" si="2"/>
        <v>1</v>
      </c>
      <c r="K40" s="6">
        <f t="shared" si="3"/>
        <v>1</v>
      </c>
      <c r="L40" s="6" t="s">
        <v>3913</v>
      </c>
      <c r="M40" s="6" t="s">
        <v>3906</v>
      </c>
      <c r="N40" s="6" t="s">
        <v>3872</v>
      </c>
      <c r="O40" s="6">
        <v>7.9999999999999995E-11</v>
      </c>
      <c r="P40" s="6">
        <v>14.6</v>
      </c>
      <c r="Q40" s="3">
        <v>548</v>
      </c>
      <c r="R40" s="3">
        <v>480</v>
      </c>
      <c r="S40" s="6" t="s">
        <v>3518</v>
      </c>
      <c r="T40" s="3">
        <v>1</v>
      </c>
      <c r="U40" t="str">
        <f>HYPERLINK(".\links\NR-LIGHT\TI_asb-67-NR-LIGHT.txt","hypothetical protein AND_11848")</f>
        <v>hypothetical protein AND_11848</v>
      </c>
      <c r="V40" t="str">
        <f>HYPERLINK("http://www.ncbi.nlm.nih.gov/sutils/blink.cgi?pid=312376990","0.41")</f>
        <v>0.41</v>
      </c>
      <c r="W40" t="str">
        <f>HYPERLINK(".\links\NR-LIGHT\TI_asb-67-NR-LIGHT.txt"," 10")</f>
        <v xml:space="preserve"> 10</v>
      </c>
      <c r="X40" t="str">
        <f>HYPERLINK("http://www.ncbi.nlm.nih.gov/protein/312376990","gi|312376990")</f>
        <v>gi|312376990</v>
      </c>
      <c r="Y40">
        <v>36.6</v>
      </c>
      <c r="Z40">
        <v>81</v>
      </c>
      <c r="AA40">
        <v>252</v>
      </c>
      <c r="AB40">
        <v>30</v>
      </c>
      <c r="AC40">
        <v>32</v>
      </c>
      <c r="AD40">
        <v>56</v>
      </c>
      <c r="AE40">
        <v>0</v>
      </c>
      <c r="AF40">
        <v>73</v>
      </c>
      <c r="AG40">
        <v>304</v>
      </c>
      <c r="AH40">
        <v>1</v>
      </c>
      <c r="AI40">
        <v>1</v>
      </c>
      <c r="AJ40" t="s">
        <v>53</v>
      </c>
      <c r="AK40" t="s">
        <v>54</v>
      </c>
      <c r="AL40" t="s">
        <v>532</v>
      </c>
      <c r="AM40" t="str">
        <f>HYPERLINK(".\links\SWISSP\TI_asb-67-SWISSP.txt","UPF0430 protein CG31712 OS=Drosophila melanogaster GN=CG31712 PE=1 SV=3")</f>
        <v>UPF0430 protein CG31712 OS=Drosophila melanogaster GN=CG31712 PE=1 SV=3</v>
      </c>
      <c r="AN40" s="19" t="str">
        <f>HYPERLINK("http://www.uniprot.org/uniprot/Q9VL63","0.64")</f>
        <v>0.64</v>
      </c>
      <c r="AO40" t="str">
        <f>HYPERLINK(".\links\SWISSP\TI_asb-67-SWISSP.txt"," 2")</f>
        <v xml:space="preserve"> 2</v>
      </c>
      <c r="AP40" t="s">
        <v>533</v>
      </c>
      <c r="AQ40">
        <v>33.9</v>
      </c>
      <c r="AR40">
        <v>52</v>
      </c>
      <c r="AS40">
        <v>290</v>
      </c>
      <c r="AT40">
        <v>38</v>
      </c>
      <c r="AU40">
        <v>18</v>
      </c>
      <c r="AV40">
        <v>32</v>
      </c>
      <c r="AW40">
        <v>0</v>
      </c>
      <c r="AX40">
        <v>140</v>
      </c>
      <c r="AY40">
        <v>391</v>
      </c>
      <c r="AZ40">
        <v>1</v>
      </c>
      <c r="BA40">
        <v>1</v>
      </c>
      <c r="BB40" t="s">
        <v>53</v>
      </c>
      <c r="BC40" t="s">
        <v>54</v>
      </c>
      <c r="BD40" t="s">
        <v>143</v>
      </c>
      <c r="BE40" t="s">
        <v>534</v>
      </c>
      <c r="BF40" t="s">
        <v>535</v>
      </c>
      <c r="BG40" t="str">
        <f>HYPERLINK(".\links\PREV-RHOD-PEP\TI_asb-67-PREV-RHOD-PEP.txt","Contig17151_5")</f>
        <v>Contig17151_5</v>
      </c>
      <c r="BH40" s="7">
        <v>4.0000000000000003E-5</v>
      </c>
      <c r="BI40" t="str">
        <f>HYPERLINK(".\links\PREV-RHOD-PEP\TI_asb-67-PREV-RHOD-PEP.txt"," 4")</f>
        <v xml:space="preserve"> 4</v>
      </c>
      <c r="BJ40" t="s">
        <v>536</v>
      </c>
      <c r="BK40">
        <v>43.9</v>
      </c>
      <c r="BL40">
        <v>52</v>
      </c>
      <c r="BM40">
        <v>162</v>
      </c>
      <c r="BN40">
        <v>50</v>
      </c>
      <c r="BO40">
        <v>32</v>
      </c>
      <c r="BP40">
        <v>26</v>
      </c>
      <c r="BQ40">
        <v>0</v>
      </c>
      <c r="BR40">
        <v>4</v>
      </c>
      <c r="BS40">
        <v>391</v>
      </c>
      <c r="BT40">
        <v>1</v>
      </c>
      <c r="BU40" t="s">
        <v>54</v>
      </c>
      <c r="BV40" t="s">
        <v>537</v>
      </c>
      <c r="BW40" t="s">
        <v>56</v>
      </c>
      <c r="BX40" t="str">
        <f>HYPERLINK(".\links\PREV-RHOD-CDS\TI_asb-67-PREV-RHOD-CDS.txt","Contig17151_4")</f>
        <v>Contig17151_4</v>
      </c>
      <c r="BY40" s="7">
        <v>3.0000000000000001E-93</v>
      </c>
      <c r="BZ40" t="s">
        <v>538</v>
      </c>
      <c r="CA40">
        <v>341</v>
      </c>
      <c r="CB40">
        <v>271</v>
      </c>
      <c r="CC40">
        <v>303</v>
      </c>
      <c r="CD40">
        <v>89</v>
      </c>
      <c r="CE40">
        <v>90</v>
      </c>
      <c r="CF40">
        <v>29</v>
      </c>
      <c r="CG40">
        <v>0</v>
      </c>
      <c r="CH40">
        <v>1</v>
      </c>
      <c r="CI40">
        <v>97</v>
      </c>
      <c r="CJ40">
        <v>1</v>
      </c>
      <c r="CK40" t="s">
        <v>54</v>
      </c>
      <c r="CL40" t="s">
        <v>539</v>
      </c>
      <c r="CM40">
        <f>HYPERLINK(".\links\GO\TI_asb-67-GO.txt",2.8)</f>
        <v>2.8</v>
      </c>
      <c r="CN40" t="s">
        <v>208</v>
      </c>
      <c r="CO40" t="s">
        <v>185</v>
      </c>
      <c r="CP40" t="s">
        <v>186</v>
      </c>
      <c r="CQ40" t="s">
        <v>209</v>
      </c>
      <c r="CR40" s="6">
        <v>8</v>
      </c>
      <c r="CS40" t="s">
        <v>56</v>
      </c>
      <c r="CT40" t="s">
        <v>56</v>
      </c>
      <c r="CU40" t="s">
        <v>56</v>
      </c>
      <c r="CV40" t="s">
        <v>56</v>
      </c>
      <c r="CW40" s="6" t="s">
        <v>56</v>
      </c>
      <c r="CX40" t="s">
        <v>56</v>
      </c>
      <c r="CY40" t="s">
        <v>56</v>
      </c>
      <c r="CZ40" t="s">
        <v>56</v>
      </c>
      <c r="DA40" t="s">
        <v>56</v>
      </c>
      <c r="DB40" s="6" t="s">
        <v>56</v>
      </c>
      <c r="DC40" t="s">
        <v>56</v>
      </c>
      <c r="DD40" t="s">
        <v>56</v>
      </c>
      <c r="DE40" t="s">
        <v>56</v>
      </c>
      <c r="DF40" t="str">
        <f>HYPERLINK(".\links\PFAM\TI_asb-67-PFAM.txt","DUF1777")</f>
        <v>DUF1777</v>
      </c>
      <c r="DG40" t="str">
        <f>HYPERLINK("http://pfam.sanger.ac.uk/family?acc=PF08648","4E-009")</f>
        <v>4E-009</v>
      </c>
      <c r="DH40" t="str">
        <f>HYPERLINK(".\links\PRK\TI_asb-67-PRK.txt","MAEBL")</f>
        <v>MAEBL</v>
      </c>
      <c r="DI40" s="7">
        <v>8.0000000000000005E-9</v>
      </c>
      <c r="DJ40" s="6" t="str">
        <f>HYPERLINK(".\links\KOG\TI_asb-67-KOG.txt","RNA helicase")</f>
        <v>RNA helicase</v>
      </c>
      <c r="DK40" s="6" t="str">
        <f>HYPERLINK("http://www.ncbi.nlm.nih.gov/COG/grace/shokog.cgi?KOG0334","8E-011")</f>
        <v>8E-011</v>
      </c>
      <c r="DL40" s="6" t="s">
        <v>4348</v>
      </c>
      <c r="DM40" s="6" t="str">
        <f>HYPERLINK(".\links\KOG\TI_asb-67-KOG.txt","KOG0334")</f>
        <v>KOG0334</v>
      </c>
      <c r="DN40" t="str">
        <f>HYPERLINK(".\links\SMART\TI_asb-67-SMART.txt","PSN")</f>
        <v>PSN</v>
      </c>
      <c r="DO40" t="str">
        <f>HYPERLINK("http://smart.embl-heidelberg.de/smart/do_annotation.pl?DOMAIN=PSN&amp;BLAST=DUMMY","0.006")</f>
        <v>0.006</v>
      </c>
      <c r="DP40" s="3" t="s">
        <v>56</v>
      </c>
      <c r="ED40" s="3" t="s">
        <v>56</v>
      </c>
    </row>
    <row r="41" spans="1:134">
      <c r="A41" t="str">
        <f>HYPERLINK(".\links\seq\TI_asb-71-seq.txt","TI_asb-71")</f>
        <v>TI_asb-71</v>
      </c>
      <c r="B41">
        <v>71</v>
      </c>
      <c r="C41" t="str">
        <f>HYPERLINK(".\links\tsa\TI_asb-71-tsa.txt","1")</f>
        <v>1</v>
      </c>
      <c r="D41">
        <v>1</v>
      </c>
      <c r="E41">
        <v>618</v>
      </c>
      <c r="G41" t="str">
        <f>HYPERLINK(".\links\qual\TI_asb-71-qual.txt","56")</f>
        <v>56</v>
      </c>
      <c r="H41">
        <v>1</v>
      </c>
      <c r="I41">
        <v>0</v>
      </c>
      <c r="J41">
        <f t="shared" si="2"/>
        <v>1</v>
      </c>
      <c r="K41" s="6">
        <f t="shared" si="3"/>
        <v>1</v>
      </c>
      <c r="L41" s="6" t="s">
        <v>3914</v>
      </c>
      <c r="M41" s="6" t="s">
        <v>3915</v>
      </c>
      <c r="N41" s="6" t="s">
        <v>3872</v>
      </c>
      <c r="O41" s="7">
        <v>7.0000000000000001E-22</v>
      </c>
      <c r="P41" s="6">
        <v>26.8</v>
      </c>
      <c r="Q41" s="3">
        <v>618</v>
      </c>
      <c r="R41" s="3">
        <v>411</v>
      </c>
      <c r="S41" s="6" t="s">
        <v>3519</v>
      </c>
      <c r="T41" s="3">
        <v>2</v>
      </c>
      <c r="U41" t="str">
        <f>HYPERLINK(".\links\NR-LIGHT\TI_asb-71-NR-LIGHT.txt","cytochrome P450 Cyp6b29")</f>
        <v>cytochrome P450 Cyp6b29</v>
      </c>
      <c r="V41" t="str">
        <f>HYPERLINK("http://www.ncbi.nlm.nih.gov/sutils/blink.cgi?pid=163838686","6E-019")</f>
        <v>6E-019</v>
      </c>
      <c r="W41" t="str">
        <f>HYPERLINK(".\links\NR-LIGHT\TI_asb-71-NR-LIGHT.txt"," 10")</f>
        <v xml:space="preserve"> 10</v>
      </c>
      <c r="X41" t="str">
        <f>HYPERLINK("http://www.ncbi.nlm.nih.gov/protein/163838686","gi|163838686")</f>
        <v>gi|163838686</v>
      </c>
      <c r="Y41">
        <v>96.3</v>
      </c>
      <c r="Z41">
        <v>106</v>
      </c>
      <c r="AA41">
        <v>505</v>
      </c>
      <c r="AB41">
        <v>44</v>
      </c>
      <c r="AC41">
        <v>21</v>
      </c>
      <c r="AD41">
        <v>59</v>
      </c>
      <c r="AE41">
        <v>0</v>
      </c>
      <c r="AF41">
        <v>25</v>
      </c>
      <c r="AG41">
        <v>293</v>
      </c>
      <c r="AH41">
        <v>1</v>
      </c>
      <c r="AI41">
        <v>2</v>
      </c>
      <c r="AJ41" t="s">
        <v>53</v>
      </c>
      <c r="AK41" t="s">
        <v>54</v>
      </c>
      <c r="AL41" t="s">
        <v>279</v>
      </c>
      <c r="AM41" t="str">
        <f>HYPERLINK(".\links\SWISSP\TI_asb-71-SWISSP.txt","Cytochrome P450 6B1 OS=Papilio polyxenes GN=CYP6B1 PE=1 SV=1")</f>
        <v>Cytochrome P450 6B1 OS=Papilio polyxenes GN=CYP6B1 PE=1 SV=1</v>
      </c>
      <c r="AN41" s="19" t="str">
        <f>HYPERLINK("http://www.uniprot.org/uniprot/Q04552","3E-015")</f>
        <v>3E-015</v>
      </c>
      <c r="AO41" t="str">
        <f>HYPERLINK(".\links\SWISSP\TI_asb-71-SWISSP.txt"," 10")</f>
        <v xml:space="preserve"> 10</v>
      </c>
      <c r="AP41" t="s">
        <v>545</v>
      </c>
      <c r="AQ41">
        <v>82</v>
      </c>
      <c r="AR41">
        <v>106</v>
      </c>
      <c r="AS41">
        <v>498</v>
      </c>
      <c r="AT41">
        <v>40</v>
      </c>
      <c r="AU41">
        <v>21</v>
      </c>
      <c r="AV41">
        <v>63</v>
      </c>
      <c r="AW41">
        <v>0</v>
      </c>
      <c r="AX41">
        <v>23</v>
      </c>
      <c r="AY41">
        <v>293</v>
      </c>
      <c r="AZ41">
        <v>1</v>
      </c>
      <c r="BA41">
        <v>2</v>
      </c>
      <c r="BB41" t="s">
        <v>53</v>
      </c>
      <c r="BC41" t="s">
        <v>54</v>
      </c>
      <c r="BD41" t="s">
        <v>546</v>
      </c>
      <c r="BE41" t="s">
        <v>547</v>
      </c>
      <c r="BF41" t="s">
        <v>548</v>
      </c>
      <c r="BG41" t="str">
        <f>HYPERLINK(".\links\PREV-RHOD-PEP\TI_asb-71-PREV-RHOD-PEP.txt","Contig17683_7")</f>
        <v>Contig17683_7</v>
      </c>
      <c r="BH41" s="7">
        <v>4.9999999999999998E-45</v>
      </c>
      <c r="BI41" t="str">
        <f>HYPERLINK(".\links\PREV-RHOD-PEP\TI_asb-71-PREV-RHOD-PEP.txt"," 10")</f>
        <v xml:space="preserve"> 10</v>
      </c>
      <c r="BJ41" t="s">
        <v>549</v>
      </c>
      <c r="BK41">
        <v>176</v>
      </c>
      <c r="BL41">
        <v>136</v>
      </c>
      <c r="BM41">
        <v>555</v>
      </c>
      <c r="BN41">
        <v>62</v>
      </c>
      <c r="BO41">
        <v>25</v>
      </c>
      <c r="BP41">
        <v>51</v>
      </c>
      <c r="BQ41">
        <v>0</v>
      </c>
      <c r="BR41">
        <v>42</v>
      </c>
      <c r="BS41">
        <v>209</v>
      </c>
      <c r="BT41">
        <v>1</v>
      </c>
      <c r="BU41" t="s">
        <v>54</v>
      </c>
      <c r="BV41" t="s">
        <v>550</v>
      </c>
      <c r="BW41" t="s">
        <v>56</v>
      </c>
      <c r="BX41" t="str">
        <f>HYPERLINK(".\links\PREV-RHOD-CDS\TI_asb-71-PREV-RHOD-CDS.txt","Contig17683_7")</f>
        <v>Contig17683_7</v>
      </c>
      <c r="BY41" s="7">
        <v>5.0000000000000001E-9</v>
      </c>
      <c r="BZ41" t="s">
        <v>549</v>
      </c>
      <c r="CA41">
        <v>61.9</v>
      </c>
      <c r="CB41">
        <v>110</v>
      </c>
      <c r="CC41">
        <v>1668</v>
      </c>
      <c r="CD41">
        <v>81</v>
      </c>
      <c r="CE41">
        <v>7</v>
      </c>
      <c r="CF41">
        <v>20</v>
      </c>
      <c r="CG41">
        <v>0</v>
      </c>
      <c r="CH41">
        <v>327</v>
      </c>
      <c r="CI41">
        <v>412</v>
      </c>
      <c r="CJ41">
        <v>1</v>
      </c>
      <c r="CK41" t="s">
        <v>54</v>
      </c>
      <c r="CL41" t="s">
        <v>551</v>
      </c>
      <c r="CM41">
        <f>HYPERLINK(".\links\GO\TI_asb-71-GO.txt",0.00000000003)</f>
        <v>3E-11</v>
      </c>
      <c r="CN41" t="s">
        <v>552</v>
      </c>
      <c r="CO41" t="s">
        <v>552</v>
      </c>
      <c r="CQ41" t="s">
        <v>553</v>
      </c>
      <c r="CR41" s="6">
        <v>1E-10</v>
      </c>
      <c r="CS41" t="s">
        <v>554</v>
      </c>
      <c r="CT41" t="s">
        <v>75</v>
      </c>
      <c r="CU41" t="s">
        <v>555</v>
      </c>
      <c r="CV41" t="s">
        <v>556</v>
      </c>
      <c r="CW41" s="6">
        <v>1E-10</v>
      </c>
      <c r="CX41" t="s">
        <v>557</v>
      </c>
      <c r="CY41" t="s">
        <v>552</v>
      </c>
      <c r="DA41" t="s">
        <v>558</v>
      </c>
      <c r="DB41" s="6">
        <v>1E-10</v>
      </c>
      <c r="DC41" t="str">
        <f>HYPERLINK(".\links\CDD\TI_asb-71-CDD.txt","COG5022")</f>
        <v>COG5022</v>
      </c>
      <c r="DD41" t="str">
        <f>HYPERLINK("http://www.ncbi.nlm.nih.gov/Structure/cdd/cddsrv.cgi?uid=COG5022&amp;version=v4.0","0.0")</f>
        <v>0.0</v>
      </c>
      <c r="DE41" t="s">
        <v>559</v>
      </c>
      <c r="DF41" t="str">
        <f>HYPERLINK(".\links\PFAM\TI_asb-71-PFAM.txt","p450")</f>
        <v>p450</v>
      </c>
      <c r="DG41" t="str">
        <f>HYPERLINK("http://pfam.sanger.ac.uk/family?acc=PF00067","9E-008")</f>
        <v>9E-008</v>
      </c>
      <c r="DH41" t="str">
        <f>HYPERLINK(".\links\PRK\TI_asb-71-PRK.txt","cytochrome P450")</f>
        <v>cytochrome P450</v>
      </c>
      <c r="DI41" s="7">
        <v>3.9999999999999998E-6</v>
      </c>
      <c r="DJ41" s="6" t="str">
        <f>HYPERLINK(".\links\KOG\TI_asb-71-KOG.txt","Cytochrome P450 CYP3/CYP5/CYP6/CYP9 subfamilies")</f>
        <v>Cytochrome P450 CYP3/CYP5/CYP6/CYP9 subfamilies</v>
      </c>
      <c r="DK41" s="6" t="str">
        <f>HYPERLINK("http://www.ncbi.nlm.nih.gov/COG/grace/shokog.cgi?KOG0158","7E-022")</f>
        <v>7E-022</v>
      </c>
      <c r="DL41" s="6" t="s">
        <v>4346</v>
      </c>
      <c r="DM41" s="6" t="str">
        <f>HYPERLINK(".\links\KOG\TI_asb-71-KOG.txt","KOG0158")</f>
        <v>KOG0158</v>
      </c>
      <c r="DN41" t="s">
        <v>56</v>
      </c>
      <c r="DO41" t="s">
        <v>56</v>
      </c>
      <c r="DP41" s="3" t="s">
        <v>56</v>
      </c>
      <c r="ED41" s="3" t="s">
        <v>56</v>
      </c>
    </row>
    <row r="42" spans="1:134">
      <c r="A42" t="str">
        <f>HYPERLINK(".\links\seq\TI_asb-72-seq.txt","TI_asb-72")</f>
        <v>TI_asb-72</v>
      </c>
      <c r="B42">
        <v>72</v>
      </c>
      <c r="C42" t="str">
        <f>HYPERLINK(".\links\tsa\TI_asb-72-tsa.txt","1")</f>
        <v>1</v>
      </c>
      <c r="D42">
        <v>1</v>
      </c>
      <c r="E42">
        <v>733</v>
      </c>
      <c r="F42">
        <v>708</v>
      </c>
      <c r="G42" t="str">
        <f>HYPERLINK(".\links\qual\TI_asb-72-qual.txt","50")</f>
        <v>50</v>
      </c>
      <c r="H42">
        <v>0</v>
      </c>
      <c r="I42">
        <v>1</v>
      </c>
      <c r="J42">
        <f t="shared" si="2"/>
        <v>1</v>
      </c>
      <c r="K42" s="6">
        <f t="shared" si="3"/>
        <v>-1</v>
      </c>
      <c r="L42" s="6" t="s">
        <v>3916</v>
      </c>
      <c r="M42" s="6" t="s">
        <v>3917</v>
      </c>
      <c r="N42" s="6" t="s">
        <v>3902</v>
      </c>
      <c r="O42" s="6">
        <v>9.9999999999999995E-7</v>
      </c>
      <c r="P42" s="6">
        <v>112</v>
      </c>
      <c r="Q42" s="3">
        <v>733</v>
      </c>
      <c r="R42" s="3">
        <v>588</v>
      </c>
      <c r="S42" s="3" t="s">
        <v>3520</v>
      </c>
      <c r="T42" s="3">
        <v>3</v>
      </c>
      <c r="U42" t="str">
        <f>HYPERLINK(".\links\NR-LIGHT\TI_asb-72-NR-LIGHT.txt","RE46519p")</f>
        <v>RE46519p</v>
      </c>
      <c r="V42" t="str">
        <f>HYPERLINK("http://www.ncbi.nlm.nih.gov/sutils/blink.cgi?pid=39752609","3E-010")</f>
        <v>3E-010</v>
      </c>
      <c r="W42" t="str">
        <f>HYPERLINK(".\links\NR-LIGHT\TI_asb-72-NR-LIGHT.txt"," 10")</f>
        <v xml:space="preserve"> 10</v>
      </c>
      <c r="X42" t="str">
        <f>HYPERLINK("http://www.ncbi.nlm.nih.gov/protein/39752609","gi|39752609")</f>
        <v>gi|39752609</v>
      </c>
      <c r="Y42">
        <v>67.8</v>
      </c>
      <c r="Z42">
        <v>221</v>
      </c>
      <c r="AA42">
        <v>645</v>
      </c>
      <c r="AB42">
        <v>23</v>
      </c>
      <c r="AC42">
        <v>34</v>
      </c>
      <c r="AD42">
        <v>170</v>
      </c>
      <c r="AE42">
        <v>22</v>
      </c>
      <c r="AF42">
        <v>74</v>
      </c>
      <c r="AG42">
        <v>87</v>
      </c>
      <c r="AH42">
        <v>5</v>
      </c>
      <c r="AI42">
        <v>3</v>
      </c>
      <c r="AJ42" t="s">
        <v>53</v>
      </c>
      <c r="AK42" t="s">
        <v>54</v>
      </c>
      <c r="AL42" t="s">
        <v>143</v>
      </c>
      <c r="AM42" t="str">
        <f>HYPERLINK(".\links\SWISSP\TI_asb-72-SWISSP.txt","Low-density lipoprotein receptor-related protein 4 OS=Rattus norvegicus GN=Lrp4")</f>
        <v>Low-density lipoprotein receptor-related protein 4 OS=Rattus norvegicus GN=Lrp4</v>
      </c>
      <c r="AN42" s="19" t="str">
        <f>HYPERLINK("http://www.uniprot.org/uniprot/Q9QYP1","8E-004")</f>
        <v>8E-004</v>
      </c>
      <c r="AO42" t="str">
        <f>HYPERLINK(".\links\SWISSP\TI_asb-72-SWISSP.txt"," 10")</f>
        <v xml:space="preserve"> 10</v>
      </c>
      <c r="AP42" t="s">
        <v>560</v>
      </c>
      <c r="AQ42">
        <v>44.3</v>
      </c>
      <c r="AR42">
        <v>175</v>
      </c>
      <c r="AS42">
        <v>1905</v>
      </c>
      <c r="AT42">
        <v>27</v>
      </c>
      <c r="AU42">
        <v>9</v>
      </c>
      <c r="AV42">
        <v>127</v>
      </c>
      <c r="AW42">
        <v>22</v>
      </c>
      <c r="AX42">
        <v>82</v>
      </c>
      <c r="AY42">
        <v>162</v>
      </c>
      <c r="AZ42">
        <v>1</v>
      </c>
      <c r="BA42">
        <v>3</v>
      </c>
      <c r="BB42" t="s">
        <v>53</v>
      </c>
      <c r="BC42" t="s">
        <v>54</v>
      </c>
      <c r="BD42" t="s">
        <v>122</v>
      </c>
      <c r="BE42" t="s">
        <v>561</v>
      </c>
      <c r="BF42" t="s">
        <v>562</v>
      </c>
      <c r="BG42" t="str">
        <f>HYPERLINK(".\links\PREV-RHOD-PEP\TI_asb-72-PREV-RHOD-PEP.txt","Contig17812_36")</f>
        <v>Contig17812_36</v>
      </c>
      <c r="BH42" s="7">
        <v>3.0000000000000001E-84</v>
      </c>
      <c r="BI42" t="str">
        <f>HYPERLINK(".\links\PREV-RHOD-PEP\TI_asb-72-PREV-RHOD-PEP.txt"," 10")</f>
        <v xml:space="preserve"> 10</v>
      </c>
      <c r="BJ42" t="s">
        <v>563</v>
      </c>
      <c r="BK42">
        <v>307</v>
      </c>
      <c r="BL42">
        <v>221</v>
      </c>
      <c r="BM42">
        <v>387</v>
      </c>
      <c r="BN42">
        <v>58</v>
      </c>
      <c r="BO42">
        <v>57</v>
      </c>
      <c r="BP42">
        <v>91</v>
      </c>
      <c r="BQ42">
        <v>2</v>
      </c>
      <c r="BR42">
        <v>6</v>
      </c>
      <c r="BS42">
        <v>42</v>
      </c>
      <c r="BT42">
        <v>3</v>
      </c>
      <c r="BU42" t="s">
        <v>54</v>
      </c>
      <c r="BV42" t="s">
        <v>564</v>
      </c>
      <c r="BW42" t="s">
        <v>56</v>
      </c>
      <c r="BX42" t="str">
        <f>HYPERLINK(".\links\PREV-RHOD-CDS\TI_asb-72-PREV-RHOD-CDS.txt","Contig17812_36")</f>
        <v>Contig17812_36</v>
      </c>
      <c r="BY42" s="7">
        <v>2E-12</v>
      </c>
      <c r="BZ42" t="s">
        <v>563</v>
      </c>
      <c r="CA42">
        <v>73.8</v>
      </c>
      <c r="CB42">
        <v>516</v>
      </c>
      <c r="CC42">
        <v>1164</v>
      </c>
      <c r="CD42">
        <v>86</v>
      </c>
      <c r="CE42">
        <v>44</v>
      </c>
      <c r="CF42">
        <v>11</v>
      </c>
      <c r="CG42">
        <v>0</v>
      </c>
      <c r="CH42">
        <v>162</v>
      </c>
      <c r="CI42">
        <v>188</v>
      </c>
      <c r="CJ42">
        <v>2</v>
      </c>
      <c r="CK42" t="s">
        <v>54</v>
      </c>
      <c r="CL42" t="s">
        <v>565</v>
      </c>
      <c r="CM42">
        <f>HYPERLINK(".\links\GO\TI_asb-72-GO.txt",0.0000002)</f>
        <v>1.9999999999999999E-7</v>
      </c>
      <c r="CN42" t="s">
        <v>208</v>
      </c>
      <c r="CO42" t="s">
        <v>185</v>
      </c>
      <c r="CP42" t="s">
        <v>186</v>
      </c>
      <c r="CQ42" t="s">
        <v>209</v>
      </c>
      <c r="CR42" s="6">
        <v>2.0000000000000001E-4</v>
      </c>
      <c r="CS42" t="s">
        <v>153</v>
      </c>
      <c r="CT42" t="s">
        <v>75</v>
      </c>
      <c r="CU42" t="s">
        <v>92</v>
      </c>
      <c r="CV42" t="s">
        <v>154</v>
      </c>
      <c r="CW42" s="6">
        <v>2.0000000000000001E-4</v>
      </c>
      <c r="CX42" t="s">
        <v>566</v>
      </c>
      <c r="CY42" t="s">
        <v>185</v>
      </c>
      <c r="CZ42" t="s">
        <v>186</v>
      </c>
      <c r="DA42" t="s">
        <v>567</v>
      </c>
      <c r="DB42" s="6">
        <v>2.0000000000000001E-4</v>
      </c>
      <c r="DC42" t="str">
        <f>HYPERLINK(".\links\CDD\TI_asb-72-CDD.txt","COG5022")</f>
        <v>COG5022</v>
      </c>
      <c r="DD42" t="str">
        <f>HYPERLINK("http://www.ncbi.nlm.nih.gov/Structure/cdd/cddsrv.cgi?uid=COG5022&amp;version=v4.0","0.0")</f>
        <v>0.0</v>
      </c>
      <c r="DE42" t="s">
        <v>568</v>
      </c>
      <c r="DF42" t="str">
        <f>HYPERLINK(".\links\PFAM\TI_asb-72-PFAM.txt","CBM_14")</f>
        <v>CBM_14</v>
      </c>
      <c r="DG42" t="str">
        <f>HYPERLINK("http://pfam.sanger.ac.uk/family?acc=PF01607","5E-006")</f>
        <v>5E-006</v>
      </c>
      <c r="DH42" t="s">
        <v>56</v>
      </c>
      <c r="DI42" s="6" t="s">
        <v>56</v>
      </c>
      <c r="DJ42" s="6" t="str">
        <f>HYPERLINK(".\links\KOG\TI_asb-72-KOG.txt","Nuclear protein, contains WD40 repeats")</f>
        <v>Nuclear protein, contains WD40 repeats</v>
      </c>
      <c r="DK42" s="6" t="str">
        <f>HYPERLINK("http://www.ncbi.nlm.nih.gov/COG/grace/shokog.cgi?KOG1916","0.0")</f>
        <v>0.0</v>
      </c>
      <c r="DL42" s="6" t="s">
        <v>4337</v>
      </c>
      <c r="DM42" s="6" t="str">
        <f>HYPERLINK(".\links\KOG\TI_asb-72-KOG.txt","KOG1916")</f>
        <v>KOG1916</v>
      </c>
      <c r="DN42" t="str">
        <f>HYPERLINK(".\links\SMART\TI_asb-72-SMART.txt","ChtBD2")</f>
        <v>ChtBD2</v>
      </c>
      <c r="DO42" t="str">
        <f>HYPERLINK("http://smart.embl-heidelberg.de/smart/do_annotation.pl?DOMAIN=ChtBD2&amp;BLAST=DUMMY","1E-006")</f>
        <v>1E-006</v>
      </c>
      <c r="DP42" s="3" t="s">
        <v>56</v>
      </c>
      <c r="ED42" s="3" t="s">
        <v>56</v>
      </c>
    </row>
    <row r="43" spans="1:134">
      <c r="A43" t="str">
        <f>HYPERLINK(".\links\seq\TI_asb-75-seq.txt","TI_asb-75")</f>
        <v>TI_asb-75</v>
      </c>
      <c r="B43">
        <v>75</v>
      </c>
      <c r="C43" t="str">
        <f>HYPERLINK(".\links\tsa\TI_asb-75-tsa.txt","1")</f>
        <v>1</v>
      </c>
      <c r="D43">
        <v>1</v>
      </c>
      <c r="E43">
        <v>765</v>
      </c>
      <c r="G43" t="str">
        <f>HYPERLINK(".\links\qual\TI_asb-75-qual.txt","56")</f>
        <v>56</v>
      </c>
      <c r="H43">
        <v>1</v>
      </c>
      <c r="I43">
        <v>0</v>
      </c>
      <c r="J43">
        <f t="shared" si="2"/>
        <v>1</v>
      </c>
      <c r="K43" s="6">
        <f t="shared" si="3"/>
        <v>1</v>
      </c>
      <c r="L43" s="6" t="s">
        <v>3918</v>
      </c>
      <c r="M43" s="6" t="s">
        <v>3919</v>
      </c>
      <c r="N43" s="6" t="s">
        <v>3872</v>
      </c>
      <c r="O43" s="7">
        <v>8.9999999999999993E-30</v>
      </c>
      <c r="P43" s="6">
        <v>81</v>
      </c>
      <c r="Q43" s="3">
        <v>765</v>
      </c>
      <c r="R43" s="3">
        <v>369</v>
      </c>
      <c r="S43" s="3" t="s">
        <v>3521</v>
      </c>
      <c r="T43" s="3">
        <v>1</v>
      </c>
      <c r="U43" t="str">
        <f>HYPERLINK(".\links\NR-LIGHT\TI_asb-75-NR-LIGHT.txt","hypothetical protein DAPPUDRAFT_218600")</f>
        <v>hypothetical protein DAPPUDRAFT_218600</v>
      </c>
      <c r="V43" t="str">
        <f>HYPERLINK("http://www.ncbi.nlm.nih.gov/sutils/blink.cgi?pid=321456621","6E-021")</f>
        <v>6E-021</v>
      </c>
      <c r="W43" t="str">
        <f>HYPERLINK(".\links\NR-LIGHT\TI_asb-75-NR-LIGHT.txt"," 10")</f>
        <v xml:space="preserve"> 10</v>
      </c>
      <c r="X43" t="str">
        <f>HYPERLINK("http://www.ncbi.nlm.nih.gov/protein/321456621","gi|321456621")</f>
        <v>gi|321456621</v>
      </c>
      <c r="Y43">
        <v>103</v>
      </c>
      <c r="Z43">
        <v>66</v>
      </c>
      <c r="AA43">
        <v>132</v>
      </c>
      <c r="AB43">
        <v>72</v>
      </c>
      <c r="AC43">
        <v>50</v>
      </c>
      <c r="AD43">
        <v>18</v>
      </c>
      <c r="AE43">
        <v>0</v>
      </c>
      <c r="AF43">
        <v>30</v>
      </c>
      <c r="AG43">
        <v>190</v>
      </c>
      <c r="AH43">
        <v>1</v>
      </c>
      <c r="AI43">
        <v>1</v>
      </c>
      <c r="AJ43" t="s">
        <v>53</v>
      </c>
      <c r="AK43" t="s">
        <v>54</v>
      </c>
      <c r="AL43" t="s">
        <v>193</v>
      </c>
      <c r="AM43" t="str">
        <f>HYPERLINK(".\links\SWISSP\TI_asb-75-SWISSP.txt","Synaptobrevin-1 OS=Caenorhabditis elegans GN=snb-1 PE=1 SV=1")</f>
        <v>Synaptobrevin-1 OS=Caenorhabditis elegans GN=snb-1 PE=1 SV=1</v>
      </c>
      <c r="AN43" s="19" t="str">
        <f>HYPERLINK("http://www.uniprot.org/uniprot/O02495","4E-019")</f>
        <v>4E-019</v>
      </c>
      <c r="AO43" t="str">
        <f>HYPERLINK(".\links\SWISSP\TI_asb-75-SWISSP.txt"," 10")</f>
        <v xml:space="preserve"> 10</v>
      </c>
      <c r="AP43" t="s">
        <v>570</v>
      </c>
      <c r="AQ43">
        <v>95.1</v>
      </c>
      <c r="AR43">
        <v>65</v>
      </c>
      <c r="AS43">
        <v>109</v>
      </c>
      <c r="AT43">
        <v>67</v>
      </c>
      <c r="AU43">
        <v>60</v>
      </c>
      <c r="AV43">
        <v>21</v>
      </c>
      <c r="AW43">
        <v>0</v>
      </c>
      <c r="AX43">
        <v>22</v>
      </c>
      <c r="AY43">
        <v>193</v>
      </c>
      <c r="AZ43">
        <v>1</v>
      </c>
      <c r="BA43">
        <v>1</v>
      </c>
      <c r="BB43" t="s">
        <v>53</v>
      </c>
      <c r="BC43" t="s">
        <v>54</v>
      </c>
      <c r="BD43" t="s">
        <v>385</v>
      </c>
      <c r="BE43" t="s">
        <v>571</v>
      </c>
      <c r="BF43" t="s">
        <v>572</v>
      </c>
      <c r="BG43" t="str">
        <f>HYPERLINK(".\links\PREV-RHOD-PEP\TI_asb-75-PREV-RHOD-PEP.txt","Contig17909_61")</f>
        <v>Contig17909_61</v>
      </c>
      <c r="BH43" s="7">
        <v>6.0000000000000003E-33</v>
      </c>
      <c r="BI43" t="str">
        <f>HYPERLINK(".\links\PREV-RHOD-PEP\TI_asb-75-PREV-RHOD-PEP.txt"," 7")</f>
        <v xml:space="preserve"> 7</v>
      </c>
      <c r="BJ43" t="s">
        <v>573</v>
      </c>
      <c r="BK43">
        <v>137</v>
      </c>
      <c r="BL43">
        <v>70</v>
      </c>
      <c r="BM43">
        <v>117</v>
      </c>
      <c r="BN43">
        <v>94</v>
      </c>
      <c r="BO43">
        <v>60</v>
      </c>
      <c r="BP43">
        <v>4</v>
      </c>
      <c r="BQ43">
        <v>0</v>
      </c>
      <c r="BR43">
        <v>14</v>
      </c>
      <c r="BS43">
        <v>184</v>
      </c>
      <c r="BT43">
        <v>1</v>
      </c>
      <c r="BU43" t="s">
        <v>54</v>
      </c>
      <c r="BV43" t="s">
        <v>574</v>
      </c>
      <c r="BW43" t="s">
        <v>56</v>
      </c>
      <c r="BX43" t="str">
        <f>HYPERLINK(".\links\PREV-RHOD-CDS\TI_asb-75-PREV-RHOD-CDS.txt","Contig17909_61")</f>
        <v>Contig17909_61</v>
      </c>
      <c r="BY43" s="7">
        <v>4.9999999999999999E-96</v>
      </c>
      <c r="BZ43" t="s">
        <v>573</v>
      </c>
      <c r="CA43">
        <v>351</v>
      </c>
      <c r="CB43">
        <v>297</v>
      </c>
      <c r="CC43">
        <v>354</v>
      </c>
      <c r="CD43">
        <v>89</v>
      </c>
      <c r="CE43">
        <v>84</v>
      </c>
      <c r="CF43">
        <v>32</v>
      </c>
      <c r="CG43">
        <v>0</v>
      </c>
      <c r="CH43">
        <v>16</v>
      </c>
      <c r="CI43">
        <v>160</v>
      </c>
      <c r="CJ43">
        <v>1</v>
      </c>
      <c r="CK43" t="s">
        <v>54</v>
      </c>
      <c r="CL43" t="s">
        <v>575</v>
      </c>
      <c r="CM43">
        <f>HYPERLINK(".\links\GO\TI_asb-75-GO.txt",1E-20)</f>
        <v>9.9999999999999995E-21</v>
      </c>
      <c r="CN43" t="s">
        <v>576</v>
      </c>
      <c r="CO43" t="s">
        <v>185</v>
      </c>
      <c r="CP43" t="s">
        <v>186</v>
      </c>
      <c r="CQ43" t="s">
        <v>577</v>
      </c>
      <c r="CR43" s="7">
        <v>2E-19</v>
      </c>
      <c r="CS43" t="s">
        <v>153</v>
      </c>
      <c r="CT43" t="s">
        <v>75</v>
      </c>
      <c r="CU43" t="s">
        <v>92</v>
      </c>
      <c r="CV43" t="s">
        <v>154</v>
      </c>
      <c r="CW43" s="7">
        <v>2E-19</v>
      </c>
      <c r="CX43" t="s">
        <v>578</v>
      </c>
      <c r="CY43" t="s">
        <v>185</v>
      </c>
      <c r="CZ43" t="s">
        <v>186</v>
      </c>
      <c r="DA43" t="s">
        <v>579</v>
      </c>
      <c r="DB43" s="7">
        <v>2E-19</v>
      </c>
      <c r="DC43" t="str">
        <f>HYPERLINK(".\links\CDD\TI_asb-75-CDD.txt","Synaptobrevin")</f>
        <v>Synaptobrevin</v>
      </c>
      <c r="DD43" t="str">
        <f>HYPERLINK("http://www.ncbi.nlm.nih.gov/Structure/cdd/cddsrv.cgi?uid=pfam00957&amp;version=v4.0","1E-027")</f>
        <v>1E-027</v>
      </c>
      <c r="DE43" t="s">
        <v>580</v>
      </c>
      <c r="DF43" t="str">
        <f>HYPERLINK(".\links\PFAM\TI_asb-75-PFAM.txt","Synaptobrevin")</f>
        <v>Synaptobrevin</v>
      </c>
      <c r="DG43" t="str">
        <f>HYPERLINK("http://pfam.sanger.ac.uk/family?acc=PF00957","3E-028")</f>
        <v>3E-028</v>
      </c>
      <c r="DH43" t="str">
        <f>HYPERLINK(".\links\PRK\TI_asb-75-PRK.txt","flagellar MS-ring protein")</f>
        <v>flagellar MS-ring protein</v>
      </c>
      <c r="DI43" s="6">
        <v>0.01</v>
      </c>
      <c r="DJ43" s="6" t="str">
        <f>HYPERLINK(".\links\KOG\TI_asb-75-KOG.txt","Synaptobrevin/VAMP-like protein")</f>
        <v>Synaptobrevin/VAMP-like protein</v>
      </c>
      <c r="DK43" s="6" t="str">
        <f>HYPERLINK("http://www.ncbi.nlm.nih.gov/COG/grace/shokog.cgi?KOG0860","9E-030")</f>
        <v>9E-030</v>
      </c>
      <c r="DL43" s="6" t="s">
        <v>4352</v>
      </c>
      <c r="DM43" s="6" t="str">
        <f>HYPERLINK(".\links\KOG\TI_asb-75-KOG.txt","KOG0860")</f>
        <v>KOG0860</v>
      </c>
      <c r="DN43" t="str">
        <f>HYPERLINK(".\links\SMART\TI_asb-75-SMART.txt","TLC")</f>
        <v>TLC</v>
      </c>
      <c r="DO43" t="str">
        <f>HYPERLINK("http://smart.embl-heidelberg.de/smart/do_annotation.pl?DOMAIN=TLC&amp;BLAST=DUMMY","0.021")</f>
        <v>0.021</v>
      </c>
      <c r="DP43" s="3" t="s">
        <v>56</v>
      </c>
      <c r="ED43" s="3" t="s">
        <v>56</v>
      </c>
    </row>
    <row r="44" spans="1:134">
      <c r="A44" t="str">
        <f>HYPERLINK(".\links\seq\TI_asb-76-seq.txt","TI_asb-76")</f>
        <v>TI_asb-76</v>
      </c>
      <c r="B44">
        <v>76</v>
      </c>
      <c r="C44" t="str">
        <f>HYPERLINK(".\links\tsa\TI_asb-76-tsa.txt","1")</f>
        <v>1</v>
      </c>
      <c r="D44">
        <v>1</v>
      </c>
      <c r="E44">
        <v>595</v>
      </c>
      <c r="G44" t="str">
        <f>HYPERLINK(".\links\qual\TI_asb-76-qual.txt","54")</f>
        <v>54</v>
      </c>
      <c r="H44">
        <v>1</v>
      </c>
      <c r="I44">
        <v>0</v>
      </c>
      <c r="J44">
        <f t="shared" si="2"/>
        <v>1</v>
      </c>
      <c r="K44" s="6">
        <f t="shared" si="3"/>
        <v>1</v>
      </c>
      <c r="L44" s="6" t="s">
        <v>3920</v>
      </c>
      <c r="M44" s="6" t="s">
        <v>3874</v>
      </c>
      <c r="N44" s="6" t="s">
        <v>3872</v>
      </c>
      <c r="O44" s="7">
        <v>2E-55</v>
      </c>
      <c r="P44" s="6">
        <v>43.8</v>
      </c>
      <c r="Q44" s="3">
        <v>595</v>
      </c>
      <c r="R44" s="3">
        <v>594</v>
      </c>
      <c r="S44" s="3" t="s">
        <v>3522</v>
      </c>
      <c r="T44" s="3">
        <v>1</v>
      </c>
      <c r="U44" t="str">
        <f>HYPERLINK(".\links\NR-LIGHT\TI_asb-76-NR-LIGHT.txt","similar to Inositol 1,4,5-triphosphate kinase 1 CG4026-PA")</f>
        <v>similar to Inositol 1,4,5-triphosphate kinase 1 CG4026-PA</v>
      </c>
      <c r="V44" t="str">
        <f>HYPERLINK("http://www.ncbi.nlm.nih.gov/sutils/blink.cgi?pid=193580075","2E-082")</f>
        <v>2E-082</v>
      </c>
      <c r="W44" t="str">
        <f>HYPERLINK(".\links\NR-LIGHT\TI_asb-76-NR-LIGHT.txt"," 10")</f>
        <v xml:space="preserve"> 10</v>
      </c>
      <c r="X44" t="str">
        <f>HYPERLINK("http://www.ncbi.nlm.nih.gov/protein/193580075","gi|193580075")</f>
        <v>gi|193580075</v>
      </c>
      <c r="Y44">
        <v>307</v>
      </c>
      <c r="Z44">
        <v>198</v>
      </c>
      <c r="AA44">
        <v>420</v>
      </c>
      <c r="AB44">
        <v>73</v>
      </c>
      <c r="AC44">
        <v>47</v>
      </c>
      <c r="AD44">
        <v>53</v>
      </c>
      <c r="AE44">
        <v>0</v>
      </c>
      <c r="AF44">
        <v>160</v>
      </c>
      <c r="AG44">
        <v>1</v>
      </c>
      <c r="AH44">
        <v>1</v>
      </c>
      <c r="AI44">
        <v>1</v>
      </c>
      <c r="AJ44" t="s">
        <v>53</v>
      </c>
      <c r="AK44" t="s">
        <v>54</v>
      </c>
      <c r="AL44" t="s">
        <v>177</v>
      </c>
      <c r="AM44" t="str">
        <f>HYPERLINK(".\links\SWISSP\TI_asb-76-SWISSP.txt","Inositol-trisphosphate 3-kinase C OS=Mus musculus GN=Itpkc PE=2 SV=1")</f>
        <v>Inositol-trisphosphate 3-kinase C OS=Mus musculus GN=Itpkc PE=2 SV=1</v>
      </c>
      <c r="AN44" s="19" t="str">
        <f>HYPERLINK("http://www.uniprot.org/uniprot/Q7TS72","3E-036")</f>
        <v>3E-036</v>
      </c>
      <c r="AO44" t="str">
        <f>HYPERLINK(".\links\SWISSP\TI_asb-76-SWISSP.txt"," 10")</f>
        <v xml:space="preserve"> 10</v>
      </c>
      <c r="AP44" t="s">
        <v>581</v>
      </c>
      <c r="AQ44">
        <v>151</v>
      </c>
      <c r="AR44">
        <v>194</v>
      </c>
      <c r="AS44">
        <v>678</v>
      </c>
      <c r="AT44">
        <v>43</v>
      </c>
      <c r="AU44">
        <v>29</v>
      </c>
      <c r="AV44">
        <v>110</v>
      </c>
      <c r="AW44">
        <v>4</v>
      </c>
      <c r="AX44">
        <v>432</v>
      </c>
      <c r="AY44">
        <v>7</v>
      </c>
      <c r="AZ44">
        <v>1</v>
      </c>
      <c r="BA44">
        <v>1</v>
      </c>
      <c r="BB44" t="s">
        <v>53</v>
      </c>
      <c r="BC44" t="s">
        <v>54</v>
      </c>
      <c r="BD44" t="s">
        <v>214</v>
      </c>
      <c r="BE44" t="s">
        <v>582</v>
      </c>
      <c r="BF44" t="s">
        <v>583</v>
      </c>
      <c r="BG44" t="str">
        <f>HYPERLINK(".\links\PREV-RHOD-PEP\TI_asb-76-PREV-RHOD-PEP.txt","Contig15999_2")</f>
        <v>Contig15999_2</v>
      </c>
      <c r="BH44" s="7">
        <v>9.9999999999999993E-105</v>
      </c>
      <c r="BI44" t="str">
        <f>HYPERLINK(".\links\PREV-RHOD-PEP\TI_asb-76-PREV-RHOD-PEP.txt"," 10")</f>
        <v xml:space="preserve"> 10</v>
      </c>
      <c r="BJ44" t="s">
        <v>584</v>
      </c>
      <c r="BK44">
        <v>372</v>
      </c>
      <c r="BL44">
        <v>198</v>
      </c>
      <c r="BM44">
        <v>393</v>
      </c>
      <c r="BN44">
        <v>93</v>
      </c>
      <c r="BO44">
        <v>50</v>
      </c>
      <c r="BP44">
        <v>13</v>
      </c>
      <c r="BQ44">
        <v>0</v>
      </c>
      <c r="BR44">
        <v>133</v>
      </c>
      <c r="BS44">
        <v>1</v>
      </c>
      <c r="BT44">
        <v>1</v>
      </c>
      <c r="BU44" t="s">
        <v>54</v>
      </c>
      <c r="BV44" t="s">
        <v>585</v>
      </c>
      <c r="BW44" t="s">
        <v>56</v>
      </c>
      <c r="BX44" t="str">
        <f>HYPERLINK(".\links\PREV-RHOD-CDS\TI_asb-76-PREV-RHOD-CDS.txt","Contig15999_2")</f>
        <v>Contig15999_2</v>
      </c>
      <c r="BY44" s="7">
        <v>1.0000000000000001E-152</v>
      </c>
      <c r="BZ44" t="s">
        <v>584</v>
      </c>
      <c r="CA44">
        <v>537</v>
      </c>
      <c r="CB44">
        <v>586</v>
      </c>
      <c r="CC44">
        <v>1182</v>
      </c>
      <c r="CD44">
        <v>86</v>
      </c>
      <c r="CE44">
        <v>50</v>
      </c>
      <c r="CF44">
        <v>79</v>
      </c>
      <c r="CG44">
        <v>0</v>
      </c>
      <c r="CH44">
        <v>397</v>
      </c>
      <c r="CI44">
        <v>1</v>
      </c>
      <c r="CJ44">
        <v>1</v>
      </c>
      <c r="CK44" t="s">
        <v>54</v>
      </c>
      <c r="CL44" t="s">
        <v>586</v>
      </c>
      <c r="CM44">
        <f>HYPERLINK(".\links\GO\TI_asb-76-GO.txt",8E-55)</f>
        <v>8E-55</v>
      </c>
      <c r="CN44" t="s">
        <v>587</v>
      </c>
      <c r="CO44" t="s">
        <v>129</v>
      </c>
      <c r="CP44" t="s">
        <v>151</v>
      </c>
      <c r="CQ44" t="s">
        <v>588</v>
      </c>
      <c r="CR44" s="7">
        <v>2E-35</v>
      </c>
      <c r="CS44" t="s">
        <v>60</v>
      </c>
      <c r="CT44" t="s">
        <v>60</v>
      </c>
      <c r="CV44" t="s">
        <v>61</v>
      </c>
      <c r="CW44" s="7">
        <v>2E-35</v>
      </c>
      <c r="CX44" t="s">
        <v>589</v>
      </c>
      <c r="CY44" t="s">
        <v>129</v>
      </c>
      <c r="CZ44" t="s">
        <v>151</v>
      </c>
      <c r="DA44" t="s">
        <v>590</v>
      </c>
      <c r="DB44" s="7">
        <v>2E-35</v>
      </c>
      <c r="DC44" t="str">
        <f>HYPERLINK(".\links\CDD\TI_asb-76-CDD.txt","IPK")</f>
        <v>IPK</v>
      </c>
      <c r="DD44" t="str">
        <f>HYPERLINK("http://www.ncbi.nlm.nih.gov/Structure/cdd/cddsrv.cgi?uid=pfam03770&amp;version=v4.0","1E-031")</f>
        <v>1E-031</v>
      </c>
      <c r="DE44" t="s">
        <v>591</v>
      </c>
      <c r="DF44" t="str">
        <f>HYPERLINK(".\links\PFAM\TI_asb-76-PFAM.txt","IPK")</f>
        <v>IPK</v>
      </c>
      <c r="DG44" t="str">
        <f>HYPERLINK("http://pfam.sanger.ac.uk/family?acc=PF03770","3E-032")</f>
        <v>3E-032</v>
      </c>
      <c r="DH44" t="str">
        <f>HYPERLINK(".\links\PRK\TI_asb-76-PRK.txt","inositol polyphosphate multikinase.")</f>
        <v>inositol polyphosphate multikinase.</v>
      </c>
      <c r="DI44" s="7">
        <v>1.9999999999999999E-6</v>
      </c>
      <c r="DJ44" s="6" t="str">
        <f>HYPERLINK(".\links\KOG\TI_asb-76-KOG.txt","1D-myo-inositol-triphosphate 3-kinase A")</f>
        <v>1D-myo-inositol-triphosphate 3-kinase A</v>
      </c>
      <c r="DK44" s="6" t="str">
        <f>HYPERLINK("http://www.ncbi.nlm.nih.gov/COG/grace/shokog.cgi?KOG1621","2E-055")</f>
        <v>2E-055</v>
      </c>
      <c r="DL44" s="6" t="s">
        <v>4334</v>
      </c>
      <c r="DM44" s="6" t="str">
        <f>HYPERLINK(".\links\KOG\TI_asb-76-KOG.txt","KOG1621")</f>
        <v>KOG1621</v>
      </c>
      <c r="DN44" t="str">
        <f>HYPERLINK(".\links\SMART\TI_asb-76-SMART.txt","ZnF_TAZ")</f>
        <v>ZnF_TAZ</v>
      </c>
      <c r="DO44" t="str">
        <f>HYPERLINK("http://smart.embl-heidelberg.de/smart/do_annotation.pl?DOMAIN=ZnF_TAZ&amp;BLAST=DUMMY","0.070")</f>
        <v>0.070</v>
      </c>
      <c r="DP44" s="3" t="s">
        <v>56</v>
      </c>
      <c r="ED44" s="3" t="s">
        <v>56</v>
      </c>
    </row>
    <row r="45" spans="1:134">
      <c r="A45" t="str">
        <f>HYPERLINK(".\links\seq\TI_asb-77-seq.txt","TI_asb-77")</f>
        <v>TI_asb-77</v>
      </c>
      <c r="B45">
        <v>77</v>
      </c>
      <c r="C45" t="str">
        <f>HYPERLINK(".\links\tsa\TI_asb-77-tsa.txt","1")</f>
        <v>1</v>
      </c>
      <c r="D45">
        <v>1</v>
      </c>
      <c r="E45">
        <v>874</v>
      </c>
      <c r="G45" t="str">
        <f>HYPERLINK(".\links\qual\TI_asb-77-qual.txt","31")</f>
        <v>31</v>
      </c>
      <c r="H45">
        <v>1</v>
      </c>
      <c r="I45">
        <v>0</v>
      </c>
      <c r="J45">
        <f t="shared" si="2"/>
        <v>1</v>
      </c>
      <c r="K45" s="6">
        <f t="shared" si="3"/>
        <v>1</v>
      </c>
      <c r="L45" s="6" t="s">
        <v>3921</v>
      </c>
      <c r="M45" s="6" t="s">
        <v>3883</v>
      </c>
      <c r="N45" s="6" t="s">
        <v>3909</v>
      </c>
      <c r="O45" s="7">
        <v>4E-52</v>
      </c>
      <c r="P45" s="6">
        <v>21.6</v>
      </c>
      <c r="Q45" s="3">
        <v>874</v>
      </c>
      <c r="R45" s="3">
        <v>489</v>
      </c>
      <c r="S45" s="3" t="s">
        <v>3523</v>
      </c>
      <c r="T45" s="3">
        <v>2</v>
      </c>
      <c r="U45" t="str">
        <f>HYPERLINK(".\links\NR-LIGHT\TI_asb-77-NR-LIGHT.txt","alpha,alpha-trehalase")</f>
        <v>alpha,alpha-trehalase</v>
      </c>
      <c r="V45" t="str">
        <f>HYPERLINK("http://www.ncbi.nlm.nih.gov/sutils/blink.cgi?pid=301648151","2E-075")</f>
        <v>2E-075</v>
      </c>
      <c r="W45" t="str">
        <f>HYPERLINK(".\links\NR-LIGHT\TI_asb-77-NR-LIGHT.txt"," 10")</f>
        <v xml:space="preserve"> 10</v>
      </c>
      <c r="X45" t="str">
        <f>HYPERLINK("http://www.ncbi.nlm.nih.gov/protein/301648151","gi|301648151")</f>
        <v>gi|301648151</v>
      </c>
      <c r="Y45">
        <v>285</v>
      </c>
      <c r="Z45">
        <v>147</v>
      </c>
      <c r="AA45">
        <v>554</v>
      </c>
      <c r="AB45">
        <v>92</v>
      </c>
      <c r="AC45">
        <v>27</v>
      </c>
      <c r="AD45">
        <v>11</v>
      </c>
      <c r="AE45">
        <v>0</v>
      </c>
      <c r="AF45">
        <v>405</v>
      </c>
      <c r="AG45">
        <v>41</v>
      </c>
      <c r="AH45">
        <v>1</v>
      </c>
      <c r="AI45">
        <v>2</v>
      </c>
      <c r="AJ45" t="s">
        <v>53</v>
      </c>
      <c r="AK45" t="s">
        <v>54</v>
      </c>
      <c r="AL45" t="s">
        <v>592</v>
      </c>
      <c r="AM45" t="str">
        <f>HYPERLINK(".\links\SWISSP\TI_asb-77-SWISSP.txt","Periplasmic trehalase OS=Escherichia coli (strain SE11) GN=treA PE=3 SV=1")</f>
        <v>Periplasmic trehalase OS=Escherichia coli (strain SE11) GN=treA PE=3 SV=1</v>
      </c>
      <c r="AN45" s="19" t="str">
        <f>HYPERLINK("http://www.uniprot.org/uniprot/B6I9Q8","4E-076")</f>
        <v>4E-076</v>
      </c>
      <c r="AO45" t="str">
        <f>HYPERLINK(".\links\SWISSP\TI_asb-77-SWISSP.txt"," 10")</f>
        <v xml:space="preserve"> 10</v>
      </c>
      <c r="AP45" t="s">
        <v>593</v>
      </c>
      <c r="AQ45">
        <v>285</v>
      </c>
      <c r="AR45">
        <v>147</v>
      </c>
      <c r="AS45">
        <v>565</v>
      </c>
      <c r="AT45">
        <v>92</v>
      </c>
      <c r="AU45">
        <v>26</v>
      </c>
      <c r="AV45">
        <v>11</v>
      </c>
      <c r="AW45">
        <v>0</v>
      </c>
      <c r="AX45">
        <v>416</v>
      </c>
      <c r="AY45">
        <v>41</v>
      </c>
      <c r="AZ45">
        <v>1</v>
      </c>
      <c r="BA45">
        <v>2</v>
      </c>
      <c r="BB45" t="s">
        <v>53</v>
      </c>
      <c r="BC45" t="s">
        <v>54</v>
      </c>
      <c r="BD45" t="s">
        <v>594</v>
      </c>
      <c r="BE45" t="s">
        <v>595</v>
      </c>
      <c r="BF45" t="s">
        <v>596</v>
      </c>
      <c r="BG45" t="str">
        <f>HYPERLINK(".\links\PREV-RHOD-PEP\TI_asb-77-PREV-RHOD-PEP.txt","Contig17464_16")</f>
        <v>Contig17464_16</v>
      </c>
      <c r="BH45" s="7">
        <v>2.0000000000000002E-15</v>
      </c>
      <c r="BI45" t="str">
        <f>HYPERLINK(".\links\PREV-RHOD-PEP\TI_asb-77-PREV-RHOD-PEP.txt"," 10")</f>
        <v xml:space="preserve"> 10</v>
      </c>
      <c r="BJ45" t="s">
        <v>597</v>
      </c>
      <c r="BK45">
        <v>79</v>
      </c>
      <c r="BL45">
        <v>128</v>
      </c>
      <c r="BM45">
        <v>630</v>
      </c>
      <c r="BN45">
        <v>31</v>
      </c>
      <c r="BO45">
        <v>20</v>
      </c>
      <c r="BP45">
        <v>88</v>
      </c>
      <c r="BQ45">
        <v>5</v>
      </c>
      <c r="BR45">
        <v>426</v>
      </c>
      <c r="BS45">
        <v>14</v>
      </c>
      <c r="BT45">
        <v>1</v>
      </c>
      <c r="BU45" t="s">
        <v>54</v>
      </c>
      <c r="BV45" t="s">
        <v>598</v>
      </c>
      <c r="BW45" t="s">
        <v>56</v>
      </c>
      <c r="BX45" t="str">
        <f>HYPERLINK(".\links\PREV-RHOD-CDS\TI_asb-77-PREV-RHOD-CDS.txt","Contig25476_1")</f>
        <v>Contig25476_1</v>
      </c>
      <c r="BY45" s="6">
        <v>7.0000000000000001E-3</v>
      </c>
      <c r="BZ45" t="s">
        <v>599</v>
      </c>
      <c r="CA45">
        <v>42.1</v>
      </c>
      <c r="CB45">
        <v>20</v>
      </c>
      <c r="CC45">
        <v>90</v>
      </c>
      <c r="CD45">
        <v>100</v>
      </c>
      <c r="CE45">
        <v>23</v>
      </c>
      <c r="CF45">
        <v>0</v>
      </c>
      <c r="CG45">
        <v>0</v>
      </c>
      <c r="CH45">
        <v>43</v>
      </c>
      <c r="CI45">
        <v>118</v>
      </c>
      <c r="CJ45">
        <v>1</v>
      </c>
      <c r="CK45" t="s">
        <v>54</v>
      </c>
      <c r="CL45" t="s">
        <v>600</v>
      </c>
      <c r="CM45">
        <f>HYPERLINK(".\links\GO\TI_asb-77-GO.txt",7E-22)</f>
        <v>7.0000000000000001E-22</v>
      </c>
      <c r="CN45" t="s">
        <v>601</v>
      </c>
      <c r="CO45" t="s">
        <v>129</v>
      </c>
      <c r="CP45" t="s">
        <v>166</v>
      </c>
      <c r="CQ45" t="s">
        <v>602</v>
      </c>
      <c r="CR45" s="6">
        <v>4E-14</v>
      </c>
      <c r="CS45" t="s">
        <v>603</v>
      </c>
      <c r="CT45" t="s">
        <v>75</v>
      </c>
      <c r="CU45" t="s">
        <v>92</v>
      </c>
      <c r="CV45" t="s">
        <v>604</v>
      </c>
      <c r="CW45" s="6">
        <v>4E-14</v>
      </c>
      <c r="CX45" t="s">
        <v>605</v>
      </c>
      <c r="CY45" t="s">
        <v>129</v>
      </c>
      <c r="CZ45" t="s">
        <v>166</v>
      </c>
      <c r="DA45" t="s">
        <v>606</v>
      </c>
      <c r="DB45" s="6">
        <v>4E-14</v>
      </c>
      <c r="DC45" t="str">
        <f>HYPERLINK(".\links\CDD\TI_asb-77-CDD.txt","treA")</f>
        <v>treA</v>
      </c>
      <c r="DD45" t="str">
        <f>HYPERLINK("http://www.ncbi.nlm.nih.gov/Structure/cdd/cddsrv.cgi?uid=PRK13271&amp;version=v4.0","6E-085")</f>
        <v>6E-085</v>
      </c>
      <c r="DE45" t="s">
        <v>607</v>
      </c>
      <c r="DF45" t="str">
        <f>HYPERLINK(".\links\PFAM\TI_asb-77-PFAM.txt","Trehalase")</f>
        <v>Trehalase</v>
      </c>
      <c r="DG45" t="str">
        <f>HYPERLINK("http://pfam.sanger.ac.uk/family?acc=PF01204","6E-047")</f>
        <v>6E-047</v>
      </c>
      <c r="DH45" t="str">
        <f>HYPERLINK(".\links\PRK\TI_asb-77-PRK.txt","trehalase")</f>
        <v>trehalase</v>
      </c>
      <c r="DI45" s="7">
        <v>2.0000000000000002E-86</v>
      </c>
      <c r="DJ45" s="6" t="str">
        <f>HYPERLINK(".\links\KOG\TI_asb-77-KOG.txt","Neutral trehalase")</f>
        <v>Neutral trehalase</v>
      </c>
      <c r="DK45" s="6" t="str">
        <f>HYPERLINK("http://www.ncbi.nlm.nih.gov/COG/grace/shokog.cgi?KOG0602","2E-024")</f>
        <v>2E-024</v>
      </c>
      <c r="DL45" s="6" t="s">
        <v>4341</v>
      </c>
      <c r="DM45" s="6" t="str">
        <f>HYPERLINK(".\links\KOG\TI_asb-77-KOG.txt","KOG0602")</f>
        <v>KOG0602</v>
      </c>
      <c r="DN45" t="s">
        <v>56</v>
      </c>
      <c r="DO45" t="s">
        <v>56</v>
      </c>
      <c r="DP45" s="3" t="s">
        <v>56</v>
      </c>
      <c r="ED45" s="3" t="s">
        <v>56</v>
      </c>
    </row>
    <row r="46" spans="1:134">
      <c r="A46" t="str">
        <f>HYPERLINK(".\links\seq\TI_asb-78-seq.txt","TI_asb-78")</f>
        <v>TI_asb-78</v>
      </c>
      <c r="B46">
        <v>78</v>
      </c>
      <c r="C46" t="str">
        <f>HYPERLINK(".\links\tsa\TI_asb-78-tsa.txt","1")</f>
        <v>1</v>
      </c>
      <c r="D46">
        <v>1</v>
      </c>
      <c r="E46">
        <v>998</v>
      </c>
      <c r="G46" t="str">
        <f>HYPERLINK(".\links\qual\TI_asb-78-qual.txt","34")</f>
        <v>34</v>
      </c>
      <c r="H46">
        <v>0</v>
      </c>
      <c r="I46">
        <v>1</v>
      </c>
      <c r="J46">
        <f t="shared" si="2"/>
        <v>1</v>
      </c>
      <c r="K46" s="6">
        <f t="shared" si="3"/>
        <v>-1</v>
      </c>
      <c r="L46" s="6" t="s">
        <v>3922</v>
      </c>
      <c r="M46" s="6" t="s">
        <v>3919</v>
      </c>
      <c r="N46" s="6" t="s">
        <v>3872</v>
      </c>
      <c r="O46" s="7">
        <v>4.0000000000000002E-56</v>
      </c>
      <c r="P46" s="6">
        <v>82.3</v>
      </c>
      <c r="Q46" s="3">
        <v>998</v>
      </c>
      <c r="R46" s="3">
        <v>744</v>
      </c>
      <c r="S46" s="6" t="s">
        <v>3524</v>
      </c>
      <c r="T46" s="3">
        <v>2</v>
      </c>
      <c r="U46" t="str">
        <f>HYPERLINK(".\links\NR-LIGHT\TI_asb-78-NR-LIGHT.txt","similar to translocon-associated protein subunit alpha")</f>
        <v>similar to translocon-associated protein subunit alpha</v>
      </c>
      <c r="V46" t="str">
        <f>HYPERLINK("http://www.ncbi.nlm.nih.gov/sutils/blink.cgi?pid=91079082","1E-058")</f>
        <v>1E-058</v>
      </c>
      <c r="W46" t="str">
        <f>HYPERLINK(".\links\NR-LIGHT\TI_asb-78-NR-LIGHT.txt"," 10")</f>
        <v xml:space="preserve"> 10</v>
      </c>
      <c r="X46" t="str">
        <f>HYPERLINK("http://www.ncbi.nlm.nih.gov/protein/91079082","gi|91079082")</f>
        <v>gi|91079082</v>
      </c>
      <c r="Y46">
        <v>229</v>
      </c>
      <c r="Z46">
        <v>215</v>
      </c>
      <c r="AA46">
        <v>287</v>
      </c>
      <c r="AB46">
        <v>56</v>
      </c>
      <c r="AC46">
        <v>75</v>
      </c>
      <c r="AD46">
        <v>93</v>
      </c>
      <c r="AE46">
        <v>2</v>
      </c>
      <c r="AF46">
        <v>1</v>
      </c>
      <c r="AG46">
        <v>56</v>
      </c>
      <c r="AH46">
        <v>1</v>
      </c>
      <c r="AI46">
        <v>2</v>
      </c>
      <c r="AJ46" t="s">
        <v>53</v>
      </c>
      <c r="AK46" t="s">
        <v>54</v>
      </c>
      <c r="AL46" t="s">
        <v>79</v>
      </c>
      <c r="AM46" t="str">
        <f>HYPERLINK(".\links\SWISSP\TI_asb-78-SWISSP.txt","Translocon-associated protein subunit alpha OS=Rattus norvegicus GN=Ssr1 PE=2")</f>
        <v>Translocon-associated protein subunit alpha OS=Rattus norvegicus GN=Ssr1 PE=2</v>
      </c>
      <c r="AN46" s="19" t="str">
        <f>HYPERLINK("http://www.uniprot.org/uniprot/Q7TPJ0","3E-044")</f>
        <v>3E-044</v>
      </c>
      <c r="AO46" t="str">
        <f>HYPERLINK(".\links\SWISSP\TI_asb-78-SWISSP.txt"," 10")</f>
        <v xml:space="preserve"> 10</v>
      </c>
      <c r="AP46" t="s">
        <v>608</v>
      </c>
      <c r="AQ46">
        <v>179</v>
      </c>
      <c r="AR46">
        <v>182</v>
      </c>
      <c r="AS46">
        <v>319</v>
      </c>
      <c r="AT46">
        <v>49</v>
      </c>
      <c r="AU46">
        <v>57</v>
      </c>
      <c r="AV46">
        <v>92</v>
      </c>
      <c r="AW46">
        <v>0</v>
      </c>
      <c r="AX46">
        <v>66</v>
      </c>
      <c r="AY46">
        <v>200</v>
      </c>
      <c r="AZ46">
        <v>1</v>
      </c>
      <c r="BA46">
        <v>2</v>
      </c>
      <c r="BB46" t="s">
        <v>53</v>
      </c>
      <c r="BC46" t="s">
        <v>54</v>
      </c>
      <c r="BD46" t="s">
        <v>122</v>
      </c>
      <c r="BE46" t="s">
        <v>609</v>
      </c>
      <c r="BF46" t="s">
        <v>610</v>
      </c>
      <c r="BG46" t="str">
        <f>HYPERLINK(".\links\PREV-RHOD-PEP\TI_asb-78-PREV-RHOD-PEP.txt","Contig17383_8")</f>
        <v>Contig17383_8</v>
      </c>
      <c r="BH46" s="7">
        <v>2.0000000000000002E-86</v>
      </c>
      <c r="BI46" t="str">
        <f>HYPERLINK(".\links\PREV-RHOD-PEP\TI_asb-78-PREV-RHOD-PEP.txt"," 5")</f>
        <v xml:space="preserve"> 5</v>
      </c>
      <c r="BJ46" t="s">
        <v>611</v>
      </c>
      <c r="BK46">
        <v>315</v>
      </c>
      <c r="BL46">
        <v>198</v>
      </c>
      <c r="BM46">
        <v>271</v>
      </c>
      <c r="BN46">
        <v>81</v>
      </c>
      <c r="BO46">
        <v>73</v>
      </c>
      <c r="BP46">
        <v>37</v>
      </c>
      <c r="BQ46">
        <v>0</v>
      </c>
      <c r="BR46">
        <v>1</v>
      </c>
      <c r="BS46">
        <v>122</v>
      </c>
      <c r="BT46">
        <v>1</v>
      </c>
      <c r="BU46" t="s">
        <v>54</v>
      </c>
      <c r="BV46" t="s">
        <v>612</v>
      </c>
      <c r="BW46" t="s">
        <v>56</v>
      </c>
      <c r="BX46" t="str">
        <f>HYPERLINK(".\links\PREV-RHOD-CDS\TI_asb-78-PREV-RHOD-CDS.txt","Contig17383_8")</f>
        <v>Contig17383_8</v>
      </c>
      <c r="BY46" s="7">
        <v>1E-153</v>
      </c>
      <c r="BZ46" t="s">
        <v>611</v>
      </c>
      <c r="CA46">
        <v>541</v>
      </c>
      <c r="CB46">
        <v>556</v>
      </c>
      <c r="CC46">
        <v>816</v>
      </c>
      <c r="CD46">
        <v>87</v>
      </c>
      <c r="CE46">
        <v>68</v>
      </c>
      <c r="CF46">
        <v>71</v>
      </c>
      <c r="CG46">
        <v>0</v>
      </c>
      <c r="CH46">
        <v>1</v>
      </c>
      <c r="CI46">
        <v>122</v>
      </c>
      <c r="CJ46">
        <v>1</v>
      </c>
      <c r="CK46" t="s">
        <v>54</v>
      </c>
      <c r="CL46" t="s">
        <v>613</v>
      </c>
      <c r="CM46">
        <f>HYPERLINK(".\links\GO\TI_asb-78-GO.txt",5E-52)</f>
        <v>5E-52</v>
      </c>
      <c r="CN46" t="s">
        <v>614</v>
      </c>
      <c r="CO46" t="s">
        <v>129</v>
      </c>
      <c r="CP46" t="s">
        <v>151</v>
      </c>
      <c r="CQ46" t="s">
        <v>615</v>
      </c>
      <c r="CR46" s="6">
        <v>7.5</v>
      </c>
      <c r="CS46" t="s">
        <v>91</v>
      </c>
      <c r="CT46" t="s">
        <v>75</v>
      </c>
      <c r="CU46" t="s">
        <v>92</v>
      </c>
      <c r="CV46" t="s">
        <v>93</v>
      </c>
      <c r="CW46" s="6">
        <v>7.5</v>
      </c>
      <c r="CX46" t="s">
        <v>616</v>
      </c>
      <c r="CY46" t="s">
        <v>129</v>
      </c>
      <c r="CZ46" t="s">
        <v>151</v>
      </c>
      <c r="DA46" t="s">
        <v>617</v>
      </c>
      <c r="DB46" s="6">
        <v>7.5</v>
      </c>
      <c r="DC46" t="str">
        <f>HYPERLINK(".\links\CDD\TI_asb-78-CDD.txt","TRAP_alpha")</f>
        <v>TRAP_alpha</v>
      </c>
      <c r="DD46" t="str">
        <f>HYPERLINK("http://www.ncbi.nlm.nih.gov/Structure/cdd/cddsrv.cgi?uid=pfam03896&amp;version=v4.0","4E-066")</f>
        <v>4E-066</v>
      </c>
      <c r="DE46" t="s">
        <v>618</v>
      </c>
      <c r="DF46" t="str">
        <f>HYPERLINK(".\links\PFAM\TI_asb-78-PFAM.txt","TRAP_alpha")</f>
        <v>TRAP_alpha</v>
      </c>
      <c r="DG46" t="str">
        <f>HYPERLINK("http://pfam.sanger.ac.uk/family?acc=PF03896","1E-066")</f>
        <v>1E-066</v>
      </c>
      <c r="DH46" t="str">
        <f>HYPERLINK(".\links\PRK\TI_asb-78-PRK.txt","nuclear-egress-membrane-like protein")</f>
        <v>nuclear-egress-membrane-like protein</v>
      </c>
      <c r="DI46" s="6">
        <v>0.03</v>
      </c>
      <c r="DJ46" s="6" t="str">
        <f>HYPERLINK(".\links\KOG\TI_asb-78-KOG.txt","Translocon-associated complex TRAP, alpha subunit")</f>
        <v>Translocon-associated complex TRAP, alpha subunit</v>
      </c>
      <c r="DK46" s="6" t="str">
        <f>HYPERLINK("http://www.ncbi.nlm.nih.gov/COG/grace/shokog.cgi?KOG1631","4E-056")</f>
        <v>4E-056</v>
      </c>
      <c r="DL46" s="6" t="s">
        <v>4352</v>
      </c>
      <c r="DM46" s="6" t="str">
        <f>HYPERLINK(".\links\KOG\TI_asb-78-KOG.txt","KOG1631")</f>
        <v>KOG1631</v>
      </c>
      <c r="DN46" t="str">
        <f>HYPERLINK(".\links\SMART\TI_asb-78-SMART.txt","HSA")</f>
        <v>HSA</v>
      </c>
      <c r="DO46" t="str">
        <f>HYPERLINK("http://smart.embl-heidelberg.de/smart/do_annotation.pl?DOMAIN=HSA&amp;BLAST=DUMMY","0.053")</f>
        <v>0.053</v>
      </c>
      <c r="DP46" s="3" t="s">
        <v>56</v>
      </c>
      <c r="ED46" s="3" t="s">
        <v>56</v>
      </c>
    </row>
    <row r="47" spans="1:134">
      <c r="A47" t="str">
        <f>HYPERLINK(".\links\seq\TI_asb-80-seq.txt","TI_asb-80")</f>
        <v>TI_asb-80</v>
      </c>
      <c r="B47">
        <v>80</v>
      </c>
      <c r="C47" t="str">
        <f>HYPERLINK(".\links\tsa\TI_asb-80-tsa.txt","1")</f>
        <v>1</v>
      </c>
      <c r="D47">
        <v>1</v>
      </c>
      <c r="E47">
        <v>334</v>
      </c>
      <c r="G47" t="str">
        <f>HYPERLINK(".\links\qual\TI_asb-80-qual.txt","28")</f>
        <v>28</v>
      </c>
      <c r="H47">
        <v>1</v>
      </c>
      <c r="I47">
        <v>0</v>
      </c>
      <c r="J47">
        <f t="shared" si="2"/>
        <v>1</v>
      </c>
      <c r="K47" s="6">
        <f t="shared" si="3"/>
        <v>1</v>
      </c>
      <c r="L47" s="6" t="s">
        <v>3868</v>
      </c>
      <c r="M47" s="6" t="s">
        <v>3869</v>
      </c>
      <c r="N47" s="6"/>
      <c r="O47" s="6"/>
      <c r="P47" s="6"/>
      <c r="Q47" s="3">
        <v>334</v>
      </c>
      <c r="R47" s="3">
        <v>273</v>
      </c>
      <c r="S47" s="6" t="s">
        <v>3525</v>
      </c>
      <c r="T47" s="3">
        <v>3</v>
      </c>
      <c r="U47" t="str">
        <f>HYPERLINK(".\links\NR-LIGHT\TI_asb-80-NR-LIGHT.txt","similar to heat shock protein 70")</f>
        <v>similar to heat shock protein 70</v>
      </c>
      <c r="V47" t="str">
        <f>HYPERLINK("http://www.ncbi.nlm.nih.gov/sutils/blink.cgi?pid=156542837","5.8")</f>
        <v>5.8</v>
      </c>
      <c r="W47" t="str">
        <f>HYPERLINK(".\links\NR-LIGHT\TI_asb-80-NR-LIGHT.txt"," 4")</f>
        <v xml:space="preserve"> 4</v>
      </c>
      <c r="X47" t="str">
        <f>HYPERLINK("http://www.ncbi.nlm.nih.gov/protein/156542837","gi|156542837")</f>
        <v>gi|156542837</v>
      </c>
      <c r="Y47">
        <v>32</v>
      </c>
      <c r="Z47">
        <v>59</v>
      </c>
      <c r="AA47">
        <v>750</v>
      </c>
      <c r="AB47">
        <v>30</v>
      </c>
      <c r="AC47">
        <v>8</v>
      </c>
      <c r="AD47">
        <v>41</v>
      </c>
      <c r="AE47">
        <v>0</v>
      </c>
      <c r="AF47">
        <v>665</v>
      </c>
      <c r="AG47">
        <v>135</v>
      </c>
      <c r="AH47">
        <v>1</v>
      </c>
      <c r="AI47">
        <v>3</v>
      </c>
      <c r="AJ47" t="s">
        <v>53</v>
      </c>
      <c r="AK47" t="s">
        <v>54</v>
      </c>
      <c r="AL47" t="s">
        <v>66</v>
      </c>
      <c r="AM47" t="str">
        <f>HYPERLINK(".\links\SWISSP\TI_asb-80-SWISSP.txt","Putative pentatricopeptide repeat-containing protein At3g13770, mitochondrial")</f>
        <v>Putative pentatricopeptide repeat-containing protein At3g13770, mitochondrial</v>
      </c>
      <c r="AN47" s="19" t="str">
        <f>HYPERLINK("http://www.uniprot.org/uniprot/Q9LIC3","7.9")</f>
        <v>7.9</v>
      </c>
      <c r="AO47" t="str">
        <f>HYPERLINK(".\links\SWISSP\TI_asb-80-SWISSP.txt"," 4")</f>
        <v xml:space="preserve"> 4</v>
      </c>
      <c r="AP47" t="s">
        <v>619</v>
      </c>
      <c r="AQ47">
        <v>29.3</v>
      </c>
      <c r="AR47">
        <v>23</v>
      </c>
      <c r="AS47">
        <v>628</v>
      </c>
      <c r="AT47">
        <v>47</v>
      </c>
      <c r="AU47">
        <v>4</v>
      </c>
      <c r="AV47">
        <v>12</v>
      </c>
      <c r="AW47">
        <v>0</v>
      </c>
      <c r="AX47">
        <v>66</v>
      </c>
      <c r="AY47">
        <v>22</v>
      </c>
      <c r="AZ47">
        <v>1</v>
      </c>
      <c r="BA47">
        <v>1</v>
      </c>
      <c r="BB47" t="s">
        <v>53</v>
      </c>
      <c r="BC47" t="s">
        <v>54</v>
      </c>
      <c r="BD47" t="s">
        <v>274</v>
      </c>
      <c r="BE47" t="s">
        <v>620</v>
      </c>
      <c r="BF47" t="s">
        <v>621</v>
      </c>
      <c r="BG47" t="str">
        <f>HYPERLINK(".\links\PREV-RHOD-PEP\TI_asb-80-PREV-RHOD-PEP.txt","Contig2811_2")</f>
        <v>Contig2811_2</v>
      </c>
      <c r="BH47" s="6">
        <v>2.2000000000000002</v>
      </c>
      <c r="BI47" t="str">
        <f>HYPERLINK(".\links\PREV-RHOD-PEP\TI_asb-80-PREV-RHOD-PEP.txt"," 9")</f>
        <v xml:space="preserve"> 9</v>
      </c>
      <c r="BJ47" t="s">
        <v>622</v>
      </c>
      <c r="BK47">
        <v>27.3</v>
      </c>
      <c r="BL47">
        <v>49</v>
      </c>
      <c r="BM47">
        <v>926</v>
      </c>
      <c r="BN47">
        <v>38</v>
      </c>
      <c r="BO47">
        <v>5</v>
      </c>
      <c r="BP47">
        <v>30</v>
      </c>
      <c r="BQ47">
        <v>0</v>
      </c>
      <c r="BR47">
        <v>800</v>
      </c>
      <c r="BS47">
        <v>129</v>
      </c>
      <c r="BT47">
        <v>1</v>
      </c>
      <c r="BU47" t="s">
        <v>54</v>
      </c>
      <c r="BV47" t="s">
        <v>623</v>
      </c>
      <c r="BW47" t="s">
        <v>56</v>
      </c>
      <c r="BX47" t="str">
        <f>HYPERLINK(".\links\PREV-RHOD-CDS\TI_asb-80-PREV-RHOD-CDS.txt","Contig18066_19")</f>
        <v>Contig18066_19</v>
      </c>
      <c r="BY47" s="6">
        <v>4.1000000000000002E-2</v>
      </c>
      <c r="BZ47" t="s">
        <v>624</v>
      </c>
      <c r="CA47">
        <v>38.200000000000003</v>
      </c>
      <c r="CB47">
        <v>18</v>
      </c>
      <c r="CC47">
        <v>1173</v>
      </c>
      <c r="CD47">
        <v>100</v>
      </c>
      <c r="CE47">
        <v>2</v>
      </c>
      <c r="CF47">
        <v>0</v>
      </c>
      <c r="CG47">
        <v>0</v>
      </c>
      <c r="CH47">
        <v>473</v>
      </c>
      <c r="CI47">
        <v>316</v>
      </c>
      <c r="CJ47">
        <v>1</v>
      </c>
      <c r="CK47" t="s">
        <v>54</v>
      </c>
      <c r="CL47" t="s">
        <v>625</v>
      </c>
      <c r="CM47">
        <f>HYPERLINK(".\links\GO\TI_asb-80-GO.txt",1.9)</f>
        <v>1.9</v>
      </c>
      <c r="CN47" t="s">
        <v>626</v>
      </c>
      <c r="CO47" t="s">
        <v>185</v>
      </c>
      <c r="CP47" t="s">
        <v>186</v>
      </c>
      <c r="CQ47" t="s">
        <v>627</v>
      </c>
      <c r="CR47" s="6">
        <v>2.4</v>
      </c>
      <c r="CS47" t="s">
        <v>241</v>
      </c>
      <c r="CT47" t="s">
        <v>75</v>
      </c>
      <c r="CU47" t="s">
        <v>76</v>
      </c>
      <c r="CV47" t="s">
        <v>242</v>
      </c>
      <c r="CW47" s="6">
        <v>2.4</v>
      </c>
      <c r="CX47" t="s">
        <v>628</v>
      </c>
      <c r="CY47" t="s">
        <v>185</v>
      </c>
      <c r="CZ47" t="s">
        <v>186</v>
      </c>
      <c r="DA47" t="s">
        <v>629</v>
      </c>
      <c r="DB47" s="6">
        <v>2.4</v>
      </c>
      <c r="DC47" t="s">
        <v>56</v>
      </c>
      <c r="DD47" t="s">
        <v>56</v>
      </c>
      <c r="DE47" t="s">
        <v>56</v>
      </c>
      <c r="DF47" t="s">
        <v>56</v>
      </c>
      <c r="DG47" t="s">
        <v>56</v>
      </c>
      <c r="DH47" t="s">
        <v>56</v>
      </c>
      <c r="DI47" s="6" t="s">
        <v>56</v>
      </c>
      <c r="DJ47" s="6" t="str">
        <f>HYPERLINK(".\links\KOG\TI_asb-80-KOG.txt","Peroxisome assembly factor 2 containing the AAA+-type ATPase domain")</f>
        <v>Peroxisome assembly factor 2 containing the AAA+-type ATPase domain</v>
      </c>
      <c r="DK47" s="6" t="str">
        <f>HYPERLINK("http://www.ncbi.nlm.nih.gov/COG/grace/shokog.cgi?KOG0736","0.045")</f>
        <v>0.045</v>
      </c>
      <c r="DL47" s="6" t="s">
        <v>4340</v>
      </c>
      <c r="DM47" s="6" t="str">
        <f>HYPERLINK(".\links\KOG\TI_asb-80-KOG.txt","KOG0736")</f>
        <v>KOG0736</v>
      </c>
      <c r="DN47" t="s">
        <v>56</v>
      </c>
      <c r="DO47" t="s">
        <v>56</v>
      </c>
      <c r="DP47" s="3" t="s">
        <v>56</v>
      </c>
      <c r="ED47" s="3" t="s">
        <v>56</v>
      </c>
    </row>
    <row r="48" spans="1:134">
      <c r="A48" t="str">
        <f>HYPERLINK(".\links\seq\TI_asb-83-seq.txt","TI_asb-83")</f>
        <v>TI_asb-83</v>
      </c>
      <c r="B48">
        <v>83</v>
      </c>
      <c r="C48" t="str">
        <f>HYPERLINK(".\links\tsa\TI_asb-83-tsa.txt","1")</f>
        <v>1</v>
      </c>
      <c r="D48">
        <v>1</v>
      </c>
      <c r="E48">
        <v>494</v>
      </c>
      <c r="F48">
        <v>468</v>
      </c>
      <c r="G48" t="str">
        <f>HYPERLINK(".\links\qual\TI_asb-83-qual.txt","57")</f>
        <v>57</v>
      </c>
      <c r="H48">
        <v>1</v>
      </c>
      <c r="I48">
        <v>0</v>
      </c>
      <c r="J48">
        <f t="shared" si="2"/>
        <v>1</v>
      </c>
      <c r="K48" s="6">
        <f t="shared" si="3"/>
        <v>1</v>
      </c>
      <c r="L48" s="6" t="s">
        <v>3868</v>
      </c>
      <c r="M48" s="6" t="s">
        <v>3869</v>
      </c>
      <c r="N48" s="6"/>
      <c r="O48" s="6"/>
      <c r="P48" s="6"/>
      <c r="Q48" s="3">
        <v>494</v>
      </c>
      <c r="R48" s="3">
        <v>189</v>
      </c>
      <c r="S48" s="6" t="s">
        <v>3526</v>
      </c>
      <c r="T48" s="3">
        <v>1</v>
      </c>
      <c r="U48" t="str">
        <f>HYPERLINK(".\links\NR-LIGHT\TI_asb-83-NR-LIGHT.txt","hypothetical protein")</f>
        <v>hypothetical protein</v>
      </c>
      <c r="V48" t="str">
        <f>HYPERLINK("http://www.ncbi.nlm.nih.gov/sutils/blink.cgi?pid=71400266","1.5")</f>
        <v>1.5</v>
      </c>
      <c r="W48" t="str">
        <f>HYPERLINK(".\links\NR-LIGHT\TI_asb-83-NR-LIGHT.txt"," 10")</f>
        <v xml:space="preserve"> 10</v>
      </c>
      <c r="X48" t="str">
        <f>HYPERLINK("http://www.ncbi.nlm.nih.gov/protein/71400266","gi|71400266")</f>
        <v>gi|71400266</v>
      </c>
      <c r="Y48">
        <v>34.299999999999997</v>
      </c>
      <c r="Z48">
        <v>29</v>
      </c>
      <c r="AA48">
        <v>342</v>
      </c>
      <c r="AB48">
        <v>55</v>
      </c>
      <c r="AC48">
        <v>8</v>
      </c>
      <c r="AD48">
        <v>13</v>
      </c>
      <c r="AE48">
        <v>0</v>
      </c>
      <c r="AF48">
        <v>9</v>
      </c>
      <c r="AG48">
        <v>1</v>
      </c>
      <c r="AH48">
        <v>1</v>
      </c>
      <c r="AI48">
        <v>-3</v>
      </c>
      <c r="AJ48" t="s">
        <v>53</v>
      </c>
      <c r="AK48" t="s">
        <v>64</v>
      </c>
      <c r="AL48" t="s">
        <v>630</v>
      </c>
      <c r="AM48" t="str">
        <f>HYPERLINK(".\links\SWISSP\TI_asb-83-SWISSP.txt","Galactosyl transferase CpsE OS=Streptococcus agalactiae serotype V GN=cpsE PE=3")</f>
        <v>Galactosyl transferase CpsE OS=Streptococcus agalactiae serotype V GN=cpsE PE=3</v>
      </c>
      <c r="AN48" s="19" t="str">
        <f>HYPERLINK("http://www.uniprot.org/uniprot/Q9AFI0","1.9")</f>
        <v>1.9</v>
      </c>
      <c r="AO48" t="str">
        <f>HYPERLINK(".\links\SWISSP\TI_asb-83-SWISSP.txt"," 8")</f>
        <v xml:space="preserve"> 8</v>
      </c>
      <c r="AP48" t="s">
        <v>631</v>
      </c>
      <c r="AQ48">
        <v>32</v>
      </c>
      <c r="AR48">
        <v>43</v>
      </c>
      <c r="AS48">
        <v>449</v>
      </c>
      <c r="AT48">
        <v>41</v>
      </c>
      <c r="AU48">
        <v>10</v>
      </c>
      <c r="AV48">
        <v>25</v>
      </c>
      <c r="AW48">
        <v>0</v>
      </c>
      <c r="AX48">
        <v>63</v>
      </c>
      <c r="AY48">
        <v>13</v>
      </c>
      <c r="AZ48">
        <v>1</v>
      </c>
      <c r="BA48">
        <v>-3</v>
      </c>
      <c r="BB48" t="s">
        <v>53</v>
      </c>
      <c r="BC48" t="s">
        <v>64</v>
      </c>
      <c r="BD48" t="s">
        <v>632</v>
      </c>
      <c r="BE48" t="s">
        <v>633</v>
      </c>
      <c r="BF48" t="s">
        <v>634</v>
      </c>
      <c r="BG48" t="str">
        <f>HYPERLINK(".\links\PREV-RHOD-PEP\TI_asb-83-PREV-RHOD-PEP.txt","Contig2586_5")</f>
        <v>Contig2586_5</v>
      </c>
      <c r="BH48" s="6">
        <v>0.01</v>
      </c>
      <c r="BI48" t="str">
        <f>HYPERLINK(".\links\PREV-RHOD-PEP\TI_asb-83-PREV-RHOD-PEP.txt"," 10")</f>
        <v xml:space="preserve"> 10</v>
      </c>
      <c r="BJ48" t="s">
        <v>635</v>
      </c>
      <c r="BK48">
        <v>35.799999999999997</v>
      </c>
      <c r="BL48">
        <v>31</v>
      </c>
      <c r="BM48">
        <v>214</v>
      </c>
      <c r="BN48">
        <v>48</v>
      </c>
      <c r="BO48">
        <v>14</v>
      </c>
      <c r="BP48">
        <v>16</v>
      </c>
      <c r="BQ48">
        <v>0</v>
      </c>
      <c r="BR48">
        <v>29</v>
      </c>
      <c r="BS48">
        <v>260</v>
      </c>
      <c r="BT48">
        <v>1</v>
      </c>
      <c r="BU48" t="s">
        <v>64</v>
      </c>
      <c r="BV48" t="s">
        <v>636</v>
      </c>
      <c r="BW48" t="s">
        <v>56</v>
      </c>
      <c r="BX48" t="str">
        <f>HYPERLINK(".\links\PREV-RHOD-CDS\TI_asb-83-PREV-RHOD-CDS.txt","Contig17900_146")</f>
        <v>Contig17900_146</v>
      </c>
      <c r="BY48" s="7">
        <v>3.9999999999999998E-6</v>
      </c>
      <c r="BZ48" t="s">
        <v>637</v>
      </c>
      <c r="CA48">
        <v>52</v>
      </c>
      <c r="CB48">
        <v>25</v>
      </c>
      <c r="CC48">
        <v>186</v>
      </c>
      <c r="CD48">
        <v>100</v>
      </c>
      <c r="CE48">
        <v>14</v>
      </c>
      <c r="CF48">
        <v>0</v>
      </c>
      <c r="CG48">
        <v>0</v>
      </c>
      <c r="CH48">
        <v>126</v>
      </c>
      <c r="CI48">
        <v>312</v>
      </c>
      <c r="CJ48">
        <v>1</v>
      </c>
      <c r="CK48" t="s">
        <v>64</v>
      </c>
      <c r="CL48" t="s">
        <v>638</v>
      </c>
      <c r="CM48">
        <f>HYPERLINK(".\links\GO\TI_asb-83-GO.txt",0.15)</f>
        <v>0.15</v>
      </c>
      <c r="CN48" t="s">
        <v>639</v>
      </c>
      <c r="CO48" t="s">
        <v>129</v>
      </c>
      <c r="CP48" t="s">
        <v>151</v>
      </c>
      <c r="CQ48" t="s">
        <v>640</v>
      </c>
      <c r="CR48" s="6">
        <v>1.7</v>
      </c>
      <c r="CS48" t="s">
        <v>641</v>
      </c>
      <c r="CT48" t="s">
        <v>75</v>
      </c>
      <c r="CU48" t="s">
        <v>76</v>
      </c>
      <c r="CV48" t="s">
        <v>642</v>
      </c>
      <c r="CW48" s="6">
        <v>1.7</v>
      </c>
      <c r="CX48" t="s">
        <v>501</v>
      </c>
      <c r="CY48" t="s">
        <v>129</v>
      </c>
      <c r="CZ48" t="s">
        <v>151</v>
      </c>
      <c r="DA48" t="s">
        <v>502</v>
      </c>
      <c r="DB48" s="6">
        <v>1.7</v>
      </c>
      <c r="DC48" t="s">
        <v>56</v>
      </c>
      <c r="DD48" t="s">
        <v>56</v>
      </c>
      <c r="DE48" t="s">
        <v>56</v>
      </c>
      <c r="DF48" t="str">
        <f>HYPERLINK(".\links\PFAM\TI_asb-83-PFAM.txt","7TM_GPCR_Srz")</f>
        <v>7TM_GPCR_Srz</v>
      </c>
      <c r="DG48" t="str">
        <f>HYPERLINK("http://pfam.sanger.ac.uk/family?acc=PF10325","4E-004")</f>
        <v>4E-004</v>
      </c>
      <c r="DH48" t="str">
        <f>HYPERLINK(".\links\PRK\TI_asb-83-PRK.txt","NADH dehydrogenase subunit 5")</f>
        <v>NADH dehydrogenase subunit 5</v>
      </c>
      <c r="DI48" s="6">
        <v>1E-3</v>
      </c>
      <c r="DJ48" s="6" t="s">
        <v>56</v>
      </c>
      <c r="DN48" t="str">
        <f>HYPERLINK(".\links\SMART\TI_asb-83-SMART.txt","PSN")</f>
        <v>PSN</v>
      </c>
      <c r="DO48" t="str">
        <f>HYPERLINK("http://smart.embl-heidelberg.de/smart/do_annotation.pl?DOMAIN=PSN&amp;BLAST=DUMMY","0.016")</f>
        <v>0.016</v>
      </c>
      <c r="DP48" s="3" t="s">
        <v>56</v>
      </c>
      <c r="ED48" s="3" t="s">
        <v>56</v>
      </c>
    </row>
    <row r="49" spans="1:147">
      <c r="A49" t="str">
        <f>HYPERLINK(".\links\seq\TI_asb-84-seq.txt","TI_asb-84")</f>
        <v>TI_asb-84</v>
      </c>
      <c r="B49">
        <v>84</v>
      </c>
      <c r="C49" t="str">
        <f>HYPERLINK(".\links\tsa\TI_asb-84-tsa.txt","4")</f>
        <v>4</v>
      </c>
      <c r="D49">
        <v>4</v>
      </c>
      <c r="E49">
        <v>784</v>
      </c>
      <c r="G49" t="str">
        <f>HYPERLINK(".\links\qual\TI_asb-84-qual.txt","78")</f>
        <v>78</v>
      </c>
      <c r="H49">
        <v>0</v>
      </c>
      <c r="I49">
        <v>4</v>
      </c>
      <c r="J49">
        <f t="shared" si="2"/>
        <v>4</v>
      </c>
      <c r="K49" s="6">
        <f t="shared" si="3"/>
        <v>-4</v>
      </c>
      <c r="L49" s="6" t="s">
        <v>3868</v>
      </c>
      <c r="M49" s="6" t="s">
        <v>3869</v>
      </c>
      <c r="N49" s="6"/>
      <c r="O49" s="6"/>
      <c r="P49" s="6"/>
      <c r="Q49" s="3">
        <v>784</v>
      </c>
      <c r="R49" s="3">
        <v>555</v>
      </c>
      <c r="S49" s="3" t="s">
        <v>3527</v>
      </c>
      <c r="T49" s="3">
        <v>3</v>
      </c>
      <c r="U49" t="str">
        <f>HYPERLINK(".\links\NR-LIGHT\TI_asb-84-NR-LIGHT.txt","conserved Plasmodium protein, unknown function")</f>
        <v>conserved Plasmodium protein, unknown function</v>
      </c>
      <c r="V49" t="str">
        <f>HYPERLINK("http://www.ncbi.nlm.nih.gov/sutils/blink.cgi?pid=124511844","1E-004")</f>
        <v>1E-004</v>
      </c>
      <c r="W49" t="str">
        <f>HYPERLINK(".\links\NR-LIGHT\TI_asb-84-NR-LIGHT.txt"," 10")</f>
        <v xml:space="preserve"> 10</v>
      </c>
      <c r="X49" t="str">
        <f>HYPERLINK("http://www.ncbi.nlm.nih.gov/protein/124511844","gi|124511844")</f>
        <v>gi|124511844</v>
      </c>
      <c r="Y49">
        <v>49.3</v>
      </c>
      <c r="Z49">
        <v>106</v>
      </c>
      <c r="AA49">
        <v>2206</v>
      </c>
      <c r="AB49">
        <v>28</v>
      </c>
      <c r="AC49">
        <v>5</v>
      </c>
      <c r="AD49">
        <v>76</v>
      </c>
      <c r="AE49">
        <v>0</v>
      </c>
      <c r="AF49">
        <v>632</v>
      </c>
      <c r="AG49">
        <v>255</v>
      </c>
      <c r="AH49">
        <v>1</v>
      </c>
      <c r="AI49">
        <v>3</v>
      </c>
      <c r="AJ49" t="s">
        <v>53</v>
      </c>
      <c r="AK49" t="s">
        <v>54</v>
      </c>
      <c r="AL49" t="s">
        <v>294</v>
      </c>
      <c r="AM49" t="str">
        <f>HYPERLINK(".\links\SWISSP\TI_asb-84-SWISSP.txt","Myosin-G heavy chain OS=Dictyostelium discoideum GN=myoG PE=3 SV=1")</f>
        <v>Myosin-G heavy chain OS=Dictyostelium discoideum GN=myoG PE=3 SV=1</v>
      </c>
      <c r="AN49" s="19" t="str">
        <f>HYPERLINK("http://www.uniprot.org/uniprot/Q86AC8","0.051")</f>
        <v>0.051</v>
      </c>
      <c r="AO49" t="str">
        <f>HYPERLINK(".\links\SWISSP\TI_asb-84-SWISSP.txt"," 10")</f>
        <v xml:space="preserve"> 10</v>
      </c>
      <c r="AP49" t="s">
        <v>643</v>
      </c>
      <c r="AQ49">
        <v>38.5</v>
      </c>
      <c r="AR49">
        <v>164</v>
      </c>
      <c r="AS49">
        <v>3446</v>
      </c>
      <c r="AT49">
        <v>20</v>
      </c>
      <c r="AU49">
        <v>5</v>
      </c>
      <c r="AV49">
        <v>131</v>
      </c>
      <c r="AW49">
        <v>4</v>
      </c>
      <c r="AX49">
        <v>1547</v>
      </c>
      <c r="AY49">
        <v>279</v>
      </c>
      <c r="AZ49">
        <v>1</v>
      </c>
      <c r="BA49">
        <v>3</v>
      </c>
      <c r="BB49" t="s">
        <v>53</v>
      </c>
      <c r="BC49" t="s">
        <v>54</v>
      </c>
      <c r="BD49" t="s">
        <v>386</v>
      </c>
      <c r="BE49" t="s">
        <v>644</v>
      </c>
      <c r="BF49" t="s">
        <v>645</v>
      </c>
      <c r="BG49" t="str">
        <f>HYPERLINK(".\links\PREV-RHOD-PEP\TI_asb-84-PREV-RHOD-PEP.txt","Contig17527_16")</f>
        <v>Contig17527_16</v>
      </c>
      <c r="BH49" s="7">
        <v>5.0000000000000002E-54</v>
      </c>
      <c r="BI49" t="str">
        <f>HYPERLINK(".\links\PREV-RHOD-PEP\TI_asb-84-PREV-RHOD-PEP.txt"," 10")</f>
        <v xml:space="preserve"> 10</v>
      </c>
      <c r="BJ49" t="s">
        <v>646</v>
      </c>
      <c r="BK49">
        <v>207</v>
      </c>
      <c r="BL49">
        <v>186</v>
      </c>
      <c r="BM49">
        <v>500</v>
      </c>
      <c r="BN49">
        <v>61</v>
      </c>
      <c r="BO49">
        <v>37</v>
      </c>
      <c r="BP49">
        <v>71</v>
      </c>
      <c r="BQ49">
        <v>3</v>
      </c>
      <c r="BR49">
        <v>1</v>
      </c>
      <c r="BS49">
        <v>234</v>
      </c>
      <c r="BT49">
        <v>1</v>
      </c>
      <c r="BU49" t="s">
        <v>54</v>
      </c>
      <c r="BV49" t="s">
        <v>647</v>
      </c>
      <c r="BW49" t="s">
        <v>56</v>
      </c>
      <c r="BX49" t="str">
        <f>HYPERLINK(".\links\PREV-RHOD-CDS\TI_asb-84-PREV-RHOD-CDS.txt","Contig17527_16")</f>
        <v>Contig17527_16</v>
      </c>
      <c r="BY49" s="7">
        <v>2E-12</v>
      </c>
      <c r="BZ49" t="s">
        <v>646</v>
      </c>
      <c r="CA49">
        <v>73.8</v>
      </c>
      <c r="CB49">
        <v>528</v>
      </c>
      <c r="CC49">
        <v>1503</v>
      </c>
      <c r="CD49">
        <v>81</v>
      </c>
      <c r="CE49">
        <v>35</v>
      </c>
      <c r="CF49">
        <v>28</v>
      </c>
      <c r="CG49">
        <v>0</v>
      </c>
      <c r="CH49">
        <v>1</v>
      </c>
      <c r="CI49">
        <v>234</v>
      </c>
      <c r="CJ49">
        <v>3</v>
      </c>
      <c r="CK49" t="s">
        <v>54</v>
      </c>
      <c r="CL49" t="s">
        <v>648</v>
      </c>
      <c r="CM49">
        <f>HYPERLINK(".\links\GO\TI_asb-84-GO.txt",0.015)</f>
        <v>1.4999999999999999E-2</v>
      </c>
      <c r="CN49" t="s">
        <v>337</v>
      </c>
      <c r="CO49" t="s">
        <v>185</v>
      </c>
      <c r="CP49" t="s">
        <v>338</v>
      </c>
      <c r="CQ49" t="s">
        <v>339</v>
      </c>
      <c r="CR49" s="6">
        <v>1.4999999999999999E-2</v>
      </c>
      <c r="CS49" t="s">
        <v>649</v>
      </c>
      <c r="CT49" t="s">
        <v>75</v>
      </c>
      <c r="CU49" t="s">
        <v>76</v>
      </c>
      <c r="CV49" t="s">
        <v>650</v>
      </c>
      <c r="CW49" s="6">
        <v>1.4999999999999999E-2</v>
      </c>
      <c r="CX49" t="s">
        <v>651</v>
      </c>
      <c r="CY49" t="s">
        <v>185</v>
      </c>
      <c r="CZ49" t="s">
        <v>338</v>
      </c>
      <c r="DA49" t="s">
        <v>652</v>
      </c>
      <c r="DB49" s="6">
        <v>1.4999999999999999E-2</v>
      </c>
      <c r="DC49" t="s">
        <v>56</v>
      </c>
      <c r="DD49" t="s">
        <v>56</v>
      </c>
      <c r="DE49" t="s">
        <v>56</v>
      </c>
      <c r="DF49" t="s">
        <v>56</v>
      </c>
      <c r="DG49" t="s">
        <v>56</v>
      </c>
      <c r="DH49" t="s">
        <v>56</v>
      </c>
      <c r="DI49" s="6" t="s">
        <v>56</v>
      </c>
      <c r="DJ49" s="6" t="str">
        <f>HYPERLINK(".\links\KOG\TI_asb-84-KOG.txt","MAPKKK (MAP kinase kinase kinase) SSK2 and related serine/threonine protein kinases")</f>
        <v>MAPKKK (MAP kinase kinase kinase) SSK2 and related serine/threonine protein kinases</v>
      </c>
      <c r="DK49" s="6" t="str">
        <f>HYPERLINK("http://www.ncbi.nlm.nih.gov/COG/grace/shokog.cgi?KOG4645","0.007")</f>
        <v>0.007</v>
      </c>
      <c r="DL49" s="6" t="s">
        <v>4342</v>
      </c>
      <c r="DM49" s="6" t="str">
        <f>HYPERLINK(".\links\KOG\TI_asb-84-KOG.txt","KOG4645")</f>
        <v>KOG4645</v>
      </c>
      <c r="DN49" t="str">
        <f>HYPERLINK(".\links\SMART\TI_asb-84-SMART.txt","AgrB")</f>
        <v>AgrB</v>
      </c>
      <c r="DO49" t="str">
        <f>HYPERLINK("http://smart.embl-heidelberg.de/smart/do_annotation.pl?DOMAIN=AgrB&amp;BLAST=DUMMY","0.036")</f>
        <v>0.036</v>
      </c>
      <c r="DP49" s="3" t="s">
        <v>56</v>
      </c>
      <c r="ED49" s="3" t="s">
        <v>56</v>
      </c>
    </row>
    <row r="50" spans="1:147">
      <c r="A50" t="str">
        <f>HYPERLINK(".\links\seq\TI_asb-85-seq.txt","TI_asb-85")</f>
        <v>TI_asb-85</v>
      </c>
      <c r="B50">
        <v>85</v>
      </c>
      <c r="C50" t="str">
        <f>HYPERLINK(".\links\tsa\TI_asb-85-tsa.txt","1")</f>
        <v>1</v>
      </c>
      <c r="D50">
        <v>1</v>
      </c>
      <c r="E50">
        <v>642</v>
      </c>
      <c r="G50" t="str">
        <f>HYPERLINK(".\links\qual\TI_asb-85-qual.txt","52")</f>
        <v>52</v>
      </c>
      <c r="H50">
        <v>1</v>
      </c>
      <c r="I50">
        <v>0</v>
      </c>
      <c r="J50">
        <f t="shared" si="2"/>
        <v>1</v>
      </c>
      <c r="K50" s="6">
        <f t="shared" si="3"/>
        <v>1</v>
      </c>
      <c r="L50" s="6" t="s">
        <v>3868</v>
      </c>
      <c r="M50" s="6" t="s">
        <v>3869</v>
      </c>
      <c r="N50" s="6"/>
      <c r="O50" s="6"/>
      <c r="P50" s="6"/>
      <c r="Q50" s="3">
        <v>642</v>
      </c>
      <c r="R50" s="3">
        <v>297</v>
      </c>
      <c r="S50" s="5" t="s">
        <v>3528</v>
      </c>
      <c r="T50" s="3">
        <v>4</v>
      </c>
      <c r="U50" t="str">
        <f>HYPERLINK(".\links\NR-LIGHT\TI_asb-85-NR-LIGHT.txt","hypothetical protein TcasGA2_TC005990")</f>
        <v>hypothetical protein TcasGA2_TC005990</v>
      </c>
      <c r="V50" t="str">
        <f>HYPERLINK("http://www.ncbi.nlm.nih.gov/sutils/blink.cgi?pid=270011899","2E-006")</f>
        <v>2E-006</v>
      </c>
      <c r="W50" t="str">
        <f>HYPERLINK(".\links\NR-LIGHT\TI_asb-85-NR-LIGHT.txt"," 10")</f>
        <v xml:space="preserve"> 10</v>
      </c>
      <c r="X50" t="str">
        <f>HYPERLINK("http://www.ncbi.nlm.nih.gov/protein/270011899","gi|270011899")</f>
        <v>gi|270011899</v>
      </c>
      <c r="Y50">
        <v>55.1</v>
      </c>
      <c r="Z50">
        <v>48</v>
      </c>
      <c r="AA50">
        <v>230</v>
      </c>
      <c r="AB50">
        <v>56</v>
      </c>
      <c r="AC50">
        <v>21</v>
      </c>
      <c r="AD50">
        <v>21</v>
      </c>
      <c r="AE50">
        <v>0</v>
      </c>
      <c r="AF50">
        <v>180</v>
      </c>
      <c r="AG50">
        <v>2</v>
      </c>
      <c r="AH50">
        <v>1</v>
      </c>
      <c r="AI50">
        <v>2</v>
      </c>
      <c r="AJ50" t="s">
        <v>53</v>
      </c>
      <c r="AK50" t="s">
        <v>54</v>
      </c>
      <c r="AL50" t="s">
        <v>79</v>
      </c>
      <c r="AM50" t="str">
        <f>HYPERLINK(".\links\SWISSP\TI_asb-85-SWISSP.txt","Protein transport protein Sec31A OS=Mus musculus GN=Sec31a PE=1 SV=2")</f>
        <v>Protein transport protein Sec31A OS=Mus musculus GN=Sec31a PE=1 SV=2</v>
      </c>
      <c r="AN50" s="19" t="str">
        <f>HYPERLINK("http://www.uniprot.org/uniprot/Q3UPL0","1.5")</f>
        <v>1.5</v>
      </c>
      <c r="AO50" t="str">
        <f>HYPERLINK(".\links\SWISSP\TI_asb-85-SWISSP.txt"," 10")</f>
        <v xml:space="preserve"> 10</v>
      </c>
      <c r="AP50" t="s">
        <v>653</v>
      </c>
      <c r="AQ50">
        <v>33.1</v>
      </c>
      <c r="AR50">
        <v>48</v>
      </c>
      <c r="AS50">
        <v>1230</v>
      </c>
      <c r="AT50">
        <v>31</v>
      </c>
      <c r="AU50">
        <v>4</v>
      </c>
      <c r="AV50">
        <v>33</v>
      </c>
      <c r="AW50">
        <v>0</v>
      </c>
      <c r="AX50">
        <v>1183</v>
      </c>
      <c r="AY50">
        <v>2</v>
      </c>
      <c r="AZ50">
        <v>1</v>
      </c>
      <c r="BA50">
        <v>2</v>
      </c>
      <c r="BB50" t="s">
        <v>53</v>
      </c>
      <c r="BC50" t="s">
        <v>54</v>
      </c>
      <c r="BD50" t="s">
        <v>214</v>
      </c>
      <c r="BE50" t="s">
        <v>654</v>
      </c>
      <c r="BF50" t="s">
        <v>655</v>
      </c>
      <c r="BG50" t="str">
        <f>HYPERLINK(".\links\PREV-RHOD-PEP\TI_asb-85-PREV-RHOD-PEP.txt","Contig17909_35")</f>
        <v>Contig17909_35</v>
      </c>
      <c r="BH50" s="7">
        <v>3E-10</v>
      </c>
      <c r="BI50" t="str">
        <f>HYPERLINK(".\links\PREV-RHOD-PEP\TI_asb-85-PREV-RHOD-PEP.txt"," 5")</f>
        <v xml:space="preserve"> 5</v>
      </c>
      <c r="BJ50" t="s">
        <v>656</v>
      </c>
      <c r="BK50">
        <v>61.2</v>
      </c>
      <c r="BL50">
        <v>35</v>
      </c>
      <c r="BM50">
        <v>679</v>
      </c>
      <c r="BN50">
        <v>82</v>
      </c>
      <c r="BO50">
        <v>5</v>
      </c>
      <c r="BP50">
        <v>6</v>
      </c>
      <c r="BQ50">
        <v>0</v>
      </c>
      <c r="BR50">
        <v>608</v>
      </c>
      <c r="BS50">
        <v>2</v>
      </c>
      <c r="BT50">
        <v>1</v>
      </c>
      <c r="BU50" t="s">
        <v>54</v>
      </c>
      <c r="BV50" t="s">
        <v>657</v>
      </c>
      <c r="BW50" t="s">
        <v>56</v>
      </c>
      <c r="BX50" t="str">
        <f>HYPERLINK(".\links\PREV-RHOD-CDS\TI_asb-85-PREV-RHOD-CDS.txt","Contig17909_35")</f>
        <v>Contig17909_35</v>
      </c>
      <c r="BY50" s="7">
        <v>3.9999999999999999E-19</v>
      </c>
      <c r="BZ50" t="s">
        <v>656</v>
      </c>
      <c r="CA50">
        <v>95.6</v>
      </c>
      <c r="CB50">
        <v>103</v>
      </c>
      <c r="CC50">
        <v>2040</v>
      </c>
      <c r="CD50">
        <v>86</v>
      </c>
      <c r="CE50">
        <v>5</v>
      </c>
      <c r="CF50">
        <v>14</v>
      </c>
      <c r="CG50">
        <v>0</v>
      </c>
      <c r="CH50">
        <v>1822</v>
      </c>
      <c r="CI50">
        <v>2</v>
      </c>
      <c r="CJ50">
        <v>1</v>
      </c>
      <c r="CK50" t="s">
        <v>54</v>
      </c>
      <c r="CL50" t="s">
        <v>658</v>
      </c>
      <c r="CM50">
        <f>HYPERLINK(".\links\GO\TI_asb-85-GO.txt",0.00002)</f>
        <v>2.0000000000000002E-5</v>
      </c>
      <c r="CN50" t="s">
        <v>659</v>
      </c>
      <c r="CO50" t="s">
        <v>185</v>
      </c>
      <c r="CP50" t="s">
        <v>186</v>
      </c>
      <c r="CQ50" t="s">
        <v>660</v>
      </c>
      <c r="CR50" s="6">
        <v>0.98</v>
      </c>
      <c r="CS50" t="s">
        <v>74</v>
      </c>
      <c r="CT50" t="s">
        <v>75</v>
      </c>
      <c r="CU50" t="s">
        <v>76</v>
      </c>
      <c r="CV50" t="s">
        <v>77</v>
      </c>
      <c r="CW50" s="6">
        <v>0.98</v>
      </c>
      <c r="CX50" t="s">
        <v>661</v>
      </c>
      <c r="CY50" t="s">
        <v>185</v>
      </c>
      <c r="CZ50" t="s">
        <v>186</v>
      </c>
      <c r="DA50" t="s">
        <v>662</v>
      </c>
      <c r="DB50" s="6">
        <v>0.98</v>
      </c>
      <c r="DC50" t="str">
        <f>HYPERLINK(".\links\CDD\TI_asb-85-CDD.txt","MYSc_type_II")</f>
        <v>MYSc_type_II</v>
      </c>
      <c r="DD50" t="str">
        <f>HYPERLINK("http://www.ncbi.nlm.nih.gov/Structure/cdd/cddsrv.cgi?uid=cd01377&amp;version=v4.0","0.007")</f>
        <v>0.007</v>
      </c>
      <c r="DE50" t="s">
        <v>663</v>
      </c>
      <c r="DF50" t="str">
        <f>HYPERLINK(".\links\PFAM\TI_asb-85-PFAM.txt","AgrB")</f>
        <v>AgrB</v>
      </c>
      <c r="DG50" t="str">
        <f>HYPERLINK("http://pfam.sanger.ac.uk/family?acc=PF04647","0.003")</f>
        <v>0.003</v>
      </c>
      <c r="DH50" t="str">
        <f>HYPERLINK(".\links\PRK\TI_asb-85-PRK.txt","NADH dehydrogenase subunit 2")</f>
        <v>NADH dehydrogenase subunit 2</v>
      </c>
      <c r="DI50" s="6">
        <v>3.0000000000000001E-3</v>
      </c>
      <c r="DJ50" s="6" t="str">
        <f>HYPERLINK(".\links\KOG\TI_asb-85-KOG.txt","Vesicle coat complex COPII, subunit SEC31")</f>
        <v>Vesicle coat complex COPII, subunit SEC31</v>
      </c>
      <c r="DK50" s="6" t="str">
        <f>HYPERLINK("http://www.ncbi.nlm.nih.gov/COG/grace/shokog.cgi?KOG0307","4E-005")</f>
        <v>4E-005</v>
      </c>
      <c r="DL50" s="6" t="s">
        <v>4352</v>
      </c>
      <c r="DM50" s="6" t="str">
        <f>HYPERLINK(".\links\KOG\TI_asb-85-KOG.txt","KOG0307")</f>
        <v>KOG0307</v>
      </c>
      <c r="DN50" t="str">
        <f>HYPERLINK(".\links\SMART\TI_asb-85-SMART.txt","MYSc")</f>
        <v>MYSc</v>
      </c>
      <c r="DO50" t="str">
        <f>HYPERLINK("http://smart.embl-heidelberg.de/smart/do_annotation.pl?DOMAIN=MYSc&amp;BLAST=DUMMY","0.009")</f>
        <v>0.009</v>
      </c>
      <c r="DP50" s="3" t="s">
        <v>56</v>
      </c>
      <c r="ED50" s="3" t="s">
        <v>56</v>
      </c>
    </row>
    <row r="51" spans="1:147">
      <c r="A51" t="str">
        <f>HYPERLINK(".\links\seq\TI_asb-86-seq.txt","TI_asb-86")</f>
        <v>TI_asb-86</v>
      </c>
      <c r="B51">
        <v>86</v>
      </c>
      <c r="C51" t="str">
        <f>HYPERLINK(".\links\tsa\TI_asb-86-tsa.txt","1")</f>
        <v>1</v>
      </c>
      <c r="D51">
        <v>1</v>
      </c>
      <c r="E51">
        <v>782</v>
      </c>
      <c r="F51">
        <v>764</v>
      </c>
      <c r="G51" t="str">
        <f>HYPERLINK(".\links\qual\TI_asb-86-qual.txt","39")</f>
        <v>39</v>
      </c>
      <c r="H51">
        <v>1</v>
      </c>
      <c r="I51">
        <v>0</v>
      </c>
      <c r="J51">
        <f t="shared" si="2"/>
        <v>1</v>
      </c>
      <c r="K51" s="6">
        <f t="shared" si="3"/>
        <v>1</v>
      </c>
      <c r="L51" s="6" t="s">
        <v>3868</v>
      </c>
      <c r="M51" s="6" t="s">
        <v>3869</v>
      </c>
      <c r="N51" s="6"/>
      <c r="O51" s="6"/>
      <c r="P51" s="6"/>
      <c r="Q51" s="3">
        <v>782</v>
      </c>
      <c r="R51" s="3">
        <v>765</v>
      </c>
      <c r="S51" s="6" t="s">
        <v>3529</v>
      </c>
      <c r="T51" s="3">
        <v>1</v>
      </c>
      <c r="U51" t="str">
        <f>HYPERLINK(".\links\NR-LIGHT\TI_asb-86-NR-LIGHT.txt","hypothetical protein")</f>
        <v>hypothetical protein</v>
      </c>
      <c r="V51" t="str">
        <f>HYPERLINK("http://www.ncbi.nlm.nih.gov/sutils/blink.cgi?pid=156549214","6E-006")</f>
        <v>6E-006</v>
      </c>
      <c r="W51" t="str">
        <f>HYPERLINK(".\links\NR-LIGHT\TI_asb-86-NR-LIGHT.txt"," 10")</f>
        <v xml:space="preserve"> 10</v>
      </c>
      <c r="X51" t="str">
        <f>HYPERLINK("http://www.ncbi.nlm.nih.gov/protein/156549214","gi|156549214")</f>
        <v>gi|156549214</v>
      </c>
      <c r="Y51">
        <v>45.4</v>
      </c>
      <c r="Z51">
        <v>118</v>
      </c>
      <c r="AA51">
        <v>144</v>
      </c>
      <c r="AB51">
        <v>31</v>
      </c>
      <c r="AC51">
        <v>82</v>
      </c>
      <c r="AD51">
        <v>81</v>
      </c>
      <c r="AE51">
        <v>7</v>
      </c>
      <c r="AF51">
        <v>21</v>
      </c>
      <c r="AG51">
        <v>295</v>
      </c>
      <c r="AH51">
        <v>2</v>
      </c>
      <c r="AI51">
        <v>1</v>
      </c>
      <c r="AJ51" t="s">
        <v>65</v>
      </c>
      <c r="AK51" t="s">
        <v>54</v>
      </c>
      <c r="AL51" t="s">
        <v>66</v>
      </c>
      <c r="AM51" t="str">
        <f>HYPERLINK(".\links\SWISSP\TI_asb-86-SWISSP.txt","Microtubule-associated protein Jupiter OS=Drosophila melanogaster GN=Jupiter")</f>
        <v>Microtubule-associated protein Jupiter OS=Drosophila melanogaster GN=Jupiter</v>
      </c>
      <c r="AN51" s="19" t="str">
        <f>HYPERLINK("http://www.uniprot.org/uniprot/Q9I7K0","6E-005")</f>
        <v>6E-005</v>
      </c>
      <c r="AO51" t="str">
        <f>HYPERLINK(".\links\SWISSP\TI_asb-86-SWISSP.txt"," 10")</f>
        <v xml:space="preserve"> 10</v>
      </c>
      <c r="AP51" t="s">
        <v>664</v>
      </c>
      <c r="AQ51">
        <v>48.1</v>
      </c>
      <c r="AR51">
        <v>51</v>
      </c>
      <c r="AS51">
        <v>208</v>
      </c>
      <c r="AT51">
        <v>45</v>
      </c>
      <c r="AU51">
        <v>25</v>
      </c>
      <c r="AV51">
        <v>28</v>
      </c>
      <c r="AW51">
        <v>0</v>
      </c>
      <c r="AX51">
        <v>21</v>
      </c>
      <c r="AY51">
        <v>295</v>
      </c>
      <c r="AZ51">
        <v>1</v>
      </c>
      <c r="BA51">
        <v>1</v>
      </c>
      <c r="BB51" t="s">
        <v>53</v>
      </c>
      <c r="BC51" t="s">
        <v>54</v>
      </c>
      <c r="BD51" t="s">
        <v>143</v>
      </c>
      <c r="BE51" t="s">
        <v>665</v>
      </c>
      <c r="BF51" t="s">
        <v>666</v>
      </c>
      <c r="BG51" t="str">
        <f>HYPERLINK(".\links\PREV-RHOD-PEP\TI_asb-86-PREV-RHOD-PEP.txt","Contig17848_93")</f>
        <v>Contig17848_93</v>
      </c>
      <c r="BH51" s="7">
        <v>3.0000000000000001E-26</v>
      </c>
      <c r="BI51" t="str">
        <f>HYPERLINK(".\links\PREV-RHOD-PEP\TI_asb-86-PREV-RHOD-PEP.txt"," 10")</f>
        <v xml:space="preserve"> 10</v>
      </c>
      <c r="BJ51" t="s">
        <v>667</v>
      </c>
      <c r="BK51">
        <v>107</v>
      </c>
      <c r="BL51">
        <v>157</v>
      </c>
      <c r="BM51">
        <v>178</v>
      </c>
      <c r="BN51">
        <v>44</v>
      </c>
      <c r="BO51">
        <v>88</v>
      </c>
      <c r="BP51">
        <v>87</v>
      </c>
      <c r="BQ51">
        <v>50</v>
      </c>
      <c r="BR51">
        <v>8</v>
      </c>
      <c r="BS51">
        <v>298</v>
      </c>
      <c r="BT51">
        <v>2</v>
      </c>
      <c r="BU51" t="s">
        <v>54</v>
      </c>
      <c r="BV51" t="s">
        <v>668</v>
      </c>
      <c r="BW51" t="s">
        <v>669</v>
      </c>
      <c r="BX51" t="str">
        <f>HYPERLINK(".\links\PREV-RHOD-CDS\TI_asb-86-PREV-RHOD-CDS.txt","Contig17848_93")</f>
        <v>Contig17848_93</v>
      </c>
      <c r="BY51" s="7">
        <v>4.9999999999999999E-13</v>
      </c>
      <c r="BZ51" t="s">
        <v>667</v>
      </c>
      <c r="CA51">
        <v>75.8</v>
      </c>
      <c r="CB51">
        <v>304</v>
      </c>
      <c r="CC51">
        <v>537</v>
      </c>
      <c r="CD51">
        <v>100</v>
      </c>
      <c r="CE51">
        <v>57</v>
      </c>
      <c r="CF51">
        <v>0</v>
      </c>
      <c r="CG51">
        <v>0</v>
      </c>
      <c r="CH51">
        <v>106</v>
      </c>
      <c r="CI51">
        <v>379</v>
      </c>
      <c r="CJ51">
        <v>2</v>
      </c>
      <c r="CK51" t="s">
        <v>54</v>
      </c>
      <c r="CL51" t="s">
        <v>670</v>
      </c>
      <c r="CM51">
        <f>HYPERLINK(".\links\GO\TI_asb-86-GO.txt",0.001)</f>
        <v>1E-3</v>
      </c>
      <c r="CN51" t="s">
        <v>58</v>
      </c>
      <c r="CO51" t="s">
        <v>58</v>
      </c>
      <c r="CQ51" t="s">
        <v>59</v>
      </c>
      <c r="CR51" s="6">
        <v>1E-3</v>
      </c>
      <c r="CS51" t="s">
        <v>60</v>
      </c>
      <c r="CT51" t="s">
        <v>60</v>
      </c>
      <c r="CV51" t="s">
        <v>61</v>
      </c>
      <c r="CW51" s="6">
        <v>1E-3</v>
      </c>
      <c r="CX51" t="s">
        <v>62</v>
      </c>
      <c r="CY51" t="s">
        <v>58</v>
      </c>
      <c r="DA51" t="s">
        <v>63</v>
      </c>
      <c r="DB51" s="6">
        <v>1E-3</v>
      </c>
      <c r="DC51" t="s">
        <v>56</v>
      </c>
      <c r="DD51" t="s">
        <v>56</v>
      </c>
      <c r="DE51" t="s">
        <v>56</v>
      </c>
      <c r="DF51" t="s">
        <v>56</v>
      </c>
      <c r="DG51" t="s">
        <v>56</v>
      </c>
      <c r="DH51" t="str">
        <f>HYPERLINK(".\links\PRK\TI_asb-86-PRK.txt","NAD kinase.")</f>
        <v>NAD kinase.</v>
      </c>
      <c r="DI51" s="6">
        <v>1.2999999999999999E-2</v>
      </c>
      <c r="DJ51" s="6" t="str">
        <f>HYPERLINK(".\links\KOG\TI_asb-86-KOG.txt","Predicted E3 ubiquitin ligase")</f>
        <v>Predicted E3 ubiquitin ligase</v>
      </c>
      <c r="DK51" s="6" t="str">
        <f>HYPERLINK("http://www.ncbi.nlm.nih.gov/COG/grace/shokog.cgi?KOG0801","0.088")</f>
        <v>0.088</v>
      </c>
      <c r="DL51" s="6" t="s">
        <v>4340</v>
      </c>
      <c r="DM51" s="6" t="str">
        <f>HYPERLINK(".\links\KOG\TI_asb-86-KOG.txt","KOG0801")</f>
        <v>KOG0801</v>
      </c>
      <c r="DN51" t="s">
        <v>56</v>
      </c>
      <c r="DO51" t="s">
        <v>56</v>
      </c>
      <c r="DP51" s="3" t="s">
        <v>56</v>
      </c>
      <c r="ED51" s="3" t="s">
        <v>56</v>
      </c>
    </row>
    <row r="52" spans="1:147">
      <c r="A52" t="str">
        <f>HYPERLINK(".\links\seq\TI_asb-89-seq.txt","TI_asb-89")</f>
        <v>TI_asb-89</v>
      </c>
      <c r="B52">
        <v>89</v>
      </c>
      <c r="C52" t="str">
        <f>HYPERLINK(".\links\tsa\TI_asb-89-tsa.txt","4")</f>
        <v>4</v>
      </c>
      <c r="D52">
        <v>4</v>
      </c>
      <c r="E52">
        <v>805</v>
      </c>
      <c r="F52">
        <v>771</v>
      </c>
      <c r="G52" t="str">
        <f>HYPERLINK(".\links\qual\TI_asb-89-qual.txt","91")</f>
        <v>91</v>
      </c>
      <c r="H52">
        <v>1</v>
      </c>
      <c r="I52">
        <v>3</v>
      </c>
      <c r="J52">
        <f t="shared" si="2"/>
        <v>2</v>
      </c>
      <c r="K52" s="6">
        <f t="shared" si="3"/>
        <v>-2</v>
      </c>
      <c r="L52" s="6" t="s">
        <v>4127</v>
      </c>
      <c r="M52" s="6" t="s">
        <v>3904</v>
      </c>
      <c r="N52" s="6" t="str">
        <f>HYPERLINK(".\links\KOG\TI_asb-89-KOG.txt","KOG")</f>
        <v>KOG</v>
      </c>
      <c r="O52" s="6">
        <v>0</v>
      </c>
      <c r="P52" s="6">
        <v>96.9</v>
      </c>
      <c r="Q52" s="3">
        <v>805</v>
      </c>
      <c r="R52" s="3">
        <v>279</v>
      </c>
      <c r="S52" s="6" t="s">
        <v>3530</v>
      </c>
      <c r="T52" s="3">
        <v>1</v>
      </c>
      <c r="U52" t="str">
        <f>HYPERLINK(".\links\NR-LIGHT\TI_asb-89-NR-LIGHT.txt","cytochrome c oxidase subunit III")</f>
        <v>cytochrome c oxidase subunit III</v>
      </c>
      <c r="V52" t="str">
        <f>HYPERLINK("http://www.ncbi.nlm.nih.gov/sutils/blink.cgi?pid=11182465","3E-096")</f>
        <v>3E-096</v>
      </c>
      <c r="W52" t="str">
        <f>HYPERLINK(".\links\NR-LIGHT\TI_asb-89-NR-LIGHT.txt"," 10")</f>
        <v xml:space="preserve"> 10</v>
      </c>
      <c r="X52" t="str">
        <f>HYPERLINK("http://www.ncbi.nlm.nih.gov/protein/11182465","gi|11182465")</f>
        <v>gi|11182465</v>
      </c>
      <c r="Y52">
        <v>353</v>
      </c>
      <c r="Z52">
        <v>253</v>
      </c>
      <c r="AA52">
        <v>261</v>
      </c>
      <c r="AB52">
        <v>71</v>
      </c>
      <c r="AC52">
        <v>97</v>
      </c>
      <c r="AD52">
        <v>73</v>
      </c>
      <c r="AE52">
        <v>0</v>
      </c>
      <c r="AF52">
        <v>5</v>
      </c>
      <c r="AG52">
        <v>1</v>
      </c>
      <c r="AH52">
        <v>1</v>
      </c>
      <c r="AI52">
        <v>1</v>
      </c>
      <c r="AJ52" t="s">
        <v>53</v>
      </c>
      <c r="AK52" t="s">
        <v>54</v>
      </c>
      <c r="AL52" t="s">
        <v>672</v>
      </c>
      <c r="AM52" t="str">
        <f>HYPERLINK(".\links\SWISSP\TI_asb-89-SWISSP.txt","Cytochrome c oxidase subunit 3 OS=Drosophila yakuba GN=mt:CoIII PE=3 SV=1")</f>
        <v>Cytochrome c oxidase subunit 3 OS=Drosophila yakuba GN=mt:CoIII PE=3 SV=1</v>
      </c>
      <c r="AN52" s="19" t="str">
        <f>HYPERLINK("http://www.uniprot.org/uniprot/P00418","5E-078")</f>
        <v>5E-078</v>
      </c>
      <c r="AO52" t="str">
        <f>HYPERLINK(".\links\SWISSP\TI_asb-89-SWISSP.txt"," 10")</f>
        <v xml:space="preserve"> 10</v>
      </c>
      <c r="AP52" t="s">
        <v>673</v>
      </c>
      <c r="AQ52">
        <v>291</v>
      </c>
      <c r="AR52">
        <v>253</v>
      </c>
      <c r="AS52">
        <v>262</v>
      </c>
      <c r="AT52">
        <v>57</v>
      </c>
      <c r="AU52">
        <v>97</v>
      </c>
      <c r="AV52">
        <v>108</v>
      </c>
      <c r="AW52">
        <v>0</v>
      </c>
      <c r="AX52">
        <v>6</v>
      </c>
      <c r="AY52">
        <v>1</v>
      </c>
      <c r="AZ52">
        <v>1</v>
      </c>
      <c r="BA52">
        <v>1</v>
      </c>
      <c r="BB52" t="s">
        <v>53</v>
      </c>
      <c r="BC52" t="s">
        <v>54</v>
      </c>
      <c r="BD52" t="s">
        <v>674</v>
      </c>
      <c r="BE52" t="s">
        <v>675</v>
      </c>
      <c r="BF52" t="s">
        <v>676</v>
      </c>
      <c r="BG52" t="str">
        <f>HYPERLINK(".\links\PREV-RHOD-PEP\TI_asb-89-PREV-RHOD-PEP.txt","Contig8234_1")</f>
        <v>Contig8234_1</v>
      </c>
      <c r="BH52" s="7">
        <v>4.0000000000000002E-4</v>
      </c>
      <c r="BI52" t="str">
        <f>HYPERLINK(".\links\PREV-RHOD-PEP\TI_asb-89-PREV-RHOD-PEP.txt"," 10")</f>
        <v xml:space="preserve"> 10</v>
      </c>
      <c r="BJ52" t="s">
        <v>677</v>
      </c>
      <c r="BK52">
        <v>41.6</v>
      </c>
      <c r="BL52">
        <v>21</v>
      </c>
      <c r="BM52">
        <v>21</v>
      </c>
      <c r="BN52">
        <v>80</v>
      </c>
      <c r="BO52">
        <v>100</v>
      </c>
      <c r="BP52">
        <v>4</v>
      </c>
      <c r="BQ52">
        <v>0</v>
      </c>
      <c r="BR52">
        <v>1</v>
      </c>
      <c r="BS52">
        <v>45</v>
      </c>
      <c r="BT52">
        <v>1</v>
      </c>
      <c r="BU52" t="s">
        <v>64</v>
      </c>
      <c r="BV52" t="s">
        <v>678</v>
      </c>
      <c r="BW52" t="s">
        <v>679</v>
      </c>
      <c r="BX52" t="str">
        <f>HYPERLINK(".\links\PREV-RHOD-CDS\TI_asb-89-PREV-RHOD-CDS.txt","Contig8226_1")</f>
        <v>Contig8226_1</v>
      </c>
      <c r="BY52" s="7">
        <v>8.0000000000000006E-18</v>
      </c>
      <c r="BZ52" t="s">
        <v>680</v>
      </c>
      <c r="CA52">
        <v>91.7</v>
      </c>
      <c r="CB52">
        <v>137</v>
      </c>
      <c r="CC52">
        <v>138</v>
      </c>
      <c r="CD52">
        <v>83</v>
      </c>
      <c r="CE52">
        <v>100</v>
      </c>
      <c r="CF52">
        <v>23</v>
      </c>
      <c r="CG52">
        <v>0</v>
      </c>
      <c r="CH52">
        <v>1</v>
      </c>
      <c r="CI52">
        <v>587</v>
      </c>
      <c r="CJ52">
        <v>2</v>
      </c>
      <c r="CK52" t="s">
        <v>54</v>
      </c>
      <c r="CL52" t="s">
        <v>681</v>
      </c>
      <c r="CM52">
        <f>HYPERLINK(".\links\GO\TI_asb-89-GO.txt",1E-78)</f>
        <v>1E-78</v>
      </c>
      <c r="CN52" t="s">
        <v>58</v>
      </c>
      <c r="CO52" t="s">
        <v>58</v>
      </c>
      <c r="CQ52" t="s">
        <v>59</v>
      </c>
      <c r="CR52" s="7">
        <v>1.9999999999999998E-65</v>
      </c>
      <c r="CS52" t="s">
        <v>60</v>
      </c>
      <c r="CT52" t="s">
        <v>60</v>
      </c>
      <c r="CV52" t="s">
        <v>61</v>
      </c>
      <c r="CW52" s="7">
        <v>1.9999999999999998E-65</v>
      </c>
      <c r="CX52" t="s">
        <v>62</v>
      </c>
      <c r="CY52" t="s">
        <v>58</v>
      </c>
      <c r="DA52" t="s">
        <v>63</v>
      </c>
      <c r="DB52" s="7">
        <v>1.9999999999999998E-65</v>
      </c>
      <c r="DC52" t="str">
        <f>HYPERLINK(".\links\CDD\TI_asb-89-CDD.txt","COX3")</f>
        <v>COX3</v>
      </c>
      <c r="DD52" t="str">
        <f>HYPERLINK("http://www.ncbi.nlm.nih.gov/Structure/cdd/cddsrv.cgi?uid=pfam00510&amp;version=v4.0","1E-109")</f>
        <v>1E-109</v>
      </c>
      <c r="DE52" t="s">
        <v>682</v>
      </c>
      <c r="DF52" t="str">
        <f>HYPERLINK(".\links\PFAM\TI_asb-89-PFAM.txt","COX3")</f>
        <v>COX3</v>
      </c>
      <c r="DG52" t="str">
        <f>HYPERLINK("http://pfam.sanger.ac.uk/family?acc=PF00510","1E-118")</f>
        <v>1E-118</v>
      </c>
      <c r="DH52" t="str">
        <f>HYPERLINK(".\links\PRK\TI_asb-89-PRK.txt","cytochrome c oxidase subunit III")</f>
        <v>cytochrome c oxidase subunit III</v>
      </c>
      <c r="DI52" s="7">
        <v>1E-142</v>
      </c>
      <c r="DJ52" s="6" t="str">
        <f>HYPERLINK(".\links\KOG\TI_asb-89-KOG.txt","Cytochrome oxidase subunit III and related proteins")</f>
        <v>Cytochrome oxidase subunit III and related proteins</v>
      </c>
      <c r="DK52" s="6" t="str">
        <f>HYPERLINK("http://www.ncbi.nlm.nih.gov/COG/grace/shokog.cgi?KOG4664","1E-100")</f>
        <v>1E-100</v>
      </c>
      <c r="DL52" s="6" t="s">
        <v>4349</v>
      </c>
      <c r="DM52" s="6" t="str">
        <f>HYPERLINK(".\links\KOG\TI_asb-89-KOG.txt","KOG4664")</f>
        <v>KOG4664</v>
      </c>
      <c r="DN52" t="str">
        <f>HYPERLINK(".\links\SMART\TI_asb-89-SMART.txt","PP2C_SIG")</f>
        <v>PP2C_SIG</v>
      </c>
      <c r="DO52" t="str">
        <f>HYPERLINK("http://smart.embl-heidelberg.de/smart/do_annotation.pl?DOMAIN=PP2C_SIG&amp;BLAST=DUMMY","0.076")</f>
        <v>0.076</v>
      </c>
      <c r="DP52" s="3" t="s">
        <v>56</v>
      </c>
      <c r="ED52" s="3" t="str">
        <f>HYPERLINK(".\links\MIT-PLA\TI_asb-89-MIT-PLA.txt","Triatoma dimidiata mitochondrial DNA, complete genome")</f>
        <v>Triatoma dimidiata mitochondrial DNA, complete genome</v>
      </c>
      <c r="EE52" s="3" t="str">
        <f>HYPERLINK("http://www.ncbi.nlm.nih.gov/entrez/viewer.fcgi?db=nucleotide&amp;val=11139100","1E-166")</f>
        <v>1E-166</v>
      </c>
      <c r="EF52" s="3" t="str">
        <f>HYPERLINK("http://www.ncbi.nlm.nih.gov/entrez/viewer.fcgi?db=nucleotide&amp;val=11139100","gi|11139100")</f>
        <v>gi|11139100</v>
      </c>
      <c r="EG52" s="3">
        <v>583</v>
      </c>
      <c r="EH52" s="3">
        <v>769</v>
      </c>
      <c r="EI52" s="3">
        <v>17019</v>
      </c>
      <c r="EJ52" s="3">
        <v>84</v>
      </c>
      <c r="EK52" s="3">
        <v>5</v>
      </c>
      <c r="EL52" s="3">
        <v>119</v>
      </c>
      <c r="EM52" s="3">
        <v>0</v>
      </c>
      <c r="EN52" s="3">
        <v>4636</v>
      </c>
      <c r="EO52" s="3">
        <v>1</v>
      </c>
      <c r="EP52" s="3">
        <v>1</v>
      </c>
      <c r="EQ52" s="3" t="s">
        <v>54</v>
      </c>
    </row>
    <row r="53" spans="1:147">
      <c r="A53" t="str">
        <f>HYPERLINK(".\links\seq\TI_asb-90-seq.txt","TI_asb-90")</f>
        <v>TI_asb-90</v>
      </c>
      <c r="B53">
        <v>90</v>
      </c>
      <c r="C53" t="str">
        <f>HYPERLINK(".\links\tsa\TI_asb-90-tsa.txt","2")</f>
        <v>2</v>
      </c>
      <c r="D53">
        <v>2</v>
      </c>
      <c r="E53">
        <v>681</v>
      </c>
      <c r="G53" t="str">
        <f>HYPERLINK(".\links\qual\TI_asb-90-qual.txt","72")</f>
        <v>72</v>
      </c>
      <c r="H53">
        <v>2</v>
      </c>
      <c r="I53">
        <v>0</v>
      </c>
      <c r="J53">
        <f t="shared" si="2"/>
        <v>2</v>
      </c>
      <c r="K53" s="6">
        <f t="shared" si="3"/>
        <v>2</v>
      </c>
      <c r="L53" s="6" t="s">
        <v>3924</v>
      </c>
      <c r="M53" s="6" t="s">
        <v>3912</v>
      </c>
      <c r="N53" s="6" t="s">
        <v>3893</v>
      </c>
      <c r="O53" s="6">
        <v>2.0000000000000001E-10</v>
      </c>
      <c r="P53" s="6">
        <v>8.6</v>
      </c>
      <c r="Q53" s="3">
        <v>681</v>
      </c>
      <c r="R53" s="3">
        <v>675</v>
      </c>
      <c r="S53" s="3" t="s">
        <v>3531</v>
      </c>
      <c r="T53" s="3">
        <v>3</v>
      </c>
      <c r="U53" t="str">
        <f>HYPERLINK(".\links\NR-LIGHT\TI_asb-90-NR-LIGHT.txt","CG31195")</f>
        <v>CG31195</v>
      </c>
      <c r="V53" t="str">
        <f>HYPERLINK("http://www.ncbi.nlm.nih.gov/sutils/blink.cgi?pid=281362159","1E-101")</f>
        <v>1E-101</v>
      </c>
      <c r="W53" t="str">
        <f>HYPERLINK(".\links\NR-LIGHT\TI_asb-90-NR-LIGHT.txt"," 10")</f>
        <v xml:space="preserve"> 10</v>
      </c>
      <c r="X53" t="str">
        <f>HYPERLINK("http://www.ncbi.nlm.nih.gov/protein/281362159","gi|281362159")</f>
        <v>gi|281362159</v>
      </c>
      <c r="Y53">
        <v>370</v>
      </c>
      <c r="Z53">
        <v>220</v>
      </c>
      <c r="AA53">
        <v>807</v>
      </c>
      <c r="AB53">
        <v>75</v>
      </c>
      <c r="AC53">
        <v>27</v>
      </c>
      <c r="AD53">
        <v>53</v>
      </c>
      <c r="AE53">
        <v>1</v>
      </c>
      <c r="AF53">
        <v>210</v>
      </c>
      <c r="AG53">
        <v>3</v>
      </c>
      <c r="AH53">
        <v>2</v>
      </c>
      <c r="AI53">
        <v>3</v>
      </c>
      <c r="AJ53" t="s">
        <v>53</v>
      </c>
      <c r="AK53" t="s">
        <v>54</v>
      </c>
      <c r="AL53" t="s">
        <v>143</v>
      </c>
      <c r="AM53" t="str">
        <f>HYPERLINK(".\links\SWISSP\TI_asb-90-SWISSP.txt","Probable G-protein coupled receptor 158 OS=Mus musculus GN=Gpr158 PE=1 SV=2")</f>
        <v>Probable G-protein coupled receptor 158 OS=Mus musculus GN=Gpr158 PE=1 SV=2</v>
      </c>
      <c r="AN53" s="19" t="str">
        <f>HYPERLINK("http://www.uniprot.org/uniprot/Q8C419","2E-010")</f>
        <v>2E-010</v>
      </c>
      <c r="AO53" t="str">
        <f>HYPERLINK(".\links\SWISSP\TI_asb-90-SWISSP.txt"," 10")</f>
        <v xml:space="preserve"> 10</v>
      </c>
      <c r="AP53" t="s">
        <v>683</v>
      </c>
      <c r="AQ53">
        <v>65.900000000000006</v>
      </c>
      <c r="AR53">
        <v>104</v>
      </c>
      <c r="AS53">
        <v>1200</v>
      </c>
      <c r="AT53">
        <v>34</v>
      </c>
      <c r="AU53">
        <v>9</v>
      </c>
      <c r="AV53">
        <v>68</v>
      </c>
      <c r="AW53">
        <v>5</v>
      </c>
      <c r="AX53">
        <v>265</v>
      </c>
      <c r="AY53">
        <v>237</v>
      </c>
      <c r="AZ53">
        <v>1</v>
      </c>
      <c r="BA53">
        <v>3</v>
      </c>
      <c r="BB53" t="s">
        <v>53</v>
      </c>
      <c r="BC53" t="s">
        <v>54</v>
      </c>
      <c r="BD53" t="s">
        <v>214</v>
      </c>
      <c r="BE53" t="s">
        <v>684</v>
      </c>
      <c r="BF53" t="s">
        <v>685</v>
      </c>
      <c r="BG53" t="str">
        <f>HYPERLINK(".\links\PREV-RHOD-PEP\TI_asb-90-PREV-RHOD-PEP.txt","Contig17898_11")</f>
        <v>Contig17898_11</v>
      </c>
      <c r="BH53" s="7">
        <v>1.9999999999999999E-60</v>
      </c>
      <c r="BI53" t="str">
        <f>HYPERLINK(".\links\PREV-RHOD-PEP\TI_asb-90-PREV-RHOD-PEP.txt"," 10")</f>
        <v xml:space="preserve"> 10</v>
      </c>
      <c r="BJ53" t="s">
        <v>686</v>
      </c>
      <c r="BK53">
        <v>228</v>
      </c>
      <c r="BL53">
        <v>119</v>
      </c>
      <c r="BM53">
        <v>812</v>
      </c>
      <c r="BN53">
        <v>89</v>
      </c>
      <c r="BO53">
        <v>15</v>
      </c>
      <c r="BP53">
        <v>12</v>
      </c>
      <c r="BQ53">
        <v>0</v>
      </c>
      <c r="BR53">
        <v>268</v>
      </c>
      <c r="BS53">
        <v>3</v>
      </c>
      <c r="BT53">
        <v>3</v>
      </c>
      <c r="BU53" t="s">
        <v>54</v>
      </c>
      <c r="BV53" t="s">
        <v>687</v>
      </c>
      <c r="BW53" t="s">
        <v>56</v>
      </c>
      <c r="BX53" t="str">
        <f>HYPERLINK(".\links\PREV-RHOD-CDS\TI_asb-90-PREV-RHOD-CDS.txt","Contig17898_11")</f>
        <v>Contig17898_11</v>
      </c>
      <c r="BY53" s="7">
        <v>9.9999999999999993E-130</v>
      </c>
      <c r="BZ53" t="s">
        <v>686</v>
      </c>
      <c r="CA53">
        <v>460</v>
      </c>
      <c r="CB53">
        <v>319</v>
      </c>
      <c r="CC53">
        <v>2439</v>
      </c>
      <c r="CD53">
        <v>93</v>
      </c>
      <c r="CE53">
        <v>13</v>
      </c>
      <c r="CF53">
        <v>22</v>
      </c>
      <c r="CG53">
        <v>0</v>
      </c>
      <c r="CH53">
        <v>1990</v>
      </c>
      <c r="CI53">
        <v>348</v>
      </c>
      <c r="CJ53">
        <v>1</v>
      </c>
      <c r="CK53" t="s">
        <v>54</v>
      </c>
      <c r="CL53" t="s">
        <v>688</v>
      </c>
      <c r="CM53">
        <f>HYPERLINK(".\links\GO\TI_asb-90-GO.txt",0)</f>
        <v>0</v>
      </c>
      <c r="CN53" t="s">
        <v>58</v>
      </c>
      <c r="CO53" t="s">
        <v>58</v>
      </c>
      <c r="CQ53" t="s">
        <v>59</v>
      </c>
      <c r="CR53" s="7">
        <v>9.9999999999999993E-103</v>
      </c>
      <c r="CS53" t="s">
        <v>60</v>
      </c>
      <c r="CT53" t="s">
        <v>60</v>
      </c>
      <c r="CV53" t="s">
        <v>61</v>
      </c>
      <c r="CW53" s="7">
        <v>9.9999999999999993E-103</v>
      </c>
      <c r="CX53" t="s">
        <v>62</v>
      </c>
      <c r="CY53" t="s">
        <v>58</v>
      </c>
      <c r="DA53" t="s">
        <v>63</v>
      </c>
      <c r="DB53" s="7">
        <v>9.9999999999999993E-103</v>
      </c>
      <c r="DC53" t="str">
        <f>HYPERLINK(".\links\CDD\TI_asb-90-CDD.txt","COG3581")</f>
        <v>COG3581</v>
      </c>
      <c r="DD53" t="str">
        <f>HYPERLINK("http://www.ncbi.nlm.nih.gov/Structure/cdd/cddsrv.cgi?uid=COG3581&amp;version=v4.0","0.008")</f>
        <v>0.008</v>
      </c>
      <c r="DE53" t="s">
        <v>689</v>
      </c>
      <c r="DF53" t="str">
        <f>HYPERLINK(".\links\PFAM\TI_asb-90-PFAM.txt","EGF_CA")</f>
        <v>EGF_CA</v>
      </c>
      <c r="DG53" t="str">
        <f>HYPERLINK("http://pfam.sanger.ac.uk/family?acc=PF07645","0.004")</f>
        <v>0.004</v>
      </c>
      <c r="DH53" t="s">
        <v>56</v>
      </c>
      <c r="DI53" s="6" t="s">
        <v>56</v>
      </c>
      <c r="DJ53" s="6" t="str">
        <f>HYPERLINK(".\links\KOG\TI_asb-90-KOG.txt","Tam3-transposase (Ac family)")</f>
        <v>Tam3-transposase (Ac family)</v>
      </c>
      <c r="DK53" s="6" t="str">
        <f>HYPERLINK("http://www.ncbi.nlm.nih.gov/COG/grace/shokog.cgi?KOG1121","0.086")</f>
        <v>0.086</v>
      </c>
      <c r="DL53" s="6" t="s">
        <v>4355</v>
      </c>
      <c r="DM53" s="6" t="str">
        <f>HYPERLINK(".\links\KOG\TI_asb-90-KOG.txt","KOG1121")</f>
        <v>KOG1121</v>
      </c>
      <c r="DN53" t="str">
        <f>HYPERLINK(".\links\SMART\TI_asb-90-SMART.txt","EGF_CA")</f>
        <v>EGF_CA</v>
      </c>
      <c r="DO53" t="str">
        <f>HYPERLINK("http://smart.embl-heidelberg.de/smart/do_annotation.pl?DOMAIN=EGF_CA&amp;BLAST=DUMMY","6E-004")</f>
        <v>6E-004</v>
      </c>
      <c r="DP53" s="3" t="s">
        <v>56</v>
      </c>
      <c r="ED53" s="3" t="s">
        <v>56</v>
      </c>
    </row>
    <row r="54" spans="1:147">
      <c r="A54" t="str">
        <f>HYPERLINK(".\links\seq\TI_asb-91-seq.txt","TI_asb-91")</f>
        <v>TI_asb-91</v>
      </c>
      <c r="B54">
        <v>91</v>
      </c>
      <c r="C54" t="str">
        <f>HYPERLINK(".\links\tsa\TI_asb-91-tsa.txt","1")</f>
        <v>1</v>
      </c>
      <c r="D54">
        <v>1</v>
      </c>
      <c r="E54">
        <v>438</v>
      </c>
      <c r="F54">
        <v>404</v>
      </c>
      <c r="G54" t="str">
        <f>HYPERLINK(".\links\qual\TI_asb-91-qual.txt","46")</f>
        <v>46</v>
      </c>
      <c r="H54">
        <v>1</v>
      </c>
      <c r="I54">
        <v>0</v>
      </c>
      <c r="J54">
        <f t="shared" si="2"/>
        <v>1</v>
      </c>
      <c r="K54" s="6">
        <f t="shared" si="3"/>
        <v>1</v>
      </c>
      <c r="L54" s="6" t="s">
        <v>3925</v>
      </c>
      <c r="M54" s="6" t="s">
        <v>3886</v>
      </c>
      <c r="N54" s="6" t="s">
        <v>3864</v>
      </c>
      <c r="O54" s="7">
        <v>2.0000000000000002E-31</v>
      </c>
      <c r="P54" s="6">
        <v>3</v>
      </c>
      <c r="Q54" s="3">
        <v>438</v>
      </c>
      <c r="R54" s="3">
        <v>396</v>
      </c>
      <c r="S54" s="3" t="s">
        <v>3532</v>
      </c>
      <c r="T54" s="3">
        <v>1</v>
      </c>
      <c r="U54" t="str">
        <f>HYPERLINK(".\links\NR-LIGHT\TI_asb-91-NR-LIGHT.txt","hypothetical protein TcasGA2_TC012551")</f>
        <v>hypothetical protein TcasGA2_TC012551</v>
      </c>
      <c r="V54" t="str">
        <f>HYPERLINK("http://www.ncbi.nlm.nih.gov/sutils/blink.cgi?pid=270013885","2E-031")</f>
        <v>2E-031</v>
      </c>
      <c r="W54" t="str">
        <f>HYPERLINK(".\links\NR-LIGHT\TI_asb-91-NR-LIGHT.txt"," 10")</f>
        <v xml:space="preserve"> 10</v>
      </c>
      <c r="X54" t="str">
        <f>HYPERLINK("http://www.ncbi.nlm.nih.gov/protein/270013885","gi|270013885")</f>
        <v>gi|270013885</v>
      </c>
      <c r="Y54">
        <v>136</v>
      </c>
      <c r="Z54">
        <v>119</v>
      </c>
      <c r="AA54">
        <v>3944</v>
      </c>
      <c r="AB54">
        <v>48</v>
      </c>
      <c r="AC54">
        <v>3</v>
      </c>
      <c r="AD54">
        <v>61</v>
      </c>
      <c r="AE54">
        <v>0</v>
      </c>
      <c r="AF54">
        <v>1916</v>
      </c>
      <c r="AG54">
        <v>46</v>
      </c>
      <c r="AH54">
        <v>4</v>
      </c>
      <c r="AI54">
        <v>1</v>
      </c>
      <c r="AJ54" t="s">
        <v>53</v>
      </c>
      <c r="AK54" t="s">
        <v>54</v>
      </c>
      <c r="AL54" t="s">
        <v>79</v>
      </c>
      <c r="AM54" t="str">
        <f>HYPERLINK(".\links\SWISSP\TI_asb-91-SWISSP.txt","Hemocytin OS=Bombyx mori PE=2 SV=1")</f>
        <v>Hemocytin OS=Bombyx mori PE=2 SV=1</v>
      </c>
      <c r="AN54" s="19" t="str">
        <f>HYPERLINK("http://www.uniprot.org/uniprot/P98092","9E-018")</f>
        <v>9E-018</v>
      </c>
      <c r="AO54" t="str">
        <f>HYPERLINK(".\links\SWISSP\TI_asb-91-SWISSP.txt"," 10")</f>
        <v xml:space="preserve"> 10</v>
      </c>
      <c r="AP54" t="s">
        <v>690</v>
      </c>
      <c r="AQ54">
        <v>89</v>
      </c>
      <c r="AR54">
        <v>119</v>
      </c>
      <c r="AS54">
        <v>3133</v>
      </c>
      <c r="AT54">
        <v>36</v>
      </c>
      <c r="AU54">
        <v>4</v>
      </c>
      <c r="AV54">
        <v>76</v>
      </c>
      <c r="AW54">
        <v>5</v>
      </c>
      <c r="AX54">
        <v>2284</v>
      </c>
      <c r="AY54">
        <v>52</v>
      </c>
      <c r="AZ54">
        <v>1</v>
      </c>
      <c r="BA54">
        <v>1</v>
      </c>
      <c r="BB54" t="s">
        <v>53</v>
      </c>
      <c r="BC54" t="s">
        <v>54</v>
      </c>
      <c r="BD54" t="s">
        <v>279</v>
      </c>
      <c r="BE54" t="s">
        <v>691</v>
      </c>
      <c r="BF54" t="s">
        <v>692</v>
      </c>
      <c r="BG54" t="str">
        <f>HYPERLINK(".\links\PREV-RHOD-PEP\TI_asb-91-PREV-RHOD-PEP.txt","Contig17685_3")</f>
        <v>Contig17685_3</v>
      </c>
      <c r="BH54" s="7">
        <v>9.9999999999999993E-41</v>
      </c>
      <c r="BI54" t="str">
        <f>HYPERLINK(".\links\PREV-RHOD-PEP\TI_asb-91-PREV-RHOD-PEP.txt"," 10")</f>
        <v xml:space="preserve"> 10</v>
      </c>
      <c r="BJ54" t="s">
        <v>693</v>
      </c>
      <c r="BK54">
        <v>161</v>
      </c>
      <c r="BL54">
        <v>124</v>
      </c>
      <c r="BM54">
        <v>3236</v>
      </c>
      <c r="BN54">
        <v>62</v>
      </c>
      <c r="BO54">
        <v>4</v>
      </c>
      <c r="BP54">
        <v>46</v>
      </c>
      <c r="BQ54">
        <v>6</v>
      </c>
      <c r="BR54">
        <v>377</v>
      </c>
      <c r="BS54">
        <v>43</v>
      </c>
      <c r="BT54">
        <v>7</v>
      </c>
      <c r="BU54" t="s">
        <v>54</v>
      </c>
      <c r="BV54" t="s">
        <v>694</v>
      </c>
      <c r="BW54" t="s">
        <v>56</v>
      </c>
      <c r="BX54" t="str">
        <f>HYPERLINK(".\links\PREV-RHOD-CDS\TI_asb-91-PREV-RHOD-CDS.txt","Contig17685_3")</f>
        <v>Contig17685_3</v>
      </c>
      <c r="BY54" s="7">
        <v>4E-52</v>
      </c>
      <c r="BZ54" t="s">
        <v>693</v>
      </c>
      <c r="CA54">
        <v>204</v>
      </c>
      <c r="CB54">
        <v>174</v>
      </c>
      <c r="CC54">
        <v>9711</v>
      </c>
      <c r="CD54">
        <v>89</v>
      </c>
      <c r="CE54">
        <v>2</v>
      </c>
      <c r="CF54">
        <v>18</v>
      </c>
      <c r="CG54">
        <v>0</v>
      </c>
      <c r="CH54">
        <v>8434</v>
      </c>
      <c r="CI54">
        <v>82</v>
      </c>
      <c r="CJ54">
        <v>1</v>
      </c>
      <c r="CK54" t="s">
        <v>54</v>
      </c>
      <c r="CL54" t="s">
        <v>695</v>
      </c>
      <c r="CM54">
        <f>HYPERLINK(".\links\GO\TI_asb-91-GO.txt",0.0000000000000000002)</f>
        <v>2E-19</v>
      </c>
      <c r="CN54" t="s">
        <v>696</v>
      </c>
      <c r="CO54" t="s">
        <v>185</v>
      </c>
      <c r="CP54" t="s">
        <v>697</v>
      </c>
      <c r="CQ54" t="s">
        <v>698</v>
      </c>
      <c r="CR54" s="7">
        <v>2E-19</v>
      </c>
      <c r="CS54" t="s">
        <v>540</v>
      </c>
      <c r="CT54" t="s">
        <v>540</v>
      </c>
      <c r="CV54" t="s">
        <v>541</v>
      </c>
      <c r="CW54" s="7">
        <v>2E-19</v>
      </c>
      <c r="CX54" t="s">
        <v>699</v>
      </c>
      <c r="CY54" t="s">
        <v>185</v>
      </c>
      <c r="CZ54" t="s">
        <v>697</v>
      </c>
      <c r="DA54" t="s">
        <v>700</v>
      </c>
      <c r="DB54" s="7">
        <v>2E-19</v>
      </c>
      <c r="DC54" t="str">
        <f>HYPERLINK(".\links\CDD\TI_asb-91-CDD.txt","VWC")</f>
        <v>VWC</v>
      </c>
      <c r="DD54" t="str">
        <f>HYPERLINK("http://www.ncbi.nlm.nih.gov/Structure/cdd/cddsrv.cgi?uid=pfam00093&amp;version=v4.0","7E-008")</f>
        <v>7E-008</v>
      </c>
      <c r="DE54" t="s">
        <v>701</v>
      </c>
      <c r="DF54" t="str">
        <f>HYPERLINK(".\links\PFAM\TI_asb-91-PFAM.txt","VWC")</f>
        <v>VWC</v>
      </c>
      <c r="DG54" t="str">
        <f>HYPERLINK("http://pfam.sanger.ac.uk/family?acc=PF00093","8E-009")</f>
        <v>8E-009</v>
      </c>
      <c r="DH54" t="str">
        <f>HYPERLINK(".\links\PRK\TI_asb-91-PRK.txt","transport protein TonB")</f>
        <v>transport protein TonB</v>
      </c>
      <c r="DI54" s="6">
        <v>4.2999999999999997E-2</v>
      </c>
      <c r="DJ54" s="6" t="str">
        <f>HYPERLINK(".\links\KOG\TI_asb-91-KOG.txt","Teneurin-1 and related extracellular matrix proteins, contain EGF-like repeats")</f>
        <v>Teneurin-1 and related extracellular matrix proteins, contain EGF-like repeats</v>
      </c>
      <c r="DK54" s="6" t="str">
        <f>HYPERLINK("http://www.ncbi.nlm.nih.gov/COG/grace/shokog.cgi?KOG1225","0.004")</f>
        <v>0.004</v>
      </c>
      <c r="DL54" s="6" t="s">
        <v>4356</v>
      </c>
      <c r="DM54" s="6" t="str">
        <f>HYPERLINK(".\links\KOG\TI_asb-91-KOG.txt","KOG1225")</f>
        <v>KOG1225</v>
      </c>
      <c r="DN54" t="str">
        <f>HYPERLINK(".\links\SMART\TI_asb-91-SMART.txt","VWC")</f>
        <v>VWC</v>
      </c>
      <c r="DO54" t="str">
        <f>HYPERLINK("http://smart.embl-heidelberg.de/smart/do_annotation.pl?DOMAIN=VWC&amp;BLAST=DUMMY","4E-010")</f>
        <v>4E-010</v>
      </c>
      <c r="DP54" s="3" t="s">
        <v>56</v>
      </c>
      <c r="ED54" s="3" t="s">
        <v>56</v>
      </c>
    </row>
    <row r="55" spans="1:147">
      <c r="A55" t="str">
        <f>HYPERLINK(".\links\seq\TI_asb-95-seq.txt","TI_asb-95")</f>
        <v>TI_asb-95</v>
      </c>
      <c r="B55">
        <v>95</v>
      </c>
      <c r="C55" t="str">
        <f>HYPERLINK(".\links\tsa\TI_asb-95-tsa.txt","1")</f>
        <v>1</v>
      </c>
      <c r="D55">
        <v>1</v>
      </c>
      <c r="E55">
        <v>1015</v>
      </c>
      <c r="G55" t="str">
        <f>HYPERLINK(".\links\qual\TI_asb-95-qual.txt","30")</f>
        <v>30</v>
      </c>
      <c r="H55">
        <v>0</v>
      </c>
      <c r="I55">
        <v>1</v>
      </c>
      <c r="J55">
        <f t="shared" si="2"/>
        <v>1</v>
      </c>
      <c r="K55" s="6">
        <f t="shared" si="3"/>
        <v>-1</v>
      </c>
      <c r="L55" s="6" t="s">
        <v>3868</v>
      </c>
      <c r="M55" s="6" t="s">
        <v>3869</v>
      </c>
      <c r="N55" s="6"/>
      <c r="O55" s="6"/>
      <c r="P55" s="6"/>
      <c r="Q55" s="3">
        <v>1015</v>
      </c>
      <c r="R55" s="3">
        <v>309</v>
      </c>
      <c r="S55" s="3" t="s">
        <v>3533</v>
      </c>
      <c r="T55" s="3">
        <v>4</v>
      </c>
      <c r="U55" t="str">
        <f>HYPERLINK(".\links\NR-LIGHT\TI_asb-95-NR-LIGHT.txt","unknown protein")</f>
        <v>unknown protein</v>
      </c>
      <c r="V55" t="str">
        <f>HYPERLINK("http://www.ncbi.nlm.nih.gov/sutils/blink.cgi?pid=15226723","0.35")</f>
        <v>0.35</v>
      </c>
      <c r="W55" t="str">
        <f>HYPERLINK(".\links\NR-LIGHT\TI_asb-95-NR-LIGHT.txt"," 5")</f>
        <v xml:space="preserve"> 5</v>
      </c>
      <c r="X55" t="str">
        <f>HYPERLINK("http://www.ncbi.nlm.nih.gov/protein/15226723","gi|15226723")</f>
        <v>gi|15226723</v>
      </c>
      <c r="Y55">
        <v>38.5</v>
      </c>
      <c r="Z55">
        <v>37</v>
      </c>
      <c r="AA55">
        <v>759</v>
      </c>
      <c r="AB55">
        <v>45</v>
      </c>
      <c r="AC55">
        <v>5</v>
      </c>
      <c r="AD55">
        <v>20</v>
      </c>
      <c r="AE55">
        <v>0</v>
      </c>
      <c r="AF55">
        <v>7</v>
      </c>
      <c r="AG55">
        <v>659</v>
      </c>
      <c r="AH55">
        <v>1</v>
      </c>
      <c r="AI55">
        <v>-1</v>
      </c>
      <c r="AJ55" t="s">
        <v>53</v>
      </c>
      <c r="AK55" t="s">
        <v>64</v>
      </c>
      <c r="AL55" t="s">
        <v>274</v>
      </c>
      <c r="AM55" t="s">
        <v>56</v>
      </c>
      <c r="AN55" s="19" t="s">
        <v>56</v>
      </c>
      <c r="AO55" t="s">
        <v>56</v>
      </c>
      <c r="AP55" t="s">
        <v>56</v>
      </c>
      <c r="AQ55" t="s">
        <v>56</v>
      </c>
      <c r="AR55" t="s">
        <v>56</v>
      </c>
      <c r="AS55" t="s">
        <v>56</v>
      </c>
      <c r="AT55" t="s">
        <v>56</v>
      </c>
      <c r="AU55" t="s">
        <v>56</v>
      </c>
      <c r="AV55" t="s">
        <v>56</v>
      </c>
      <c r="AW55" t="s">
        <v>56</v>
      </c>
      <c r="AX55" t="s">
        <v>56</v>
      </c>
      <c r="AY55" t="s">
        <v>56</v>
      </c>
      <c r="AZ55" t="s">
        <v>56</v>
      </c>
      <c r="BA55" t="s">
        <v>56</v>
      </c>
      <c r="BB55" t="s">
        <v>56</v>
      </c>
      <c r="BC55" t="s">
        <v>56</v>
      </c>
      <c r="BD55" t="s">
        <v>56</v>
      </c>
      <c r="BE55" t="s">
        <v>56</v>
      </c>
      <c r="BF55" t="s">
        <v>56</v>
      </c>
      <c r="BG55" t="str">
        <f>HYPERLINK(".\links\PREV-RHOD-PEP\TI_asb-95-PREV-RHOD-PEP.txt","Contig17849_22")</f>
        <v>Contig17849_22</v>
      </c>
      <c r="BH55" s="6">
        <v>0.41</v>
      </c>
      <c r="BI55" t="str">
        <f>HYPERLINK(".\links\PREV-RHOD-PEP\TI_asb-95-PREV-RHOD-PEP.txt"," 4")</f>
        <v xml:space="preserve"> 4</v>
      </c>
      <c r="BJ55" t="s">
        <v>710</v>
      </c>
      <c r="BK55">
        <v>32</v>
      </c>
      <c r="BL55">
        <v>107</v>
      </c>
      <c r="BM55">
        <v>907</v>
      </c>
      <c r="BN55">
        <v>24</v>
      </c>
      <c r="BO55">
        <v>12</v>
      </c>
      <c r="BP55">
        <v>81</v>
      </c>
      <c r="BQ55">
        <v>0</v>
      </c>
      <c r="BR55">
        <v>638</v>
      </c>
      <c r="BS55">
        <v>428</v>
      </c>
      <c r="BT55">
        <v>1</v>
      </c>
      <c r="BU55" t="s">
        <v>64</v>
      </c>
      <c r="BV55" t="s">
        <v>711</v>
      </c>
      <c r="BW55" t="s">
        <v>56</v>
      </c>
      <c r="BX55" t="str">
        <f>HYPERLINK(".\links\PREV-RHOD-CDS\TI_asb-95-PREV-RHOD-CDS.txt","Contig17971_3")</f>
        <v>Contig17971_3</v>
      </c>
      <c r="BY55" s="6">
        <v>2E-3</v>
      </c>
      <c r="BZ55" t="s">
        <v>712</v>
      </c>
      <c r="CA55">
        <v>44.1</v>
      </c>
      <c r="CB55">
        <v>25</v>
      </c>
      <c r="CC55">
        <v>351</v>
      </c>
      <c r="CD55">
        <v>96</v>
      </c>
      <c r="CE55">
        <v>7</v>
      </c>
      <c r="CF55">
        <v>1</v>
      </c>
      <c r="CG55">
        <v>0</v>
      </c>
      <c r="CH55">
        <v>234</v>
      </c>
      <c r="CI55">
        <v>454</v>
      </c>
      <c r="CJ55">
        <v>1</v>
      </c>
      <c r="CK55" t="s">
        <v>64</v>
      </c>
      <c r="CL55" t="s">
        <v>713</v>
      </c>
      <c r="CM55">
        <f>HYPERLINK(".\links\GO\TI_asb-95-GO.txt",0.4)</f>
        <v>0.4</v>
      </c>
      <c r="CN55" t="s">
        <v>714</v>
      </c>
      <c r="CO55" t="s">
        <v>185</v>
      </c>
      <c r="CP55" t="s">
        <v>421</v>
      </c>
      <c r="CQ55" t="s">
        <v>715</v>
      </c>
      <c r="CR55" s="6">
        <v>0.4</v>
      </c>
      <c r="CS55" t="s">
        <v>277</v>
      </c>
      <c r="CT55" t="s">
        <v>75</v>
      </c>
      <c r="CU55" t="s">
        <v>92</v>
      </c>
      <c r="CV55" t="s">
        <v>278</v>
      </c>
      <c r="CW55" s="6">
        <v>0.4</v>
      </c>
      <c r="CX55" t="s">
        <v>716</v>
      </c>
      <c r="CY55" t="s">
        <v>185</v>
      </c>
      <c r="CZ55" t="s">
        <v>421</v>
      </c>
      <c r="DA55" t="s">
        <v>717</v>
      </c>
      <c r="DB55" s="6">
        <v>0.4</v>
      </c>
      <c r="DC55" t="str">
        <f>HYPERLINK(".\links\CDD\TI_asb-95-CDD.txt","QcrB")</f>
        <v>QcrB</v>
      </c>
      <c r="DD55" t="str">
        <f>HYPERLINK("http://www.ncbi.nlm.nih.gov/Structure/cdd/cddsrv.cgi?uid=COG1290&amp;version=v4.0","0.091")</f>
        <v>0.091</v>
      </c>
      <c r="DE55" t="s">
        <v>718</v>
      </c>
      <c r="DF55" t="str">
        <f>HYPERLINK(".\links\PFAM\TI_asb-95-PFAM.txt","Ebp2")</f>
        <v>Ebp2</v>
      </c>
      <c r="DG55" t="str">
        <f>HYPERLINK("http://pfam.sanger.ac.uk/family?acc=PF05890","0.047")</f>
        <v>0.047</v>
      </c>
      <c r="DH55" t="str">
        <f>HYPERLINK(".\links\PRK\TI_asb-95-PRK.txt","Holliday junction-specific endonuclease")</f>
        <v>Holliday junction-specific endonuclease</v>
      </c>
      <c r="DI55" s="6">
        <v>6.6000000000000003E-2</v>
      </c>
      <c r="DJ55" s="6" t="s">
        <v>56</v>
      </c>
      <c r="DN55" t="s">
        <v>56</v>
      </c>
      <c r="DO55" t="s">
        <v>56</v>
      </c>
      <c r="DP55" s="3" t="s">
        <v>56</v>
      </c>
      <c r="ED55" s="3" t="s">
        <v>56</v>
      </c>
    </row>
    <row r="56" spans="1:147">
      <c r="A56" t="str">
        <f>HYPERLINK(".\links\seq\TI_asb-98-seq.txt","TI_asb-98")</f>
        <v>TI_asb-98</v>
      </c>
      <c r="B56">
        <v>98</v>
      </c>
      <c r="C56" t="str">
        <f>HYPERLINK(".\links\tsa\TI_asb-98-tsa.txt","2")</f>
        <v>2</v>
      </c>
      <c r="D56">
        <v>2</v>
      </c>
      <c r="E56">
        <v>640</v>
      </c>
      <c r="F56">
        <v>619</v>
      </c>
      <c r="G56" t="str">
        <f>HYPERLINK(".\links\qual\TI_asb-98-qual.txt","76")</f>
        <v>76</v>
      </c>
      <c r="H56">
        <v>0</v>
      </c>
      <c r="I56">
        <v>2</v>
      </c>
      <c r="J56">
        <f t="shared" si="2"/>
        <v>2</v>
      </c>
      <c r="K56" s="6">
        <f t="shared" si="3"/>
        <v>-2</v>
      </c>
      <c r="L56" s="6" t="s">
        <v>3926</v>
      </c>
      <c r="M56" s="6" t="s">
        <v>3863</v>
      </c>
      <c r="N56" s="6" t="s">
        <v>3864</v>
      </c>
      <c r="O56" s="7">
        <v>2.0000000000000001E-26</v>
      </c>
      <c r="P56" s="6">
        <v>80.5</v>
      </c>
      <c r="Q56" s="3">
        <v>640</v>
      </c>
      <c r="R56" s="3">
        <v>411</v>
      </c>
      <c r="S56" s="3" t="s">
        <v>3534</v>
      </c>
      <c r="T56" s="3">
        <v>3</v>
      </c>
      <c r="U56" t="str">
        <f>HYPERLINK(".\links\NR-LIGHT\TI_asb-98-NR-LIGHT.txt","hypothetical conserved insect secreted protein")</f>
        <v>hypothetical conserved insect secreted protein</v>
      </c>
      <c r="V56" t="str">
        <f>HYPERLINK("http://www.ncbi.nlm.nih.gov/sutils/blink.cgi?pid=307094966","2E-026")</f>
        <v>2E-026</v>
      </c>
      <c r="W56" t="str">
        <f>HYPERLINK(".\links\NR-LIGHT\TI_asb-98-NR-LIGHT.txt"," 10")</f>
        <v xml:space="preserve"> 10</v>
      </c>
      <c r="X56" t="str">
        <f>HYPERLINK("http://www.ncbi.nlm.nih.gov/protein/307094966","gi|307094966")</f>
        <v>gi|307094966</v>
      </c>
      <c r="Y56">
        <v>120</v>
      </c>
      <c r="Z56">
        <v>112</v>
      </c>
      <c r="AA56">
        <v>139</v>
      </c>
      <c r="AB56">
        <v>50</v>
      </c>
      <c r="AC56">
        <v>81</v>
      </c>
      <c r="AD56">
        <v>55</v>
      </c>
      <c r="AE56">
        <v>1</v>
      </c>
      <c r="AF56">
        <v>21</v>
      </c>
      <c r="AG56">
        <v>48</v>
      </c>
      <c r="AH56">
        <v>1</v>
      </c>
      <c r="AI56">
        <v>3</v>
      </c>
      <c r="AJ56" t="s">
        <v>53</v>
      </c>
      <c r="AK56" t="s">
        <v>54</v>
      </c>
      <c r="AL56" t="s">
        <v>258</v>
      </c>
      <c r="AM56" t="str">
        <f>HYPERLINK(".\links\SWISSP\TI_asb-98-SWISSP.txt","Putative serine/threonine-protein kinase L670 OS=Acanthamoeba polyphaga")</f>
        <v>Putative serine/threonine-protein kinase L670 OS=Acanthamoeba polyphaga</v>
      </c>
      <c r="AN56" s="19" t="str">
        <f>HYPERLINK("http://www.uniprot.org/uniprot/Q5UNT4","2.0")</f>
        <v>2.0</v>
      </c>
      <c r="AO56" t="str">
        <f>HYPERLINK(".\links\SWISSP\TI_asb-98-SWISSP.txt"," 9")</f>
        <v xml:space="preserve"> 9</v>
      </c>
      <c r="AP56" t="s">
        <v>719</v>
      </c>
      <c r="AQ56">
        <v>32.700000000000003</v>
      </c>
      <c r="AR56">
        <v>105</v>
      </c>
      <c r="AS56">
        <v>539</v>
      </c>
      <c r="AT56">
        <v>32</v>
      </c>
      <c r="AU56">
        <v>19</v>
      </c>
      <c r="AV56">
        <v>71</v>
      </c>
      <c r="AW56">
        <v>16</v>
      </c>
      <c r="AX56">
        <v>115</v>
      </c>
      <c r="AY56">
        <v>246</v>
      </c>
      <c r="AZ56">
        <v>1</v>
      </c>
      <c r="BA56">
        <v>-3</v>
      </c>
      <c r="BB56" t="s">
        <v>53</v>
      </c>
      <c r="BC56" t="s">
        <v>64</v>
      </c>
      <c r="BD56" t="s">
        <v>498</v>
      </c>
      <c r="BE56" t="s">
        <v>720</v>
      </c>
      <c r="BF56" t="s">
        <v>721</v>
      </c>
      <c r="BG56" t="str">
        <f>HYPERLINK(".\links\PREV-RHOD-PEP\TI_asb-98-PREV-RHOD-PEP.txt","Contig16882_2")</f>
        <v>Contig16882_2</v>
      </c>
      <c r="BH56" s="7">
        <v>2.0000000000000001E-25</v>
      </c>
      <c r="BI56" t="str">
        <f>HYPERLINK(".\links\PREV-RHOD-PEP\TI_asb-98-PREV-RHOD-PEP.txt"," 10")</f>
        <v xml:space="preserve"> 10</v>
      </c>
      <c r="BJ56" t="s">
        <v>722</v>
      </c>
      <c r="BK56">
        <v>112</v>
      </c>
      <c r="BL56">
        <v>87</v>
      </c>
      <c r="BM56">
        <v>167</v>
      </c>
      <c r="BN56">
        <v>58</v>
      </c>
      <c r="BO56">
        <v>52</v>
      </c>
      <c r="BP56">
        <v>36</v>
      </c>
      <c r="BQ56">
        <v>0</v>
      </c>
      <c r="BR56">
        <v>75</v>
      </c>
      <c r="BS56">
        <v>135</v>
      </c>
      <c r="BT56">
        <v>1</v>
      </c>
      <c r="BU56" t="s">
        <v>54</v>
      </c>
      <c r="BV56" t="s">
        <v>723</v>
      </c>
      <c r="BW56" t="s">
        <v>56</v>
      </c>
      <c r="BX56" t="str">
        <f>HYPERLINK(".\links\PREV-RHOD-CDS\TI_asb-98-PREV-RHOD-CDS.txt","Contig16882_2")</f>
        <v>Contig16882_2</v>
      </c>
      <c r="BY56" s="7">
        <v>8.0000000000000007E-5</v>
      </c>
      <c r="BZ56" t="s">
        <v>722</v>
      </c>
      <c r="CA56">
        <v>48.1</v>
      </c>
      <c r="CB56">
        <v>216</v>
      </c>
      <c r="CC56">
        <v>504</v>
      </c>
      <c r="CD56">
        <v>90</v>
      </c>
      <c r="CE56">
        <v>43</v>
      </c>
      <c r="CF56">
        <v>4</v>
      </c>
      <c r="CG56">
        <v>0</v>
      </c>
      <c r="CH56">
        <v>251</v>
      </c>
      <c r="CI56">
        <v>163</v>
      </c>
      <c r="CJ56">
        <v>2</v>
      </c>
      <c r="CK56" t="s">
        <v>54</v>
      </c>
      <c r="CL56" t="s">
        <v>724</v>
      </c>
      <c r="CM56">
        <f>HYPERLINK(".\links\GO\TI_asb-98-GO.txt",0.006)</f>
        <v>6.0000000000000001E-3</v>
      </c>
      <c r="CN56" t="s">
        <v>58</v>
      </c>
      <c r="CO56" t="s">
        <v>58</v>
      </c>
      <c r="CQ56" t="s">
        <v>59</v>
      </c>
      <c r="CR56" s="6">
        <v>6.0000000000000001E-3</v>
      </c>
      <c r="CS56" t="s">
        <v>60</v>
      </c>
      <c r="CT56" t="s">
        <v>60</v>
      </c>
      <c r="CV56" t="s">
        <v>61</v>
      </c>
      <c r="CW56" s="6">
        <v>6.0000000000000001E-3</v>
      </c>
      <c r="CX56" t="s">
        <v>62</v>
      </c>
      <c r="CY56" t="s">
        <v>58</v>
      </c>
      <c r="DA56" t="s">
        <v>63</v>
      </c>
      <c r="DB56" s="6">
        <v>6.0000000000000001E-3</v>
      </c>
      <c r="DC56" t="str">
        <f>HYPERLINK(".\links\CDD\TI_asb-98-CDD.txt","COG5022")</f>
        <v>COG5022</v>
      </c>
      <c r="DD56" t="str">
        <f>HYPERLINK("http://www.ncbi.nlm.nih.gov/Structure/cdd/cddsrv.cgi?uid=COG5022&amp;version=v4.0","0.0")</f>
        <v>0.0</v>
      </c>
      <c r="DE56" t="s">
        <v>725</v>
      </c>
      <c r="DF56" t="str">
        <f>HYPERLINK(".\links\PFAM\TI_asb-98-PFAM.txt","EXS")</f>
        <v>EXS</v>
      </c>
      <c r="DG56" t="str">
        <f>HYPERLINK("http://pfam.sanger.ac.uk/family?acc=PF03124","0.008")</f>
        <v>0.008</v>
      </c>
      <c r="DH56" t="str">
        <f>HYPERLINK(".\links\PRK\TI_asb-98-PRK.txt","NADH dehydrogenase subunit 5")</f>
        <v>NADH dehydrogenase subunit 5</v>
      </c>
      <c r="DI56" s="6">
        <v>1.2999999999999999E-2</v>
      </c>
      <c r="DJ56" s="6" t="str">
        <f>HYPERLINK(".\links\KOG\TI_asb-98-KOG.txt","Predicted Dolichyl-phosphate-mannose-protein mannosyltransferase")</f>
        <v>Predicted Dolichyl-phosphate-mannose-protein mannosyltransferase</v>
      </c>
      <c r="DK56" s="6" t="str">
        <f>HYPERLINK("http://www.ncbi.nlm.nih.gov/COG/grace/shokog.cgi?KOG2647","0.045")</f>
        <v>0.045</v>
      </c>
      <c r="DL56" s="6" t="s">
        <v>4337</v>
      </c>
      <c r="DM56" s="6" t="str">
        <f>HYPERLINK(".\links\KOG\TI_asb-98-KOG.txt","KOG2647")</f>
        <v>KOG2647</v>
      </c>
      <c r="DN56" t="str">
        <f>HYPERLINK(".\links\SMART\TI_asb-98-SMART.txt","PSN")</f>
        <v>PSN</v>
      </c>
      <c r="DO56" t="str">
        <f>HYPERLINK("http://smart.embl-heidelberg.de/smart/do_annotation.pl?DOMAIN=PSN&amp;BLAST=DUMMY","0.015")</f>
        <v>0.015</v>
      </c>
      <c r="DP56" s="3" t="s">
        <v>56</v>
      </c>
      <c r="ED56" s="3" t="s">
        <v>56</v>
      </c>
    </row>
    <row r="57" spans="1:147">
      <c r="A57" t="str">
        <f>HYPERLINK(".\links\seq\TI_asb-100-seq.txt","TI_asb-100")</f>
        <v>TI_asb-100</v>
      </c>
      <c r="B57">
        <v>100</v>
      </c>
      <c r="C57" t="str">
        <f>HYPERLINK(".\links\tsa\TI_asb-100-tsa.txt","2")</f>
        <v>2</v>
      </c>
      <c r="D57">
        <v>2</v>
      </c>
      <c r="E57">
        <v>739</v>
      </c>
      <c r="F57">
        <v>713</v>
      </c>
      <c r="G57" t="str">
        <f>HYPERLINK(".\links\qual\TI_asb-100-qual.txt","69")</f>
        <v>69</v>
      </c>
      <c r="H57">
        <v>1</v>
      </c>
      <c r="I57">
        <v>1</v>
      </c>
      <c r="J57">
        <f t="shared" si="2"/>
        <v>0</v>
      </c>
      <c r="K57" s="6">
        <f t="shared" si="3"/>
        <v>0</v>
      </c>
      <c r="L57" s="6" t="s">
        <v>3868</v>
      </c>
      <c r="M57" s="6" t="s">
        <v>3869</v>
      </c>
      <c r="N57" s="6"/>
      <c r="O57" s="6"/>
      <c r="P57" s="6"/>
      <c r="Q57" s="3">
        <v>739</v>
      </c>
      <c r="R57" s="3">
        <v>240</v>
      </c>
      <c r="S57" s="3" t="s">
        <v>3535</v>
      </c>
      <c r="T57" s="3">
        <v>2</v>
      </c>
      <c r="U57" t="str">
        <f>HYPERLINK(".\links\NR-LIGHT\TI_asb-100-NR-LIGHT.txt","similar to Tubulin alpha-6 chain (Alpha-tubulin 6) (Alpha-tubulin isotype")</f>
        <v>similar to Tubulin alpha-6 chain (Alpha-tubulin 6) (Alpha-tubulin isotype</v>
      </c>
      <c r="V57" t="str">
        <f>HYPERLINK("http://www.ncbi.nlm.nih.gov/sutils/blink.cgi?pid=110763493","0.001")</f>
        <v>0.001</v>
      </c>
      <c r="W57" t="str">
        <f>HYPERLINK(".\links\NR-LIGHT\TI_asb-100-NR-LIGHT.txt"," 8")</f>
        <v xml:space="preserve"> 8</v>
      </c>
      <c r="X57" t="str">
        <f>HYPERLINK("http://www.ncbi.nlm.nih.gov/protein/110763493","gi|110763493")</f>
        <v>gi|110763493</v>
      </c>
      <c r="Y57">
        <v>45.8</v>
      </c>
      <c r="Z57">
        <v>58</v>
      </c>
      <c r="AA57">
        <v>542</v>
      </c>
      <c r="AB57">
        <v>43</v>
      </c>
      <c r="AC57">
        <v>11</v>
      </c>
      <c r="AD57">
        <v>33</v>
      </c>
      <c r="AE57">
        <v>0</v>
      </c>
      <c r="AF57">
        <v>472</v>
      </c>
      <c r="AG57">
        <v>92</v>
      </c>
      <c r="AH57">
        <v>1</v>
      </c>
      <c r="AI57">
        <v>2</v>
      </c>
      <c r="AJ57" t="s">
        <v>53</v>
      </c>
      <c r="AK57" t="s">
        <v>54</v>
      </c>
      <c r="AL57" t="s">
        <v>344</v>
      </c>
      <c r="AM57" t="str">
        <f>HYPERLINK(".\links\SWISSP\TI_asb-100-SWISSP.txt","Putative sterigmatocystin biosynthesis protein stcO OS=Emericella nidulans")</f>
        <v>Putative sterigmatocystin biosynthesis protein stcO OS=Emericella nidulans</v>
      </c>
      <c r="AN57" s="19" t="str">
        <f>HYPERLINK("http://www.uniprot.org/uniprot/Q00710","2.0")</f>
        <v>2.0</v>
      </c>
      <c r="AO57" t="str">
        <f>HYPERLINK(".\links\SWISSP\TI_asb-100-SWISSP.txt"," 1")</f>
        <v xml:space="preserve"> 1</v>
      </c>
      <c r="AP57" t="s">
        <v>730</v>
      </c>
      <c r="AQ57">
        <v>33.1</v>
      </c>
      <c r="AR57">
        <v>38</v>
      </c>
      <c r="AS57">
        <v>297</v>
      </c>
      <c r="AT57">
        <v>42</v>
      </c>
      <c r="AU57">
        <v>13</v>
      </c>
      <c r="AV57">
        <v>22</v>
      </c>
      <c r="AW57">
        <v>2</v>
      </c>
      <c r="AX57">
        <v>26</v>
      </c>
      <c r="AY57">
        <v>170</v>
      </c>
      <c r="AZ57">
        <v>1</v>
      </c>
      <c r="BA57">
        <v>2</v>
      </c>
      <c r="BB57" t="s">
        <v>53</v>
      </c>
      <c r="BC57" t="s">
        <v>54</v>
      </c>
      <c r="BD57" t="s">
        <v>731</v>
      </c>
      <c r="BE57" t="s">
        <v>732</v>
      </c>
      <c r="BF57" t="s">
        <v>733</v>
      </c>
      <c r="BG57" t="str">
        <f>HYPERLINK(".\links\PREV-RHOD-PEP\TI_asb-100-PREV-RHOD-PEP.txt","Contig18015_38")</f>
        <v>Contig18015_38</v>
      </c>
      <c r="BH57" s="7">
        <v>6.9999999999999999E-28</v>
      </c>
      <c r="BI57" t="str">
        <f>HYPERLINK(".\links\PREV-RHOD-PEP\TI_asb-100-PREV-RHOD-PEP.txt"," 10")</f>
        <v xml:space="preserve"> 10</v>
      </c>
      <c r="BJ57" t="s">
        <v>734</v>
      </c>
      <c r="BK57">
        <v>120</v>
      </c>
      <c r="BL57">
        <v>64</v>
      </c>
      <c r="BM57">
        <v>439</v>
      </c>
      <c r="BN57">
        <v>85</v>
      </c>
      <c r="BO57">
        <v>15</v>
      </c>
      <c r="BP57">
        <v>9</v>
      </c>
      <c r="BQ57">
        <v>0</v>
      </c>
      <c r="BR57">
        <v>371</v>
      </c>
      <c r="BS57">
        <v>92</v>
      </c>
      <c r="BT57">
        <v>1</v>
      </c>
      <c r="BU57" t="s">
        <v>54</v>
      </c>
      <c r="BV57" t="s">
        <v>735</v>
      </c>
      <c r="BW57" t="s">
        <v>56</v>
      </c>
      <c r="BX57" t="str">
        <f>HYPERLINK(".\links\PREV-RHOD-CDS\TI_asb-100-PREV-RHOD-CDS.txt","Contig18015_38")</f>
        <v>Contig18015_38</v>
      </c>
      <c r="BY57" s="7">
        <v>3.9999999999999998E-38</v>
      </c>
      <c r="BZ57" t="s">
        <v>734</v>
      </c>
      <c r="CA57">
        <v>159</v>
      </c>
      <c r="CB57">
        <v>191</v>
      </c>
      <c r="CC57">
        <v>1320</v>
      </c>
      <c r="CD57">
        <v>85</v>
      </c>
      <c r="CE57">
        <v>15</v>
      </c>
      <c r="CF57">
        <v>28</v>
      </c>
      <c r="CG57">
        <v>0</v>
      </c>
      <c r="CH57">
        <v>1111</v>
      </c>
      <c r="CI57">
        <v>92</v>
      </c>
      <c r="CJ57">
        <v>1</v>
      </c>
      <c r="CK57" t="s">
        <v>54</v>
      </c>
      <c r="CL57" t="s">
        <v>736</v>
      </c>
      <c r="CM57">
        <f>HYPERLINK(".\links\GO\TI_asb-100-GO.txt",2.1)</f>
        <v>2.1</v>
      </c>
      <c r="CN57" t="s">
        <v>323</v>
      </c>
      <c r="CO57" t="s">
        <v>324</v>
      </c>
      <c r="CP57" t="s">
        <v>325</v>
      </c>
      <c r="CQ57" t="s">
        <v>326</v>
      </c>
      <c r="CR57" s="6">
        <v>2.1</v>
      </c>
      <c r="CS57" t="s">
        <v>91</v>
      </c>
      <c r="CT57" t="s">
        <v>75</v>
      </c>
      <c r="CU57" t="s">
        <v>92</v>
      </c>
      <c r="CV57" t="s">
        <v>93</v>
      </c>
      <c r="CW57" s="6">
        <v>2.1</v>
      </c>
      <c r="CX57" t="s">
        <v>327</v>
      </c>
      <c r="CY57" t="s">
        <v>324</v>
      </c>
      <c r="CZ57" t="s">
        <v>325</v>
      </c>
      <c r="DA57" t="s">
        <v>328</v>
      </c>
      <c r="DB57" s="6">
        <v>2.1</v>
      </c>
      <c r="DC57" t="s">
        <v>56</v>
      </c>
      <c r="DD57" t="s">
        <v>56</v>
      </c>
      <c r="DE57" t="s">
        <v>56</v>
      </c>
      <c r="DF57" t="s">
        <v>56</v>
      </c>
      <c r="DG57" t="s">
        <v>56</v>
      </c>
      <c r="DH57" t="str">
        <f>HYPERLINK(".\links\PRK\TI_asb-100-PRK.txt","CD47-like protein")</f>
        <v>CD47-like protein</v>
      </c>
      <c r="DI57" s="6">
        <v>3.7999999999999999E-2</v>
      </c>
      <c r="DJ57" s="6" t="s">
        <v>56</v>
      </c>
      <c r="DN57" t="str">
        <f>HYPERLINK(".\links\SMART\TI_asb-100-SMART.txt","VKc")</f>
        <v>VKc</v>
      </c>
      <c r="DO57" t="str">
        <f>HYPERLINK("http://smart.embl-heidelberg.de/smart/do_annotation.pl?DOMAIN=VKc&amp;BLAST=DUMMY","0.071")</f>
        <v>0.071</v>
      </c>
      <c r="DP57" s="3" t="s">
        <v>56</v>
      </c>
      <c r="ED57" s="3" t="s">
        <v>56</v>
      </c>
    </row>
    <row r="58" spans="1:147">
      <c r="A58" t="str">
        <f>HYPERLINK(".\links\seq\TI_asb-102-seq.txt","TI_asb-102")</f>
        <v>TI_asb-102</v>
      </c>
      <c r="B58">
        <v>102</v>
      </c>
      <c r="C58" t="str">
        <f>HYPERLINK(".\links\tsa\TI_asb-102-tsa.txt","2")</f>
        <v>2</v>
      </c>
      <c r="D58">
        <v>2</v>
      </c>
      <c r="E58">
        <v>556</v>
      </c>
      <c r="F58">
        <v>522</v>
      </c>
      <c r="G58" t="str">
        <f>HYPERLINK(".\links\qual\TI_asb-102-qual.txt","83")</f>
        <v>83</v>
      </c>
      <c r="H58">
        <v>1</v>
      </c>
      <c r="I58">
        <v>1</v>
      </c>
      <c r="J58">
        <f t="shared" si="2"/>
        <v>0</v>
      </c>
      <c r="K58" s="6">
        <f t="shared" si="3"/>
        <v>0</v>
      </c>
      <c r="L58" s="6" t="s">
        <v>3928</v>
      </c>
      <c r="M58" s="6" t="s">
        <v>3881</v>
      </c>
      <c r="N58" s="6" t="s">
        <v>3864</v>
      </c>
      <c r="O58" s="7">
        <v>1.0000000000000001E-32</v>
      </c>
      <c r="P58" s="6">
        <v>76.099999999999994</v>
      </c>
      <c r="Q58" s="3">
        <v>556</v>
      </c>
      <c r="R58" s="3">
        <v>255</v>
      </c>
      <c r="S58" s="5" t="s">
        <v>3537</v>
      </c>
      <c r="T58" s="3">
        <v>2</v>
      </c>
      <c r="U58" t="str">
        <f>HYPERLINK(".\links\NR-LIGHT\TI_asb-102-NR-LIGHT.txt","10 kDa heat shock protein, putative")</f>
        <v>10 kDa heat shock protein, putative</v>
      </c>
      <c r="V58" t="str">
        <f>HYPERLINK("http://www.ncbi.nlm.nih.gov/sutils/blink.cgi?pid=242016119","1E-032")</f>
        <v>1E-032</v>
      </c>
      <c r="W58" t="str">
        <f>HYPERLINK(".\links\NR-LIGHT\TI_asb-102-NR-LIGHT.txt"," 10")</f>
        <v xml:space="preserve"> 10</v>
      </c>
      <c r="X58" t="str">
        <f>HYPERLINK("http://www.ncbi.nlm.nih.gov/protein/242016119","gi|242016119")</f>
        <v>gi|242016119</v>
      </c>
      <c r="Y58">
        <v>141</v>
      </c>
      <c r="Z58">
        <v>83</v>
      </c>
      <c r="AA58">
        <v>109</v>
      </c>
      <c r="AB58">
        <v>80</v>
      </c>
      <c r="AC58">
        <v>76</v>
      </c>
      <c r="AD58">
        <v>16</v>
      </c>
      <c r="AE58">
        <v>0</v>
      </c>
      <c r="AF58">
        <v>27</v>
      </c>
      <c r="AG58">
        <v>5</v>
      </c>
      <c r="AH58">
        <v>1</v>
      </c>
      <c r="AI58">
        <v>2</v>
      </c>
      <c r="AJ58" t="s">
        <v>53</v>
      </c>
      <c r="AK58" t="s">
        <v>54</v>
      </c>
      <c r="AL58" t="s">
        <v>141</v>
      </c>
      <c r="AM58" t="str">
        <f>HYPERLINK(".\links\SWISSP\TI_asb-102-SWISSP.txt","10 kDa heat shock protein, mitochondrial OS=Schistosoma japonicum GN=SJCHGC01960")</f>
        <v>10 kDa heat shock protein, mitochondrial OS=Schistosoma japonicum GN=SJCHGC01960</v>
      </c>
      <c r="AN58" s="19" t="str">
        <f>HYPERLINK("http://www.uniprot.org/uniprot/Q5DC69","3E-022")</f>
        <v>3E-022</v>
      </c>
      <c r="AO58" t="str">
        <f>HYPERLINK(".\links\SWISSP\TI_asb-102-SWISSP.txt"," 10")</f>
        <v xml:space="preserve"> 10</v>
      </c>
      <c r="AP58" t="s">
        <v>748</v>
      </c>
      <c r="AQ58">
        <v>104</v>
      </c>
      <c r="AR58">
        <v>83</v>
      </c>
      <c r="AS58">
        <v>102</v>
      </c>
      <c r="AT58">
        <v>61</v>
      </c>
      <c r="AU58">
        <v>81</v>
      </c>
      <c r="AV58">
        <v>32</v>
      </c>
      <c r="AW58">
        <v>0</v>
      </c>
      <c r="AX58">
        <v>20</v>
      </c>
      <c r="AY58">
        <v>5</v>
      </c>
      <c r="AZ58">
        <v>1</v>
      </c>
      <c r="BA58">
        <v>2</v>
      </c>
      <c r="BB58" t="s">
        <v>53</v>
      </c>
      <c r="BC58" t="s">
        <v>54</v>
      </c>
      <c r="BD58" t="s">
        <v>289</v>
      </c>
      <c r="BE58" t="s">
        <v>749</v>
      </c>
      <c r="BF58" t="s">
        <v>750</v>
      </c>
      <c r="BG58" t="str">
        <f>HYPERLINK(".\links\PREV-RHOD-PEP\TI_asb-102-PREV-RHOD-PEP.txt","Contig17588_10")</f>
        <v>Contig17588_10</v>
      </c>
      <c r="BH58" s="7">
        <v>2.0000000000000001E-42</v>
      </c>
      <c r="BI58" t="str">
        <f>HYPERLINK(".\links\PREV-RHOD-PEP\TI_asb-102-PREV-RHOD-PEP.txt"," 3")</f>
        <v xml:space="preserve"> 3</v>
      </c>
      <c r="BJ58" t="s">
        <v>751</v>
      </c>
      <c r="BK58">
        <v>167</v>
      </c>
      <c r="BL58">
        <v>85</v>
      </c>
      <c r="BM58">
        <v>92</v>
      </c>
      <c r="BN58">
        <v>96</v>
      </c>
      <c r="BO58">
        <v>92</v>
      </c>
      <c r="BP58">
        <v>3</v>
      </c>
      <c r="BQ58">
        <v>0</v>
      </c>
      <c r="BR58">
        <v>8</v>
      </c>
      <c r="BS58">
        <v>2</v>
      </c>
      <c r="BT58">
        <v>1</v>
      </c>
      <c r="BU58" t="s">
        <v>54</v>
      </c>
      <c r="BV58" t="s">
        <v>752</v>
      </c>
      <c r="BW58" t="s">
        <v>56</v>
      </c>
      <c r="BX58" t="str">
        <f>HYPERLINK(".\links\PREV-RHOD-CDS\TI_asb-102-PREV-RHOD-CDS.txt","Contig17588_10")</f>
        <v>Contig17588_10</v>
      </c>
      <c r="BY58" s="7">
        <v>8.9999999999999999E-63</v>
      </c>
      <c r="BZ58" t="s">
        <v>751</v>
      </c>
      <c r="CA58">
        <v>240</v>
      </c>
      <c r="CB58">
        <v>248</v>
      </c>
      <c r="CC58">
        <v>279</v>
      </c>
      <c r="CD58">
        <v>87</v>
      </c>
      <c r="CE58">
        <v>89</v>
      </c>
      <c r="CF58">
        <v>32</v>
      </c>
      <c r="CG58">
        <v>0</v>
      </c>
      <c r="CH58">
        <v>31</v>
      </c>
      <c r="CI58">
        <v>11</v>
      </c>
      <c r="CJ58">
        <v>1</v>
      </c>
      <c r="CK58" t="s">
        <v>54</v>
      </c>
      <c r="CL58" t="s">
        <v>753</v>
      </c>
      <c r="CM58">
        <f>HYPERLINK(".\links\GO\TI_asb-102-GO.txt",4E-23)</f>
        <v>3.9999999999999998E-23</v>
      </c>
      <c r="CN58" t="s">
        <v>626</v>
      </c>
      <c r="CO58" t="s">
        <v>185</v>
      </c>
      <c r="CP58" t="s">
        <v>186</v>
      </c>
      <c r="CQ58" t="s">
        <v>627</v>
      </c>
      <c r="CR58" s="7">
        <v>3.9999999999999998E-23</v>
      </c>
      <c r="CS58" t="s">
        <v>241</v>
      </c>
      <c r="CT58" t="s">
        <v>75</v>
      </c>
      <c r="CU58" t="s">
        <v>76</v>
      </c>
      <c r="CV58" t="s">
        <v>242</v>
      </c>
      <c r="CW58" s="7">
        <v>3.9999999999999998E-23</v>
      </c>
      <c r="CX58" t="s">
        <v>754</v>
      </c>
      <c r="CY58" t="s">
        <v>185</v>
      </c>
      <c r="CZ58" t="s">
        <v>186</v>
      </c>
      <c r="DA58" t="s">
        <v>755</v>
      </c>
      <c r="DB58" s="7">
        <v>3.9999999999999998E-23</v>
      </c>
      <c r="DC58" t="str">
        <f>HYPERLINK(".\links\CDD\TI_asb-102-CDD.txt","cpn10")</f>
        <v>cpn10</v>
      </c>
      <c r="DD58" t="str">
        <f>HYPERLINK("http://www.ncbi.nlm.nih.gov/Structure/cdd/cddsrv.cgi?uid=cd00320&amp;version=v4.0","2E-025")</f>
        <v>2E-025</v>
      </c>
      <c r="DE58" t="s">
        <v>756</v>
      </c>
      <c r="DF58" t="str">
        <f>HYPERLINK(".\links\PFAM\TI_asb-102-PFAM.txt","Cpn10")</f>
        <v>Cpn10</v>
      </c>
      <c r="DG58" t="str">
        <f>HYPERLINK("http://pfam.sanger.ac.uk/family?acc=PF00166","2E-023")</f>
        <v>2E-023</v>
      </c>
      <c r="DH58" t="str">
        <f>HYPERLINK(".\links\PRK\TI_asb-102-PRK.txt","co-chaperonin GroES")</f>
        <v>co-chaperonin GroES</v>
      </c>
      <c r="DI58" s="7">
        <v>9.9999999999999996E-24</v>
      </c>
      <c r="DJ58" s="6" t="str">
        <f>HYPERLINK(".\links\KOG\TI_asb-102-KOG.txt","Mitochondrial chaperonin")</f>
        <v>Mitochondrial chaperonin</v>
      </c>
      <c r="DK58" s="6" t="str">
        <f>HYPERLINK("http://www.ncbi.nlm.nih.gov/COG/grace/shokog.cgi?KOG1641","2E-029")</f>
        <v>2E-029</v>
      </c>
      <c r="DL58" s="6" t="s">
        <v>4340</v>
      </c>
      <c r="DM58" s="6" t="str">
        <f>HYPERLINK(".\links\KOG\TI_asb-102-KOG.txt","KOG1641")</f>
        <v>KOG1641</v>
      </c>
      <c r="DN58" t="str">
        <f>HYPERLINK(".\links\SMART\TI_asb-102-SMART.txt","PKS_ER")</f>
        <v>PKS_ER</v>
      </c>
      <c r="DO58" t="str">
        <f>HYPERLINK("http://smart.embl-heidelberg.de/smart/do_annotation.pl?DOMAIN=PKS_ER&amp;BLAST=DUMMY","0.050")</f>
        <v>0.050</v>
      </c>
      <c r="DP58" s="3" t="s">
        <v>56</v>
      </c>
      <c r="ED58" s="3" t="s">
        <v>56</v>
      </c>
    </row>
    <row r="59" spans="1:147">
      <c r="A59" t="str">
        <f>HYPERLINK(".\links\seq\TI_asb-104-seq.txt","TI_asb-104")</f>
        <v>TI_asb-104</v>
      </c>
      <c r="B59">
        <v>104</v>
      </c>
      <c r="C59" t="str">
        <f>HYPERLINK(".\links\tsa\TI_asb-104-tsa.txt","1")</f>
        <v>1</v>
      </c>
      <c r="D59">
        <v>1</v>
      </c>
      <c r="E59">
        <v>641</v>
      </c>
      <c r="F59">
        <v>578</v>
      </c>
      <c r="G59" t="str">
        <f>HYPERLINK(".\links\qual\TI_asb-104-qual.txt","46")</f>
        <v>46</v>
      </c>
      <c r="H59">
        <v>1</v>
      </c>
      <c r="I59">
        <v>0</v>
      </c>
      <c r="J59">
        <f t="shared" si="2"/>
        <v>1</v>
      </c>
      <c r="K59" s="6">
        <f t="shared" si="3"/>
        <v>1</v>
      </c>
      <c r="L59" s="6" t="s">
        <v>3868</v>
      </c>
      <c r="M59" s="6" t="s">
        <v>3869</v>
      </c>
      <c r="N59" s="6"/>
      <c r="O59" s="6"/>
      <c r="P59" s="6"/>
      <c r="Q59" s="3">
        <v>641</v>
      </c>
      <c r="R59" s="3">
        <v>282</v>
      </c>
      <c r="S59" s="5" t="s">
        <v>3538</v>
      </c>
      <c r="T59" s="3">
        <v>4</v>
      </c>
      <c r="U59" t="s">
        <v>56</v>
      </c>
      <c r="V59" t="s">
        <v>56</v>
      </c>
      <c r="W59" t="s">
        <v>56</v>
      </c>
      <c r="X59" t="s">
        <v>56</v>
      </c>
      <c r="Y59" t="s">
        <v>56</v>
      </c>
      <c r="Z59" t="s">
        <v>56</v>
      </c>
      <c r="AA59" t="s">
        <v>56</v>
      </c>
      <c r="AB59" t="s">
        <v>56</v>
      </c>
      <c r="AC59" t="s">
        <v>56</v>
      </c>
      <c r="AD59" t="s">
        <v>56</v>
      </c>
      <c r="AE59" t="s">
        <v>56</v>
      </c>
      <c r="AF59" t="s">
        <v>56</v>
      </c>
      <c r="AG59" t="s">
        <v>56</v>
      </c>
      <c r="AH59" t="s">
        <v>56</v>
      </c>
      <c r="AI59" t="s">
        <v>56</v>
      </c>
      <c r="AJ59" t="s">
        <v>56</v>
      </c>
      <c r="AK59" t="s">
        <v>56</v>
      </c>
      <c r="AL59" t="s">
        <v>56</v>
      </c>
      <c r="AM59" t="str">
        <f>HYPERLINK(".\links\SWISSP\TI_asb-104-SWISSP.txt","DNA-directed RNA polymerase subunit beta OS=Carsonella ruddii (strain PV)")</f>
        <v>DNA-directed RNA polymerase subunit beta OS=Carsonella ruddii (strain PV)</v>
      </c>
      <c r="AN59" s="19" t="str">
        <f>HYPERLINK("http://www.uniprot.org/uniprot/Q05FH8","2.6")</f>
        <v>2.6</v>
      </c>
      <c r="AO59" t="str">
        <f>HYPERLINK(".\links\SWISSP\TI_asb-104-SWISSP.txt"," 1")</f>
        <v xml:space="preserve"> 1</v>
      </c>
      <c r="AP59" t="s">
        <v>760</v>
      </c>
      <c r="AQ59">
        <v>32.299999999999997</v>
      </c>
      <c r="AR59">
        <v>55</v>
      </c>
      <c r="AS59">
        <v>1267</v>
      </c>
      <c r="AT59">
        <v>32</v>
      </c>
      <c r="AU59">
        <v>4</v>
      </c>
      <c r="AV59">
        <v>37</v>
      </c>
      <c r="AW59">
        <v>0</v>
      </c>
      <c r="AX59">
        <v>186</v>
      </c>
      <c r="AY59">
        <v>56</v>
      </c>
      <c r="AZ59">
        <v>1</v>
      </c>
      <c r="BA59">
        <v>-2</v>
      </c>
      <c r="BB59" t="s">
        <v>53</v>
      </c>
      <c r="BC59" t="s">
        <v>64</v>
      </c>
      <c r="BD59" t="s">
        <v>761</v>
      </c>
      <c r="BE59" t="s">
        <v>762</v>
      </c>
      <c r="BF59" t="s">
        <v>763</v>
      </c>
      <c r="BG59" t="str">
        <f>HYPERLINK(".\links\PREV-RHOD-PEP\TI_asb-104-PREV-RHOD-PEP.txt","Contig2361_1")</f>
        <v>Contig2361_1</v>
      </c>
      <c r="BH59" s="6">
        <v>6.8</v>
      </c>
      <c r="BI59" t="str">
        <f>HYPERLINK(".\links\PREV-RHOD-PEP\TI_asb-104-PREV-RHOD-PEP.txt"," 3")</f>
        <v xml:space="preserve"> 3</v>
      </c>
      <c r="BJ59" t="s">
        <v>764</v>
      </c>
      <c r="BK59">
        <v>26.9</v>
      </c>
      <c r="BL59">
        <v>52</v>
      </c>
      <c r="BM59">
        <v>270</v>
      </c>
      <c r="BN59">
        <v>26</v>
      </c>
      <c r="BO59">
        <v>19</v>
      </c>
      <c r="BP59">
        <v>38</v>
      </c>
      <c r="BQ59">
        <v>0</v>
      </c>
      <c r="BR59">
        <v>56</v>
      </c>
      <c r="BS59">
        <v>17</v>
      </c>
      <c r="BT59">
        <v>1</v>
      </c>
      <c r="BU59" t="s">
        <v>64</v>
      </c>
      <c r="BV59" t="s">
        <v>765</v>
      </c>
      <c r="BW59" t="s">
        <v>56</v>
      </c>
      <c r="BX59" t="str">
        <f>HYPERLINK(".\links\PREV-RHOD-CDS\TI_asb-104-PREV-RHOD-CDS.txt","Contig17825_19")</f>
        <v>Contig17825_19</v>
      </c>
      <c r="BY59" s="6">
        <v>0.08</v>
      </c>
      <c r="BZ59" t="s">
        <v>766</v>
      </c>
      <c r="CA59">
        <v>38.200000000000003</v>
      </c>
      <c r="CB59">
        <v>22</v>
      </c>
      <c r="CC59">
        <v>837</v>
      </c>
      <c r="CD59">
        <v>95</v>
      </c>
      <c r="CE59">
        <v>3</v>
      </c>
      <c r="CF59">
        <v>1</v>
      </c>
      <c r="CG59">
        <v>0</v>
      </c>
      <c r="CH59">
        <v>411</v>
      </c>
      <c r="CI59">
        <v>455</v>
      </c>
      <c r="CJ59">
        <v>1</v>
      </c>
      <c r="CK59" t="s">
        <v>54</v>
      </c>
      <c r="CL59" t="s">
        <v>56</v>
      </c>
      <c r="CM59" t="s">
        <v>56</v>
      </c>
      <c r="CN59" t="s">
        <v>56</v>
      </c>
      <c r="CO59" t="s">
        <v>56</v>
      </c>
      <c r="CP59" t="s">
        <v>56</v>
      </c>
      <c r="CQ59" t="s">
        <v>56</v>
      </c>
      <c r="CR59" s="6" t="s">
        <v>56</v>
      </c>
      <c r="CS59" t="s">
        <v>56</v>
      </c>
      <c r="CT59" t="s">
        <v>56</v>
      </c>
      <c r="CU59" t="s">
        <v>56</v>
      </c>
      <c r="CV59" t="s">
        <v>56</v>
      </c>
      <c r="CW59" s="6" t="s">
        <v>56</v>
      </c>
      <c r="CX59" t="s">
        <v>56</v>
      </c>
      <c r="CY59" t="s">
        <v>56</v>
      </c>
      <c r="CZ59" t="s">
        <v>56</v>
      </c>
      <c r="DA59" t="s">
        <v>56</v>
      </c>
      <c r="DB59" s="6" t="s">
        <v>56</v>
      </c>
      <c r="DC59" t="str">
        <f>HYPERLINK(".\links\CDD\TI_asb-104-CDD.txt","Serpentine_recp")</f>
        <v>Serpentine_recp</v>
      </c>
      <c r="DD59" t="str">
        <f>HYPERLINK("http://www.ncbi.nlm.nih.gov/Structure/cdd/cddsrv.cgi?uid=pfam01748&amp;version=v4.0","3E-004")</f>
        <v>3E-004</v>
      </c>
      <c r="DE59" t="s">
        <v>767</v>
      </c>
      <c r="DF59" t="str">
        <f>HYPERLINK(".\links\PFAM\TI_asb-104-PFAM.txt","7TM_GPCR_Srz")</f>
        <v>7TM_GPCR_Srz</v>
      </c>
      <c r="DG59" t="str">
        <f>HYPERLINK("http://pfam.sanger.ac.uk/family?acc=PF10325","5E-006")</f>
        <v>5E-006</v>
      </c>
      <c r="DH59" t="str">
        <f>HYPERLINK(".\links\PRK\TI_asb-104-PRK.txt","NADH dehydrogenase subunit 5")</f>
        <v>NADH dehydrogenase subunit 5</v>
      </c>
      <c r="DI59" s="7">
        <v>1E-8</v>
      </c>
      <c r="DJ59" s="6" t="str">
        <f>HYPERLINK(".\links\KOG\TI_asb-104-KOG.txt","Predicted small molecule transporter")</f>
        <v>Predicted small molecule transporter</v>
      </c>
      <c r="DK59" s="6" t="str">
        <f>HYPERLINK("http://www.ncbi.nlm.nih.gov/COG/grace/shokog.cgi?KOG1162","0.001")</f>
        <v>0.001</v>
      </c>
      <c r="DL59" s="6" t="s">
        <v>4352</v>
      </c>
      <c r="DM59" s="6" t="str">
        <f>HYPERLINK(".\links\KOG\TI_asb-104-KOG.txt","KOG1162")</f>
        <v>KOG1162</v>
      </c>
      <c r="DN59" t="str">
        <f>HYPERLINK(".\links\SMART\TI_asb-104-SMART.txt","AgrB")</f>
        <v>AgrB</v>
      </c>
      <c r="DO59" t="str">
        <f>HYPERLINK("http://smart.embl-heidelberg.de/smart/do_annotation.pl?DOMAIN=AgrB&amp;BLAST=DUMMY","0.009")</f>
        <v>0.009</v>
      </c>
      <c r="DP59" s="3" t="s">
        <v>56</v>
      </c>
      <c r="ED59" s="3" t="s">
        <v>56</v>
      </c>
    </row>
    <row r="60" spans="1:147">
      <c r="A60" t="str">
        <f>HYPERLINK(".\links\seq\TI_asb-105-seq.txt","TI_asb-105")</f>
        <v>TI_asb-105</v>
      </c>
      <c r="B60">
        <v>105</v>
      </c>
      <c r="C60" t="str">
        <f>HYPERLINK(".\links\tsa\TI_asb-105-tsa.txt","1")</f>
        <v>1</v>
      </c>
      <c r="D60">
        <v>1</v>
      </c>
      <c r="E60">
        <v>602</v>
      </c>
      <c r="G60" t="str">
        <f>HYPERLINK(".\links\qual\TI_asb-105-qual.txt","50")</f>
        <v>50</v>
      </c>
      <c r="H60">
        <v>1</v>
      </c>
      <c r="I60">
        <v>0</v>
      </c>
      <c r="J60">
        <f t="shared" si="2"/>
        <v>1</v>
      </c>
      <c r="K60" s="6">
        <f t="shared" si="3"/>
        <v>1</v>
      </c>
      <c r="L60" s="6" t="s">
        <v>3929</v>
      </c>
      <c r="M60" s="6" t="s">
        <v>3919</v>
      </c>
      <c r="N60" s="6" t="s">
        <v>3884</v>
      </c>
      <c r="O60" s="7">
        <v>7.9999999999999993E-21</v>
      </c>
      <c r="P60" s="6">
        <v>45.4</v>
      </c>
      <c r="Q60" s="3">
        <v>602</v>
      </c>
      <c r="R60" s="3">
        <v>408</v>
      </c>
      <c r="S60" s="3" t="s">
        <v>3539</v>
      </c>
      <c r="T60" s="3">
        <v>2</v>
      </c>
      <c r="U60" t="str">
        <f>HYPERLINK(".\links\NR-LIGHT\TI_asb-105-NR-LIGHT.txt","similar to Syntaxin 13 CG11278-PA")</f>
        <v>similar to Syntaxin 13 CG11278-PA</v>
      </c>
      <c r="V60" t="str">
        <f>HYPERLINK("http://www.ncbi.nlm.nih.gov/sutils/blink.cgi?pid=110757625","3E-027")</f>
        <v>3E-027</v>
      </c>
      <c r="W60" t="str">
        <f>HYPERLINK(".\links\NR-LIGHT\TI_asb-105-NR-LIGHT.txt"," 10")</f>
        <v xml:space="preserve"> 10</v>
      </c>
      <c r="X60" t="str">
        <f>HYPERLINK("http://www.ncbi.nlm.nih.gov/protein/110757625","gi|110757625")</f>
        <v>gi|110757625</v>
      </c>
      <c r="Y60">
        <v>123</v>
      </c>
      <c r="Z60">
        <v>129</v>
      </c>
      <c r="AA60">
        <v>281</v>
      </c>
      <c r="AB60">
        <v>47</v>
      </c>
      <c r="AC60">
        <v>46</v>
      </c>
      <c r="AD60">
        <v>68</v>
      </c>
      <c r="AE60">
        <v>2</v>
      </c>
      <c r="AF60">
        <v>23</v>
      </c>
      <c r="AG60">
        <v>194</v>
      </c>
      <c r="AH60">
        <v>1</v>
      </c>
      <c r="AI60">
        <v>2</v>
      </c>
      <c r="AJ60" t="s">
        <v>53</v>
      </c>
      <c r="AK60" t="s">
        <v>54</v>
      </c>
      <c r="AL60" t="s">
        <v>344</v>
      </c>
      <c r="AM60" t="str">
        <f>HYPERLINK(".\links\SWISSP\TI_asb-105-SWISSP.txt","t-SNARE domain-containing protein 1 OS=Homo sapiens GN=TSNARE1 PE=2 SV=2")</f>
        <v>t-SNARE domain-containing protein 1 OS=Homo sapiens GN=TSNARE1 PE=2 SV=2</v>
      </c>
      <c r="AN60" s="19" t="str">
        <f>HYPERLINK("http://www.uniprot.org/uniprot/Q96NA8","2E-008")</f>
        <v>2E-008</v>
      </c>
      <c r="AO60" t="str">
        <f>HYPERLINK(".\links\SWISSP\TI_asb-105-SWISSP.txt"," 10")</f>
        <v xml:space="preserve"> 10</v>
      </c>
      <c r="AP60" t="s">
        <v>768</v>
      </c>
      <c r="AQ60">
        <v>58.9</v>
      </c>
      <c r="AR60">
        <v>124</v>
      </c>
      <c r="AS60">
        <v>513</v>
      </c>
      <c r="AT60">
        <v>23</v>
      </c>
      <c r="AU60">
        <v>24</v>
      </c>
      <c r="AV60">
        <v>95</v>
      </c>
      <c r="AW60">
        <v>10</v>
      </c>
      <c r="AX60">
        <v>235</v>
      </c>
      <c r="AY60">
        <v>233</v>
      </c>
      <c r="AZ60">
        <v>1</v>
      </c>
      <c r="BA60">
        <v>2</v>
      </c>
      <c r="BB60" t="s">
        <v>53</v>
      </c>
      <c r="BC60" t="s">
        <v>54</v>
      </c>
      <c r="BD60" t="s">
        <v>330</v>
      </c>
      <c r="BE60" t="s">
        <v>769</v>
      </c>
      <c r="BF60" t="s">
        <v>770</v>
      </c>
      <c r="BG60" t="str">
        <f>HYPERLINK(".\links\PREV-RHOD-PEP\TI_asb-105-PREV-RHOD-PEP.txt","Contig17857_58")</f>
        <v>Contig17857_58</v>
      </c>
      <c r="BH60" s="7">
        <v>8.9999999999999995E-65</v>
      </c>
      <c r="BI60" t="str">
        <f>HYPERLINK(".\links\PREV-RHOD-PEP\TI_asb-105-PREV-RHOD-PEP.txt"," 10")</f>
        <v xml:space="preserve"> 10</v>
      </c>
      <c r="BJ60" t="s">
        <v>771</v>
      </c>
      <c r="BK60">
        <v>242</v>
      </c>
      <c r="BL60">
        <v>130</v>
      </c>
      <c r="BM60">
        <v>259</v>
      </c>
      <c r="BN60">
        <v>94</v>
      </c>
      <c r="BO60">
        <v>50</v>
      </c>
      <c r="BP60">
        <v>7</v>
      </c>
      <c r="BQ60">
        <v>0</v>
      </c>
      <c r="BR60">
        <v>1</v>
      </c>
      <c r="BS60">
        <v>185</v>
      </c>
      <c r="BT60">
        <v>1</v>
      </c>
      <c r="BU60" t="s">
        <v>54</v>
      </c>
      <c r="BV60" t="s">
        <v>772</v>
      </c>
      <c r="BW60" t="s">
        <v>56</v>
      </c>
      <c r="BX60" t="str">
        <f>HYPERLINK(".\links\PREV-RHOD-CDS\TI_asb-105-PREV-RHOD-CDS.txt","Contig17857_58")</f>
        <v>Contig17857_58</v>
      </c>
      <c r="BY60" s="7">
        <v>9.9999999999999999E-133</v>
      </c>
      <c r="BZ60" t="s">
        <v>771</v>
      </c>
      <c r="CA60">
        <v>472</v>
      </c>
      <c r="CB60">
        <v>389</v>
      </c>
      <c r="CC60">
        <v>780</v>
      </c>
      <c r="CD60">
        <v>90</v>
      </c>
      <c r="CE60">
        <v>50</v>
      </c>
      <c r="CF60">
        <v>38</v>
      </c>
      <c r="CG60">
        <v>0</v>
      </c>
      <c r="CH60">
        <v>1</v>
      </c>
      <c r="CI60">
        <v>185</v>
      </c>
      <c r="CJ60">
        <v>1</v>
      </c>
      <c r="CK60" t="s">
        <v>54</v>
      </c>
      <c r="CL60" t="s">
        <v>773</v>
      </c>
      <c r="CM60">
        <f>HYPERLINK(".\links\GO\TI_asb-105-GO.txt",8E-21)</f>
        <v>7.9999999999999993E-21</v>
      </c>
      <c r="CN60" t="s">
        <v>576</v>
      </c>
      <c r="CO60" t="s">
        <v>185</v>
      </c>
      <c r="CP60" t="s">
        <v>186</v>
      </c>
      <c r="CQ60" t="s">
        <v>577</v>
      </c>
      <c r="CR60" s="7">
        <v>7.9999999999999993E-21</v>
      </c>
      <c r="CS60" t="s">
        <v>153</v>
      </c>
      <c r="CT60" t="s">
        <v>75</v>
      </c>
      <c r="CU60" t="s">
        <v>92</v>
      </c>
      <c r="CV60" t="s">
        <v>154</v>
      </c>
      <c r="CW60" s="7">
        <v>7.9999999999999993E-21</v>
      </c>
      <c r="CX60" t="s">
        <v>774</v>
      </c>
      <c r="CY60" t="s">
        <v>185</v>
      </c>
      <c r="CZ60" t="s">
        <v>186</v>
      </c>
      <c r="DA60" t="s">
        <v>775</v>
      </c>
      <c r="DB60" s="7">
        <v>7.9999999999999993E-21</v>
      </c>
      <c r="DC60" t="str">
        <f>HYPERLINK(".\links\CDD\TI_asb-105-CDD.txt","SynN")</f>
        <v>SynN</v>
      </c>
      <c r="DD60" t="str">
        <f>HYPERLINK("http://www.ncbi.nlm.nih.gov/Structure/cdd/cddsrv.cgi?uid=smart00503&amp;version=v4.0","1E-008")</f>
        <v>1E-008</v>
      </c>
      <c r="DE60" t="s">
        <v>776</v>
      </c>
      <c r="DF60" t="s">
        <v>56</v>
      </c>
      <c r="DG60" t="s">
        <v>56</v>
      </c>
      <c r="DH60" t="s">
        <v>56</v>
      </c>
      <c r="DI60" s="6" t="s">
        <v>56</v>
      </c>
      <c r="DJ60" s="6" t="str">
        <f>HYPERLINK(".\links\KOG\TI_asb-105-KOG.txt","SNARE protein PEP12/VAM3/Syntaxin 7/Syntaxin 17")</f>
        <v>SNARE protein PEP12/VAM3/Syntaxin 7/Syntaxin 17</v>
      </c>
      <c r="DK60" s="6" t="str">
        <f>HYPERLINK("http://www.ncbi.nlm.nih.gov/COG/grace/shokog.cgi?KOG0811","2E-014")</f>
        <v>2E-014</v>
      </c>
      <c r="DL60" s="6" t="s">
        <v>4352</v>
      </c>
      <c r="DM60" s="6" t="str">
        <f>HYPERLINK(".\links\KOG\TI_asb-105-KOG.txt","KOG0811")</f>
        <v>KOG0811</v>
      </c>
      <c r="DN60" t="str">
        <f>HYPERLINK(".\links\SMART\TI_asb-105-SMART.txt","SynN")</f>
        <v>SynN</v>
      </c>
      <c r="DO60" t="str">
        <f>HYPERLINK("http://smart.embl-heidelberg.de/smart/do_annotation.pl?DOMAIN=SynN&amp;BLAST=DUMMY","2E-010")</f>
        <v>2E-010</v>
      </c>
      <c r="DP60" s="3" t="s">
        <v>56</v>
      </c>
      <c r="ED60" s="3" t="s">
        <v>56</v>
      </c>
    </row>
    <row r="61" spans="1:147">
      <c r="A61" t="str">
        <f>HYPERLINK(".\links\seq\TI_asb-106-seq.txt","TI_asb-106")</f>
        <v>TI_asb-106</v>
      </c>
      <c r="B61">
        <v>106</v>
      </c>
      <c r="C61" t="str">
        <f>HYPERLINK(".\links\tsa\TI_asb-106-tsa.txt","1")</f>
        <v>1</v>
      </c>
      <c r="D61">
        <v>1</v>
      </c>
      <c r="E61">
        <v>571</v>
      </c>
      <c r="F61">
        <v>554</v>
      </c>
      <c r="G61" t="str">
        <f>HYPERLINK(".\links\qual\TI_asb-106-qual.txt","55")</f>
        <v>55</v>
      </c>
      <c r="H61">
        <v>1</v>
      </c>
      <c r="I61">
        <v>0</v>
      </c>
      <c r="J61">
        <f t="shared" si="2"/>
        <v>1</v>
      </c>
      <c r="K61" s="6">
        <f t="shared" si="3"/>
        <v>1</v>
      </c>
      <c r="L61" s="6" t="s">
        <v>3868</v>
      </c>
      <c r="M61" s="6" t="s">
        <v>3869</v>
      </c>
      <c r="N61" s="6"/>
      <c r="O61" s="6"/>
      <c r="P61" s="6"/>
      <c r="Q61" s="3">
        <v>571</v>
      </c>
      <c r="R61" s="3">
        <v>168</v>
      </c>
      <c r="S61" s="3" t="s">
        <v>3540</v>
      </c>
      <c r="T61" s="3">
        <v>6</v>
      </c>
      <c r="U61" t="str">
        <f>HYPERLINK(".\links\NR-LIGHT\TI_asb-106-NR-LIGHT.txt","unnamed protein product")</f>
        <v>unnamed protein product</v>
      </c>
      <c r="V61" t="str">
        <f>HYPERLINK("http://www.ncbi.nlm.nih.gov/sutils/blink.cgi?pid=194385230","2.9")</f>
        <v>2.9</v>
      </c>
      <c r="W61" t="str">
        <f>HYPERLINK(".\links\NR-LIGHT\TI_asb-106-NR-LIGHT.txt"," 4")</f>
        <v xml:space="preserve"> 4</v>
      </c>
      <c r="X61" t="str">
        <f>HYPERLINK("http://www.ncbi.nlm.nih.gov/protein/194385230","gi|194385230")</f>
        <v>gi|194385230</v>
      </c>
      <c r="Y61">
        <v>33.9</v>
      </c>
      <c r="Z61">
        <v>43</v>
      </c>
      <c r="AA61">
        <v>267</v>
      </c>
      <c r="AB61">
        <v>37</v>
      </c>
      <c r="AC61">
        <v>16</v>
      </c>
      <c r="AD61">
        <v>27</v>
      </c>
      <c r="AE61">
        <v>0</v>
      </c>
      <c r="AF61">
        <v>10</v>
      </c>
      <c r="AG61">
        <v>117</v>
      </c>
      <c r="AH61">
        <v>1</v>
      </c>
      <c r="AI61">
        <v>-3</v>
      </c>
      <c r="AJ61" t="s">
        <v>53</v>
      </c>
      <c r="AK61" t="s">
        <v>64</v>
      </c>
      <c r="AL61" t="s">
        <v>330</v>
      </c>
      <c r="AM61" t="str">
        <f>HYPERLINK(".\links\SWISSP\TI_asb-106-SWISSP.txt","GPI mannosyltransferase 4 OS=Ashbya gossypii GN=SMP3 PE=3 SV=2")</f>
        <v>GPI mannosyltransferase 4 OS=Ashbya gossypii GN=SMP3 PE=3 SV=2</v>
      </c>
      <c r="AN61" s="19" t="str">
        <f>HYPERLINK("http://www.uniprot.org/uniprot/Q753C1","5.9")</f>
        <v>5.9</v>
      </c>
      <c r="AO61" t="str">
        <f>HYPERLINK(".\links\SWISSP\TI_asb-106-SWISSP.txt"," 2")</f>
        <v xml:space="preserve"> 2</v>
      </c>
      <c r="AP61" t="s">
        <v>777</v>
      </c>
      <c r="AQ61">
        <v>30.8</v>
      </c>
      <c r="AR61">
        <v>38</v>
      </c>
      <c r="AS61">
        <v>498</v>
      </c>
      <c r="AT61">
        <v>39</v>
      </c>
      <c r="AU61">
        <v>8</v>
      </c>
      <c r="AV61">
        <v>23</v>
      </c>
      <c r="AW61">
        <v>2</v>
      </c>
      <c r="AX61">
        <v>197</v>
      </c>
      <c r="AY61">
        <v>120</v>
      </c>
      <c r="AZ61">
        <v>1</v>
      </c>
      <c r="BA61">
        <v>-3</v>
      </c>
      <c r="BB61" t="s">
        <v>53</v>
      </c>
      <c r="BC61" t="s">
        <v>64</v>
      </c>
      <c r="BD61" t="s">
        <v>778</v>
      </c>
      <c r="BE61" t="s">
        <v>779</v>
      </c>
      <c r="BF61" t="s">
        <v>780</v>
      </c>
      <c r="BG61" t="str">
        <f>HYPERLINK(".\links\PREV-RHOD-PEP\TI_asb-106-PREV-RHOD-PEP.txt","Contig17849_4")</f>
        <v>Contig17849_4</v>
      </c>
      <c r="BH61" s="6">
        <v>2</v>
      </c>
      <c r="BI61" t="str">
        <f>HYPERLINK(".\links\PREV-RHOD-PEP\TI_asb-106-PREV-RHOD-PEP.txt"," 4")</f>
        <v xml:space="preserve"> 4</v>
      </c>
      <c r="BJ61" t="s">
        <v>781</v>
      </c>
      <c r="BK61">
        <v>28.5</v>
      </c>
      <c r="BL61">
        <v>49</v>
      </c>
      <c r="BM61">
        <v>621</v>
      </c>
      <c r="BN61">
        <v>22</v>
      </c>
      <c r="BO61">
        <v>8</v>
      </c>
      <c r="BP61">
        <v>38</v>
      </c>
      <c r="BQ61">
        <v>0</v>
      </c>
      <c r="BR61">
        <v>384</v>
      </c>
      <c r="BS61">
        <v>99</v>
      </c>
      <c r="BT61">
        <v>1</v>
      </c>
      <c r="BU61" t="s">
        <v>64</v>
      </c>
      <c r="BV61" t="s">
        <v>782</v>
      </c>
      <c r="BW61" t="s">
        <v>56</v>
      </c>
      <c r="BX61" t="str">
        <f>HYPERLINK(".\links\PREV-RHOD-CDS\TI_asb-106-PREV-RHOD-CDS.txt","Contig7628_18")</f>
        <v>Contig7628_18</v>
      </c>
      <c r="BY61" s="6">
        <v>0.28000000000000003</v>
      </c>
      <c r="BZ61" t="s">
        <v>783</v>
      </c>
      <c r="CA61">
        <v>36.200000000000003</v>
      </c>
      <c r="CB61">
        <v>17</v>
      </c>
      <c r="CC61">
        <v>441</v>
      </c>
      <c r="CD61">
        <v>100</v>
      </c>
      <c r="CE61">
        <v>4</v>
      </c>
      <c r="CF61">
        <v>0</v>
      </c>
      <c r="CG61">
        <v>0</v>
      </c>
      <c r="CH61">
        <v>403</v>
      </c>
      <c r="CI61">
        <v>448</v>
      </c>
      <c r="CJ61">
        <v>1</v>
      </c>
      <c r="CK61" t="s">
        <v>54</v>
      </c>
      <c r="CL61" t="s">
        <v>784</v>
      </c>
      <c r="CM61">
        <f>HYPERLINK(".\links\GO\TI_asb-106-GO.txt",3)</f>
        <v>3</v>
      </c>
      <c r="CN61" t="s">
        <v>785</v>
      </c>
      <c r="CO61" t="s">
        <v>324</v>
      </c>
      <c r="CP61" t="s">
        <v>325</v>
      </c>
      <c r="CQ61" t="s">
        <v>786</v>
      </c>
      <c r="CR61" s="6">
        <v>3</v>
      </c>
      <c r="CS61" t="s">
        <v>499</v>
      </c>
      <c r="CT61" t="s">
        <v>75</v>
      </c>
      <c r="CU61" t="s">
        <v>92</v>
      </c>
      <c r="CV61" t="s">
        <v>500</v>
      </c>
      <c r="CW61" s="6">
        <v>3</v>
      </c>
      <c r="CX61" t="s">
        <v>327</v>
      </c>
      <c r="CY61" t="s">
        <v>324</v>
      </c>
      <c r="CZ61" t="s">
        <v>325</v>
      </c>
      <c r="DA61" t="s">
        <v>328</v>
      </c>
      <c r="DB61" s="6">
        <v>3</v>
      </c>
      <c r="DC61" t="str">
        <f>HYPERLINK(".\links\CDD\TI_asb-106-CDD.txt","ND4")</f>
        <v>ND4</v>
      </c>
      <c r="DD61" t="str">
        <f>HYPERLINK("http://www.ncbi.nlm.nih.gov/Structure/cdd/cddsrv.cgi?uid=MTH00094&amp;version=v4.0","0.081")</f>
        <v>0.081</v>
      </c>
      <c r="DE61" t="s">
        <v>787</v>
      </c>
      <c r="DF61" t="str">
        <f>HYPERLINK(".\links\PFAM\TI_asb-106-PFAM.txt","YfhO")</f>
        <v>YfhO</v>
      </c>
      <c r="DG61" t="str">
        <f>HYPERLINK("http://pfam.sanger.ac.uk/family?acc=PF09586","0.051")</f>
        <v>0.051</v>
      </c>
      <c r="DH61" t="str">
        <f>HYPERLINK(".\links\PRK\TI_asb-106-PRK.txt","NADH dehydrogenase subunit 5")</f>
        <v>NADH dehydrogenase subunit 5</v>
      </c>
      <c r="DI61" s="6">
        <v>5.5E-2</v>
      </c>
      <c r="DJ61" s="6" t="s">
        <v>56</v>
      </c>
      <c r="DN61" t="str">
        <f>HYPERLINK(".\links\SMART\TI_asb-106-SMART.txt","PSN")</f>
        <v>PSN</v>
      </c>
      <c r="DO61" t="str">
        <f>HYPERLINK("http://smart.embl-heidelberg.de/smart/do_annotation.pl?DOMAIN=PSN&amp;BLAST=DUMMY","0.092")</f>
        <v>0.092</v>
      </c>
      <c r="DP61" s="3" t="s">
        <v>56</v>
      </c>
      <c r="ED61" s="3" t="s">
        <v>56</v>
      </c>
    </row>
    <row r="62" spans="1:147">
      <c r="A62" t="str">
        <f>HYPERLINK(".\links\seq\TI_asb-108-seq.txt","TI_asb-108")</f>
        <v>TI_asb-108</v>
      </c>
      <c r="B62">
        <v>108</v>
      </c>
      <c r="C62" t="str">
        <f>HYPERLINK(".\links\tsa\TI_asb-108-tsa.txt","2")</f>
        <v>2</v>
      </c>
      <c r="D62">
        <v>2</v>
      </c>
      <c r="E62">
        <v>588</v>
      </c>
      <c r="G62" t="str">
        <f>HYPERLINK(".\links\qual\TI_asb-108-qual.txt","48")</f>
        <v>48</v>
      </c>
      <c r="H62">
        <v>1</v>
      </c>
      <c r="I62">
        <v>1</v>
      </c>
      <c r="J62">
        <f t="shared" si="2"/>
        <v>0</v>
      </c>
      <c r="K62" s="6">
        <f t="shared" si="3"/>
        <v>0</v>
      </c>
      <c r="L62" s="6" t="s">
        <v>3868</v>
      </c>
      <c r="M62" s="6" t="s">
        <v>3869</v>
      </c>
      <c r="N62" s="6"/>
      <c r="O62" s="6"/>
      <c r="P62" s="6"/>
      <c r="Q62" s="3">
        <v>588</v>
      </c>
      <c r="R62" s="3">
        <v>195</v>
      </c>
      <c r="S62" s="6" t="s">
        <v>3541</v>
      </c>
      <c r="T62" s="3">
        <v>6</v>
      </c>
      <c r="U62" t="str">
        <f>HYPERLINK(".\links\NR-LIGHT\TI_asb-108-NR-LIGHT.txt","hypothetical protein, unlikely")</f>
        <v>hypothetical protein, unlikely</v>
      </c>
      <c r="V62" t="str">
        <f>HYPERLINK("http://www.ncbi.nlm.nih.gov/sutils/blink.cgi?pid=261331151","0.63")</f>
        <v>0.63</v>
      </c>
      <c r="W62" t="str">
        <f>HYPERLINK(".\links\NR-LIGHT\TI_asb-108-NR-LIGHT.txt"," 10")</f>
        <v xml:space="preserve"> 10</v>
      </c>
      <c r="X62" t="str">
        <f>HYPERLINK("http://www.ncbi.nlm.nih.gov/protein/261331151","gi|261331151")</f>
        <v>gi|261331151</v>
      </c>
      <c r="Y62">
        <v>36.200000000000003</v>
      </c>
      <c r="Z62">
        <v>88</v>
      </c>
      <c r="AA62">
        <v>100</v>
      </c>
      <c r="AB62">
        <v>31</v>
      </c>
      <c r="AC62">
        <v>88</v>
      </c>
      <c r="AD62">
        <v>60</v>
      </c>
      <c r="AE62">
        <v>0</v>
      </c>
      <c r="AF62">
        <v>8</v>
      </c>
      <c r="AG62">
        <v>251</v>
      </c>
      <c r="AH62">
        <v>1</v>
      </c>
      <c r="AI62">
        <v>-3</v>
      </c>
      <c r="AJ62" t="s">
        <v>53</v>
      </c>
      <c r="AK62" t="s">
        <v>64</v>
      </c>
      <c r="AL62" t="s">
        <v>788</v>
      </c>
      <c r="AM62" t="str">
        <f>HYPERLINK(".\links\SWISSP\TI_asb-108-SWISSP.txt","Maturase K OS=Lathyrus vestitus GN=matK PE=3 SV=1")</f>
        <v>Maturase K OS=Lathyrus vestitus GN=matK PE=3 SV=1</v>
      </c>
      <c r="AN62" s="19" t="str">
        <f>HYPERLINK("http://www.uniprot.org/uniprot/Q8MCR7","2.9")</f>
        <v>2.9</v>
      </c>
      <c r="AO62" t="str">
        <f>HYPERLINK(".\links\SWISSP\TI_asb-108-SWISSP.txt"," 6")</f>
        <v xml:space="preserve"> 6</v>
      </c>
      <c r="AP62" t="s">
        <v>789</v>
      </c>
      <c r="AQ62">
        <v>32</v>
      </c>
      <c r="AR62">
        <v>53</v>
      </c>
      <c r="AS62">
        <v>503</v>
      </c>
      <c r="AT62">
        <v>33</v>
      </c>
      <c r="AU62">
        <v>11</v>
      </c>
      <c r="AV62">
        <v>35</v>
      </c>
      <c r="AW62">
        <v>0</v>
      </c>
      <c r="AX62">
        <v>208</v>
      </c>
      <c r="AY62">
        <v>430</v>
      </c>
      <c r="AZ62">
        <v>1</v>
      </c>
      <c r="BA62">
        <v>-1</v>
      </c>
      <c r="BB62" t="s">
        <v>53</v>
      </c>
      <c r="BC62" t="s">
        <v>64</v>
      </c>
      <c r="BD62" t="s">
        <v>790</v>
      </c>
      <c r="BE62" t="s">
        <v>791</v>
      </c>
      <c r="BF62" t="s">
        <v>792</v>
      </c>
      <c r="BG62" t="str">
        <f>HYPERLINK(".\links\PREV-RHOD-PEP\TI_asb-108-PREV-RHOD-PEP.txt","Contig18070_212")</f>
        <v>Contig18070_212</v>
      </c>
      <c r="BH62" s="6">
        <v>0.24</v>
      </c>
      <c r="BI62" t="str">
        <f>HYPERLINK(".\links\PREV-RHOD-PEP\TI_asb-108-PREV-RHOD-PEP.txt"," 3")</f>
        <v xml:space="preserve"> 3</v>
      </c>
      <c r="BJ62" t="s">
        <v>793</v>
      </c>
      <c r="BK62">
        <v>31.6</v>
      </c>
      <c r="BL62">
        <v>62</v>
      </c>
      <c r="BM62">
        <v>297</v>
      </c>
      <c r="BN62">
        <v>32</v>
      </c>
      <c r="BO62">
        <v>21</v>
      </c>
      <c r="BP62">
        <v>42</v>
      </c>
      <c r="BQ62">
        <v>0</v>
      </c>
      <c r="BR62">
        <v>58</v>
      </c>
      <c r="BS62">
        <v>332</v>
      </c>
      <c r="BT62">
        <v>1</v>
      </c>
      <c r="BU62" t="s">
        <v>64</v>
      </c>
      <c r="BV62" t="s">
        <v>794</v>
      </c>
      <c r="BW62" t="s">
        <v>56</v>
      </c>
      <c r="BX62" t="str">
        <f>HYPERLINK(".\links\PREV-RHOD-CDS\TI_asb-108-PREV-RHOD-CDS.txt","Contig17976_54")</f>
        <v>Contig17976_54</v>
      </c>
      <c r="BY62" s="6">
        <v>7.2999999999999995E-2</v>
      </c>
      <c r="BZ62" t="s">
        <v>795</v>
      </c>
      <c r="CA62">
        <v>38.200000000000003</v>
      </c>
      <c r="CB62">
        <v>18</v>
      </c>
      <c r="CC62">
        <v>1608</v>
      </c>
      <c r="CD62">
        <v>100</v>
      </c>
      <c r="CE62">
        <v>1</v>
      </c>
      <c r="CF62">
        <v>0</v>
      </c>
      <c r="CG62">
        <v>0</v>
      </c>
      <c r="CH62">
        <v>57</v>
      </c>
      <c r="CI62">
        <v>42</v>
      </c>
      <c r="CJ62">
        <v>1</v>
      </c>
      <c r="CK62" t="s">
        <v>54</v>
      </c>
      <c r="CL62" t="s">
        <v>796</v>
      </c>
      <c r="CM62">
        <f>HYPERLINK(".\links\GO\TI_asb-108-GO.txt",3.2)</f>
        <v>3.2</v>
      </c>
      <c r="CN62" t="s">
        <v>58</v>
      </c>
      <c r="CO62" t="s">
        <v>58</v>
      </c>
      <c r="CQ62" t="s">
        <v>59</v>
      </c>
      <c r="CR62" s="6">
        <v>9.1999999999999993</v>
      </c>
      <c r="CS62" t="s">
        <v>60</v>
      </c>
      <c r="CT62" t="s">
        <v>60</v>
      </c>
      <c r="CV62" t="s">
        <v>61</v>
      </c>
      <c r="CW62" s="6">
        <v>9.1999999999999993</v>
      </c>
      <c r="CX62" t="s">
        <v>62</v>
      </c>
      <c r="CY62" t="s">
        <v>58</v>
      </c>
      <c r="DA62" t="s">
        <v>63</v>
      </c>
      <c r="DB62" s="6">
        <v>9.1999999999999993</v>
      </c>
      <c r="DC62" t="str">
        <f>HYPERLINK(".\links\CDD\TI_asb-108-CDD.txt","7TMR-DISM_7TM")</f>
        <v>7TMR-DISM_7TM</v>
      </c>
      <c r="DD62" t="str">
        <f>HYPERLINK("http://www.ncbi.nlm.nih.gov/Structure/cdd/cddsrv.cgi?uid=pfam07695&amp;version=v4.0","0.014")</f>
        <v>0.014</v>
      </c>
      <c r="DE62" t="s">
        <v>797</v>
      </c>
      <c r="DF62" t="str">
        <f>HYPERLINK(".\links\PFAM\TI_asb-108-PFAM.txt","7TM_GPCR_Srz")</f>
        <v>7TM_GPCR_Srz</v>
      </c>
      <c r="DG62" t="str">
        <f>HYPERLINK("http://pfam.sanger.ac.uk/family?acc=PF10325","3E-004")</f>
        <v>3E-004</v>
      </c>
      <c r="DH62" t="str">
        <f>HYPERLINK(".\links\PRK\TI_asb-108-PRK.txt","NADH dehydrogenase subunit 5")</f>
        <v>NADH dehydrogenase subunit 5</v>
      </c>
      <c r="DI62" s="7">
        <v>5.9999999999999997E-7</v>
      </c>
      <c r="DJ62" s="6" t="str">
        <f>HYPERLINK(".\links\KOG\TI_asb-108-KOG.txt","Lipid exporter ABCA1 and related proteins, ABC superfamily")</f>
        <v>Lipid exporter ABCA1 and related proteins, ABC superfamily</v>
      </c>
      <c r="DK62" s="6" t="str">
        <f>HYPERLINK("http://www.ncbi.nlm.nih.gov/COG/grace/shokog.cgi?KOG0059","0.014")</f>
        <v>0.014</v>
      </c>
      <c r="DL62" s="6" t="s">
        <v>4336</v>
      </c>
      <c r="DM62" s="6" t="str">
        <f>HYPERLINK(".\links\KOG\TI_asb-108-KOG.txt","KOG0059")</f>
        <v>KOG0059</v>
      </c>
      <c r="DN62" t="str">
        <f>HYPERLINK(".\links\SMART\TI_asb-108-SMART.txt","STYKc")</f>
        <v>STYKc</v>
      </c>
      <c r="DO62" t="str">
        <f>HYPERLINK("http://smart.embl-heidelberg.de/smart/do_annotation.pl?DOMAIN=STYKc&amp;BLAST=DUMMY","0.085")</f>
        <v>0.085</v>
      </c>
      <c r="DP62" s="3" t="s">
        <v>56</v>
      </c>
      <c r="ED62" s="3" t="s">
        <v>56</v>
      </c>
    </row>
    <row r="63" spans="1:147">
      <c r="A63" t="str">
        <f>HYPERLINK(".\links\seq\TI_asb-109-seq.txt","TI_asb-109")</f>
        <v>TI_asb-109</v>
      </c>
      <c r="B63">
        <v>109</v>
      </c>
      <c r="C63" t="str">
        <f>HYPERLINK(".\links\tsa\TI_asb-109-tsa.txt","1")</f>
        <v>1</v>
      </c>
      <c r="D63">
        <v>1</v>
      </c>
      <c r="E63">
        <v>432</v>
      </c>
      <c r="G63" t="str">
        <f>HYPERLINK(".\links\qual\TI_asb-109-qual.txt","21")</f>
        <v>21</v>
      </c>
      <c r="H63">
        <v>1</v>
      </c>
      <c r="I63">
        <v>0</v>
      </c>
      <c r="J63">
        <f t="shared" si="2"/>
        <v>1</v>
      </c>
      <c r="K63" s="6">
        <f t="shared" si="3"/>
        <v>1</v>
      </c>
      <c r="L63" s="6" t="s">
        <v>3868</v>
      </c>
      <c r="M63" s="6" t="s">
        <v>3869</v>
      </c>
      <c r="N63" s="6"/>
      <c r="O63" s="6"/>
      <c r="P63" s="6"/>
      <c r="Q63" s="3">
        <v>432</v>
      </c>
      <c r="R63" s="3">
        <v>252</v>
      </c>
      <c r="S63" s="5" t="s">
        <v>3542</v>
      </c>
      <c r="T63" s="3">
        <v>2</v>
      </c>
      <c r="U63" t="str">
        <f>HYPERLINK(".\links\NR-LIGHT\TI_asb-109-NR-LIGHT.txt","LOW QUALITY PROTEIN: GC-rich sequence DNA-binding factor 1-like")</f>
        <v>LOW QUALITY PROTEIN: GC-rich sequence DNA-binding factor 1-like</v>
      </c>
      <c r="V63" t="str">
        <f>HYPERLINK("http://www.ncbi.nlm.nih.gov/sutils/blink.cgi?pid=311270185","7.7")</f>
        <v>7.7</v>
      </c>
      <c r="W63" t="str">
        <f>HYPERLINK(".\links\NR-LIGHT\TI_asb-109-NR-LIGHT.txt"," 10")</f>
        <v xml:space="preserve"> 10</v>
      </c>
      <c r="X63" t="str">
        <f>HYPERLINK("http://www.ncbi.nlm.nih.gov/protein/311270185","gi|311270185")</f>
        <v>gi|311270185</v>
      </c>
      <c r="Y63">
        <v>31.6</v>
      </c>
      <c r="Z63">
        <v>45</v>
      </c>
      <c r="AA63">
        <v>915</v>
      </c>
      <c r="AB63">
        <v>33</v>
      </c>
      <c r="AC63">
        <v>5</v>
      </c>
      <c r="AD63">
        <v>30</v>
      </c>
      <c r="AE63">
        <v>0</v>
      </c>
      <c r="AF63">
        <v>727</v>
      </c>
      <c r="AG63">
        <v>103</v>
      </c>
      <c r="AH63">
        <v>1</v>
      </c>
      <c r="AI63">
        <v>-1</v>
      </c>
      <c r="AJ63" t="s">
        <v>53</v>
      </c>
      <c r="AK63" t="s">
        <v>64</v>
      </c>
      <c r="AL63" t="s">
        <v>229</v>
      </c>
      <c r="AM63" t="str">
        <f>HYPERLINK(".\links\SWISSP\TI_asb-109-SWISSP.txt","GC-rich sequence DNA-binding factor 1 OS=Mus musculus GN=Gcfc1 PE=1 SV=2")</f>
        <v>GC-rich sequence DNA-binding factor 1 OS=Mus musculus GN=Gcfc1 PE=1 SV=2</v>
      </c>
      <c r="AN63" s="19" t="str">
        <f>HYPERLINK("http://www.uniprot.org/uniprot/P58501","1.7")</f>
        <v>1.7</v>
      </c>
      <c r="AO63" t="str">
        <f>HYPERLINK(".\links\SWISSP\TI_asb-109-SWISSP.txt"," 4")</f>
        <v xml:space="preserve"> 4</v>
      </c>
      <c r="AP63" t="s">
        <v>798</v>
      </c>
      <c r="AQ63">
        <v>31.6</v>
      </c>
      <c r="AR63">
        <v>45</v>
      </c>
      <c r="AS63">
        <v>917</v>
      </c>
      <c r="AT63">
        <v>33</v>
      </c>
      <c r="AU63">
        <v>5</v>
      </c>
      <c r="AV63">
        <v>30</v>
      </c>
      <c r="AW63">
        <v>0</v>
      </c>
      <c r="AX63">
        <v>729</v>
      </c>
      <c r="AY63">
        <v>103</v>
      </c>
      <c r="AZ63">
        <v>1</v>
      </c>
      <c r="BA63">
        <v>-1</v>
      </c>
      <c r="BB63" t="s">
        <v>53</v>
      </c>
      <c r="BC63" t="s">
        <v>64</v>
      </c>
      <c r="BD63" t="s">
        <v>214</v>
      </c>
      <c r="BE63" t="s">
        <v>799</v>
      </c>
      <c r="BF63" t="s">
        <v>800</v>
      </c>
      <c r="BG63" t="str">
        <f>HYPERLINK(".\links\PREV-RHOD-PEP\TI_asb-109-PREV-RHOD-PEP.txt","Contig17617_25")</f>
        <v>Contig17617_25</v>
      </c>
      <c r="BH63" s="6">
        <v>5.7</v>
      </c>
      <c r="BI63" t="str">
        <f>HYPERLINK(".\links\PREV-RHOD-PEP\TI_asb-109-PREV-RHOD-PEP.txt"," 2")</f>
        <v xml:space="preserve"> 2</v>
      </c>
      <c r="BJ63" t="s">
        <v>801</v>
      </c>
      <c r="BK63">
        <v>26.2</v>
      </c>
      <c r="BL63">
        <v>32</v>
      </c>
      <c r="BM63">
        <v>447</v>
      </c>
      <c r="BN63">
        <v>31</v>
      </c>
      <c r="BO63">
        <v>7</v>
      </c>
      <c r="BP63">
        <v>22</v>
      </c>
      <c r="BQ63">
        <v>0</v>
      </c>
      <c r="BR63">
        <v>198</v>
      </c>
      <c r="BS63">
        <v>289</v>
      </c>
      <c r="BT63">
        <v>1</v>
      </c>
      <c r="BU63" t="s">
        <v>54</v>
      </c>
      <c r="BV63" t="s">
        <v>802</v>
      </c>
      <c r="BW63" t="s">
        <v>56</v>
      </c>
      <c r="BX63" t="str">
        <f>HYPERLINK(".\links\PREV-RHOD-CDS\TI_asb-109-PREV-RHOD-CDS.txt","Contig11758_5")</f>
        <v>Contig11758_5</v>
      </c>
      <c r="BY63" s="6">
        <v>0.21</v>
      </c>
      <c r="BZ63" t="s">
        <v>803</v>
      </c>
      <c r="CA63">
        <v>36.200000000000003</v>
      </c>
      <c r="CB63">
        <v>17</v>
      </c>
      <c r="CC63">
        <v>3252</v>
      </c>
      <c r="CD63">
        <v>100</v>
      </c>
      <c r="CE63">
        <v>1</v>
      </c>
      <c r="CF63">
        <v>0</v>
      </c>
      <c r="CG63">
        <v>0</v>
      </c>
      <c r="CH63">
        <v>542</v>
      </c>
      <c r="CI63">
        <v>364</v>
      </c>
      <c r="CJ63">
        <v>1</v>
      </c>
      <c r="CK63" t="s">
        <v>64</v>
      </c>
      <c r="CL63" t="s">
        <v>804</v>
      </c>
      <c r="CM63">
        <f>HYPERLINK(".\links\GO\TI_asb-109-GO.txt",0.56)</f>
        <v>0.56000000000000005</v>
      </c>
      <c r="CN63" t="s">
        <v>58</v>
      </c>
      <c r="CO63" t="s">
        <v>58</v>
      </c>
      <c r="CQ63" t="s">
        <v>59</v>
      </c>
      <c r="CR63" s="6">
        <v>0.73</v>
      </c>
      <c r="CS63" t="s">
        <v>60</v>
      </c>
      <c r="CT63" t="s">
        <v>60</v>
      </c>
      <c r="CV63" t="s">
        <v>61</v>
      </c>
      <c r="CW63" s="6">
        <v>0.73</v>
      </c>
      <c r="CX63" t="s">
        <v>62</v>
      </c>
      <c r="CY63" t="s">
        <v>58</v>
      </c>
      <c r="DA63" t="s">
        <v>63</v>
      </c>
      <c r="DB63" s="6">
        <v>0.73</v>
      </c>
      <c r="DC63" t="str">
        <f>HYPERLINK(".\links\CDD\TI_asb-109-CDD.txt","rplP0")</f>
        <v>rplP0</v>
      </c>
      <c r="DD63" t="str">
        <f>HYPERLINK("http://www.ncbi.nlm.nih.gov/Structure/cdd/cddsrv.cgi?uid=PRK04019&amp;version=v4.0","0.012")</f>
        <v>0.012</v>
      </c>
      <c r="DE63" t="s">
        <v>805</v>
      </c>
      <c r="DF63" t="s">
        <v>56</v>
      </c>
      <c r="DG63" t="s">
        <v>56</v>
      </c>
      <c r="DH63" t="str">
        <f>HYPERLINK(".\links\PRK\TI_asb-109-PRK.txt","acidic ribosomal protein P0")</f>
        <v>acidic ribosomal protein P0</v>
      </c>
      <c r="DI63" s="6">
        <v>5.0000000000000001E-3</v>
      </c>
      <c r="DJ63" s="6" t="s">
        <v>56</v>
      </c>
      <c r="DN63" t="s">
        <v>56</v>
      </c>
      <c r="DO63" t="s">
        <v>56</v>
      </c>
      <c r="DP63" s="3" t="s">
        <v>56</v>
      </c>
      <c r="ED63" s="3" t="s">
        <v>56</v>
      </c>
    </row>
    <row r="64" spans="1:147">
      <c r="A64" t="str">
        <f>HYPERLINK(".\links\seq\TI_asb-110-seq.txt","TI_asb-110")</f>
        <v>TI_asb-110</v>
      </c>
      <c r="B64">
        <v>110</v>
      </c>
      <c r="C64" t="str">
        <f>HYPERLINK(".\links\tsa\TI_asb-110-tsa.txt","1")</f>
        <v>1</v>
      </c>
      <c r="D64">
        <v>1</v>
      </c>
      <c r="E64">
        <v>597</v>
      </c>
      <c r="G64" t="str">
        <f>HYPERLINK(".\links\qual\TI_asb-110-qual.txt","31")</f>
        <v>31</v>
      </c>
      <c r="H64">
        <v>1</v>
      </c>
      <c r="I64">
        <v>0</v>
      </c>
      <c r="J64">
        <f t="shared" si="2"/>
        <v>1</v>
      </c>
      <c r="K64" s="6">
        <f t="shared" si="3"/>
        <v>1</v>
      </c>
      <c r="L64" s="6" t="s">
        <v>3868</v>
      </c>
      <c r="M64" s="6" t="s">
        <v>3869</v>
      </c>
      <c r="N64" s="6"/>
      <c r="O64" s="6"/>
      <c r="P64" s="6"/>
      <c r="Q64" s="3">
        <v>597</v>
      </c>
      <c r="R64" s="3">
        <v>162</v>
      </c>
      <c r="S64" s="3" t="s">
        <v>3543</v>
      </c>
      <c r="T64" s="3">
        <v>2</v>
      </c>
      <c r="U64" t="str">
        <f>HYPERLINK(".\links\NR-LIGHT\TI_asb-110-NR-LIGHT.txt","DNA topoisomerase 2-beta")</f>
        <v>DNA topoisomerase 2-beta</v>
      </c>
      <c r="V64" t="str">
        <f>HYPERLINK("http://www.ncbi.nlm.nih.gov/sutils/blink.cgi?pid=113681126","2.5")</f>
        <v>2.5</v>
      </c>
      <c r="W64" t="str">
        <f>HYPERLINK(".\links\NR-LIGHT\TI_asb-110-NR-LIGHT.txt"," 1")</f>
        <v xml:space="preserve"> 1</v>
      </c>
      <c r="X64" t="str">
        <f>HYPERLINK("http://www.ncbi.nlm.nih.gov/protein/113681126","gi|113681126")</f>
        <v>gi|113681126</v>
      </c>
      <c r="Y64">
        <v>34.299999999999997</v>
      </c>
      <c r="Z64">
        <v>37</v>
      </c>
      <c r="AA64">
        <v>1618</v>
      </c>
      <c r="AB64">
        <v>40</v>
      </c>
      <c r="AC64">
        <v>2</v>
      </c>
      <c r="AD64">
        <v>22</v>
      </c>
      <c r="AE64">
        <v>0</v>
      </c>
      <c r="AF64">
        <v>892</v>
      </c>
      <c r="AG64">
        <v>15</v>
      </c>
      <c r="AH64">
        <v>1</v>
      </c>
      <c r="AI64">
        <v>3</v>
      </c>
      <c r="AJ64" t="s">
        <v>53</v>
      </c>
      <c r="AK64" t="s">
        <v>54</v>
      </c>
      <c r="AL64" t="s">
        <v>202</v>
      </c>
      <c r="AM64" t="str">
        <f>HYPERLINK(".\links\SWISSP\TI_asb-110-SWISSP.txt","Protein CLEC16A homolog OS=Dictyostelium discoideum GN=DDB_G0289943 PE=3 SV=1")</f>
        <v>Protein CLEC16A homolog OS=Dictyostelium discoideum GN=DDB_G0289943 PE=3 SV=1</v>
      </c>
      <c r="AN64" s="19" t="str">
        <f>HYPERLINK("http://www.uniprot.org/uniprot/Q54GS1","5.0")</f>
        <v>5.0</v>
      </c>
      <c r="AO64" t="str">
        <f>HYPERLINK(".\links\SWISSP\TI_asb-110-SWISSP.txt"," 1")</f>
        <v xml:space="preserve"> 1</v>
      </c>
      <c r="AP64" t="s">
        <v>806</v>
      </c>
      <c r="AQ64">
        <v>31.2</v>
      </c>
      <c r="AR64">
        <v>28</v>
      </c>
      <c r="AS64">
        <v>1550</v>
      </c>
      <c r="AT64">
        <v>46</v>
      </c>
      <c r="AU64">
        <v>2</v>
      </c>
      <c r="AV64">
        <v>15</v>
      </c>
      <c r="AW64">
        <v>0</v>
      </c>
      <c r="AX64">
        <v>564</v>
      </c>
      <c r="AY64">
        <v>6</v>
      </c>
      <c r="AZ64">
        <v>1</v>
      </c>
      <c r="BA64">
        <v>3</v>
      </c>
      <c r="BB64" t="s">
        <v>53</v>
      </c>
      <c r="BC64" t="s">
        <v>54</v>
      </c>
      <c r="BD64" t="s">
        <v>386</v>
      </c>
      <c r="BE64" t="s">
        <v>807</v>
      </c>
      <c r="BF64" t="s">
        <v>808</v>
      </c>
      <c r="BG64" t="str">
        <f>HYPERLINK(".\links\PREV-RHOD-PEP\TI_asb-110-PREV-RHOD-PEP.txt","Contig17944_78")</f>
        <v>Contig17944_78</v>
      </c>
      <c r="BH64" s="6">
        <v>0.72</v>
      </c>
      <c r="BI64" t="str">
        <f>HYPERLINK(".\links\PREV-RHOD-PEP\TI_asb-110-PREV-RHOD-PEP.txt"," 4")</f>
        <v xml:space="preserve"> 4</v>
      </c>
      <c r="BJ64" t="s">
        <v>809</v>
      </c>
      <c r="BK64">
        <v>30</v>
      </c>
      <c r="BL64">
        <v>112</v>
      </c>
      <c r="BM64">
        <v>357</v>
      </c>
      <c r="BN64">
        <v>20</v>
      </c>
      <c r="BO64">
        <v>31</v>
      </c>
      <c r="BP64">
        <v>89</v>
      </c>
      <c r="BQ64">
        <v>2</v>
      </c>
      <c r="BR64">
        <v>14</v>
      </c>
      <c r="BS64">
        <v>47</v>
      </c>
      <c r="BT64">
        <v>1</v>
      </c>
      <c r="BU64" t="s">
        <v>54</v>
      </c>
      <c r="BV64" t="s">
        <v>810</v>
      </c>
      <c r="BW64" t="s">
        <v>56</v>
      </c>
      <c r="BX64" t="str">
        <f>HYPERLINK(".\links\PREV-RHOD-CDS\TI_asb-110-PREV-RHOD-CDS.txt","Contig17306_6")</f>
        <v>Contig17306_6</v>
      </c>
      <c r="BY64" s="6">
        <v>1.9E-2</v>
      </c>
      <c r="BZ64" t="s">
        <v>811</v>
      </c>
      <c r="CA64">
        <v>40.1</v>
      </c>
      <c r="CB64">
        <v>23</v>
      </c>
      <c r="CC64">
        <v>2301</v>
      </c>
      <c r="CD64">
        <v>95</v>
      </c>
      <c r="CE64">
        <v>1</v>
      </c>
      <c r="CF64">
        <v>1</v>
      </c>
      <c r="CG64">
        <v>0</v>
      </c>
      <c r="CH64">
        <v>2086</v>
      </c>
      <c r="CI64">
        <v>110</v>
      </c>
      <c r="CJ64">
        <v>1</v>
      </c>
      <c r="CK64" t="s">
        <v>54</v>
      </c>
      <c r="CL64" t="s">
        <v>812</v>
      </c>
      <c r="CM64">
        <f>HYPERLINK(".\links\GO\TI_asb-110-GO.txt",0.17)</f>
        <v>0.17</v>
      </c>
      <c r="CN64" t="s">
        <v>813</v>
      </c>
      <c r="CO64" t="s">
        <v>129</v>
      </c>
      <c r="CP64" t="s">
        <v>166</v>
      </c>
      <c r="CQ64" t="s">
        <v>814</v>
      </c>
      <c r="CR64" s="6">
        <v>0.17</v>
      </c>
      <c r="CS64" t="s">
        <v>815</v>
      </c>
      <c r="CT64" t="s">
        <v>75</v>
      </c>
      <c r="CU64" t="s">
        <v>76</v>
      </c>
      <c r="CV64" t="s">
        <v>816</v>
      </c>
      <c r="CW64" s="6">
        <v>0.17</v>
      </c>
      <c r="CX64" t="s">
        <v>817</v>
      </c>
      <c r="CY64" t="s">
        <v>129</v>
      </c>
      <c r="CZ64" t="s">
        <v>166</v>
      </c>
      <c r="DA64" t="s">
        <v>818</v>
      </c>
      <c r="DB64" s="6">
        <v>0.17</v>
      </c>
      <c r="DC64" t="str">
        <f>HYPERLINK(".\links\CDD\TI_asb-110-CDD.txt","ND5")</f>
        <v>ND5</v>
      </c>
      <c r="DD64" t="str">
        <f>HYPERLINK("http://www.ncbi.nlm.nih.gov/Structure/cdd/cddsrv.cgi?uid=MTH00095&amp;version=v4.0","0.043")</f>
        <v>0.043</v>
      </c>
      <c r="DE64" t="s">
        <v>819</v>
      </c>
      <c r="DF64" t="str">
        <f>HYPERLINK(".\links\PFAM\TI_asb-110-PFAM.txt","VAR1")</f>
        <v>VAR1</v>
      </c>
      <c r="DG64" t="str">
        <f>HYPERLINK("http://pfam.sanger.ac.uk/family?acc=PF05316","0.039")</f>
        <v>0.039</v>
      </c>
      <c r="DH64" t="str">
        <f>HYPERLINK(".\links\PRK\TI_asb-110-PRK.txt","NADH dehydrogenase subunit 2")</f>
        <v>NADH dehydrogenase subunit 2</v>
      </c>
      <c r="DI64" s="6">
        <v>8.9999999999999993E-3</v>
      </c>
      <c r="DJ64" s="6" t="s">
        <v>56</v>
      </c>
      <c r="DN64" t="str">
        <f>HYPERLINK(".\links\SMART\TI_asb-110-SMART.txt","FBD")</f>
        <v>FBD</v>
      </c>
      <c r="DO64" t="str">
        <f>HYPERLINK("http://smart.embl-heidelberg.de/smart/do_annotation.pl?DOMAIN=FBD&amp;BLAST=DUMMY","0.041")</f>
        <v>0.041</v>
      </c>
      <c r="DP64" s="3" t="s">
        <v>56</v>
      </c>
      <c r="ED64" s="3" t="s">
        <v>56</v>
      </c>
    </row>
    <row r="65" spans="1:147">
      <c r="A65" t="str">
        <f>HYPERLINK(".\links\seq\TI_asb-112-seq.txt","TI_asb-112")</f>
        <v>TI_asb-112</v>
      </c>
      <c r="B65">
        <v>112</v>
      </c>
      <c r="C65" t="str">
        <f>HYPERLINK(".\links\tsa\TI_asb-112-tsa.txt","1")</f>
        <v>1</v>
      </c>
      <c r="D65">
        <v>1</v>
      </c>
      <c r="E65">
        <v>787</v>
      </c>
      <c r="F65">
        <v>728</v>
      </c>
      <c r="G65" t="str">
        <f>HYPERLINK(".\links\qual\TI_asb-112-qual.txt","51")</f>
        <v>51</v>
      </c>
      <c r="H65">
        <v>0</v>
      </c>
      <c r="I65">
        <v>1</v>
      </c>
      <c r="J65">
        <f t="shared" si="2"/>
        <v>1</v>
      </c>
      <c r="K65" s="6">
        <f t="shared" si="3"/>
        <v>-1</v>
      </c>
      <c r="L65" s="6" t="s">
        <v>3930</v>
      </c>
      <c r="M65" s="6" t="s">
        <v>3904</v>
      </c>
      <c r="N65" s="6" t="s">
        <v>3872</v>
      </c>
      <c r="O65" s="6">
        <v>7.0000000000000005E-14</v>
      </c>
      <c r="P65" s="6">
        <v>32.9</v>
      </c>
      <c r="Q65" s="3">
        <v>787</v>
      </c>
      <c r="R65" s="3">
        <v>414</v>
      </c>
      <c r="S65" s="6" t="s">
        <v>3544</v>
      </c>
      <c r="T65" s="3">
        <v>3</v>
      </c>
      <c r="U65" t="str">
        <f>HYPERLINK(".\links\NR-LIGHT\TI_asb-112-NR-LIGHT.txt","NADH dehydrogenase subunit 5")</f>
        <v>NADH dehydrogenase subunit 5</v>
      </c>
      <c r="V65" t="str">
        <f>HYPERLINK("http://www.ncbi.nlm.nih.gov/sutils/blink.cgi?pid=11182469","9E-092")</f>
        <v>9E-092</v>
      </c>
      <c r="W65" t="str">
        <f>HYPERLINK(".\links\NR-LIGHT\TI_asb-112-NR-LIGHT.txt"," 10")</f>
        <v xml:space="preserve"> 10</v>
      </c>
      <c r="X65" t="str">
        <f>HYPERLINK("http://www.ncbi.nlm.nih.gov/protein/11182469","gi|11182469")</f>
        <v>gi|11182469</v>
      </c>
      <c r="Y65">
        <v>281</v>
      </c>
      <c r="Z65">
        <v>190</v>
      </c>
      <c r="AA65">
        <v>570</v>
      </c>
      <c r="AB65">
        <v>71</v>
      </c>
      <c r="AC65">
        <v>33</v>
      </c>
      <c r="AD65">
        <v>54</v>
      </c>
      <c r="AE65">
        <v>0</v>
      </c>
      <c r="AF65">
        <v>329</v>
      </c>
      <c r="AG65">
        <v>3</v>
      </c>
      <c r="AH65">
        <v>2</v>
      </c>
      <c r="AI65">
        <v>3</v>
      </c>
      <c r="AJ65" t="s">
        <v>65</v>
      </c>
      <c r="AK65" t="s">
        <v>54</v>
      </c>
      <c r="AL65" t="s">
        <v>672</v>
      </c>
      <c r="AM65" t="str">
        <f>HYPERLINK(".\links\SWISSP\TI_asb-112-SWISSP.txt","NADH-ubiquinone oxidoreductase chain 5 OS=Drosophila yakuba GN=mt:ND5 PE=3 SV=1")</f>
        <v>NADH-ubiquinone oxidoreductase chain 5 OS=Drosophila yakuba GN=mt:ND5 PE=3 SV=1</v>
      </c>
      <c r="AN65" s="19" t="str">
        <f>HYPERLINK("http://www.uniprot.org/uniprot/P07706","3E-041")</f>
        <v>3E-041</v>
      </c>
      <c r="AO65" t="str">
        <f>HYPERLINK(".\links\SWISSP\TI_asb-112-SWISSP.txt"," 10")</f>
        <v xml:space="preserve"> 10</v>
      </c>
      <c r="AP65" t="s">
        <v>820</v>
      </c>
      <c r="AQ65">
        <v>162</v>
      </c>
      <c r="AR65">
        <v>186</v>
      </c>
      <c r="AS65">
        <v>573</v>
      </c>
      <c r="AT65">
        <v>43</v>
      </c>
      <c r="AU65">
        <v>32</v>
      </c>
      <c r="AV65">
        <v>105</v>
      </c>
      <c r="AW65">
        <v>1</v>
      </c>
      <c r="AX65">
        <v>326</v>
      </c>
      <c r="AY65">
        <v>3</v>
      </c>
      <c r="AZ65">
        <v>2</v>
      </c>
      <c r="BA65">
        <v>3</v>
      </c>
      <c r="BB65" t="s">
        <v>65</v>
      </c>
      <c r="BC65" t="s">
        <v>54</v>
      </c>
      <c r="BD65" t="s">
        <v>674</v>
      </c>
      <c r="BE65" t="s">
        <v>821</v>
      </c>
      <c r="BF65" t="s">
        <v>822</v>
      </c>
      <c r="BG65" t="str">
        <f>HYPERLINK(".\links\PREV-RHOD-PEP\TI_asb-112-PREV-RHOD-PEP.txt","Contig8174_1")</f>
        <v>Contig8174_1</v>
      </c>
      <c r="BH65" s="7">
        <v>9.9999999999999994E-12</v>
      </c>
      <c r="BI65" t="str">
        <f>HYPERLINK(".\links\PREV-RHOD-PEP\TI_asb-112-PREV-RHOD-PEP.txt"," 10")</f>
        <v xml:space="preserve"> 10</v>
      </c>
      <c r="BJ65" t="s">
        <v>823</v>
      </c>
      <c r="BK65">
        <v>66.2</v>
      </c>
      <c r="BL65">
        <v>44</v>
      </c>
      <c r="BM65">
        <v>159</v>
      </c>
      <c r="BN65">
        <v>63</v>
      </c>
      <c r="BO65">
        <v>28</v>
      </c>
      <c r="BP65">
        <v>16</v>
      </c>
      <c r="BQ65">
        <v>0</v>
      </c>
      <c r="BR65">
        <v>113</v>
      </c>
      <c r="BS65">
        <v>3</v>
      </c>
      <c r="BT65">
        <v>1</v>
      </c>
      <c r="BU65" t="s">
        <v>54</v>
      </c>
      <c r="BV65" t="s">
        <v>824</v>
      </c>
      <c r="BW65" t="s">
        <v>56</v>
      </c>
      <c r="BX65" t="str">
        <f>HYPERLINK(".\links\PREV-RHOD-CDS\TI_asb-112-PREV-RHOD-CDS.txt","Contig8174_1")</f>
        <v>Contig8174_1</v>
      </c>
      <c r="BY65" s="7">
        <v>3E-11</v>
      </c>
      <c r="BZ65" t="s">
        <v>823</v>
      </c>
      <c r="CA65">
        <v>69.900000000000006</v>
      </c>
      <c r="CB65">
        <v>86</v>
      </c>
      <c r="CC65">
        <v>480</v>
      </c>
      <c r="CD65">
        <v>85</v>
      </c>
      <c r="CE65">
        <v>18</v>
      </c>
      <c r="CF65">
        <v>13</v>
      </c>
      <c r="CG65">
        <v>0</v>
      </c>
      <c r="CH65">
        <v>361</v>
      </c>
      <c r="CI65">
        <v>27</v>
      </c>
      <c r="CJ65">
        <v>1</v>
      </c>
      <c r="CK65" t="s">
        <v>54</v>
      </c>
      <c r="CL65" t="s">
        <v>825</v>
      </c>
      <c r="CM65">
        <f>HYPERLINK(".\links\GO\TI_asb-112-GO.txt",2E-40)</f>
        <v>1.9999999999999999E-40</v>
      </c>
      <c r="CN65" t="s">
        <v>58</v>
      </c>
      <c r="CO65" t="s">
        <v>58</v>
      </c>
      <c r="CQ65" t="s">
        <v>59</v>
      </c>
      <c r="CR65" s="6">
        <v>4.0000000000000003E-15</v>
      </c>
      <c r="CS65" t="s">
        <v>826</v>
      </c>
      <c r="CT65" t="s">
        <v>75</v>
      </c>
      <c r="CU65" t="s">
        <v>555</v>
      </c>
      <c r="CV65" t="s">
        <v>827</v>
      </c>
      <c r="CW65" s="6">
        <v>4.0000000000000003E-15</v>
      </c>
      <c r="CX65" t="s">
        <v>828</v>
      </c>
      <c r="CY65" t="s">
        <v>58</v>
      </c>
      <c r="DA65" t="s">
        <v>829</v>
      </c>
      <c r="DB65" s="6">
        <v>4.0000000000000003E-15</v>
      </c>
      <c r="DC65" t="str">
        <f>HYPERLINK(".\links\CDD\TI_asb-112-CDD.txt","COG5022")</f>
        <v>COG5022</v>
      </c>
      <c r="DD65" t="str">
        <f>HYPERLINK("http://www.ncbi.nlm.nih.gov/Structure/cdd/cddsrv.cgi?uid=COG5022&amp;version=v4.0","0.0")</f>
        <v>0.0</v>
      </c>
      <c r="DE65" t="s">
        <v>830</v>
      </c>
      <c r="DF65" t="str">
        <f>HYPERLINK(".\links\PFAM\TI_asb-112-PFAM.txt","NADH5_C")</f>
        <v>NADH5_C</v>
      </c>
      <c r="DG65" t="str">
        <f>HYPERLINK("http://pfam.sanger.ac.uk/family?acc=PF06455","6E-034")</f>
        <v>6E-034</v>
      </c>
      <c r="DH65" t="str">
        <f>HYPERLINK(".\links\PRK\TI_asb-112-PRK.txt","NADH dehydrogenase subunit 5")</f>
        <v>NADH dehydrogenase subunit 5</v>
      </c>
      <c r="DI65" s="7">
        <v>9.9999999999999996E-76</v>
      </c>
      <c r="DJ65" s="6" t="str">
        <f>HYPERLINK(".\links\KOG\TI_asb-112-KOG.txt","NADH dehydrogenase subunits 2, 5, and related proteins")</f>
        <v>NADH dehydrogenase subunits 2, 5, and related proteins</v>
      </c>
      <c r="DK65" s="6" t="str">
        <f>HYPERLINK("http://www.ncbi.nlm.nih.gov/COG/grace/shokog.cgi?KOG4668","7E-014")</f>
        <v>7E-014</v>
      </c>
      <c r="DL65" s="6" t="s">
        <v>4349</v>
      </c>
      <c r="DM65" s="6" t="str">
        <f>HYPERLINK(".\links\KOG\TI_asb-112-KOG.txt","KOG4668")</f>
        <v>KOG4668</v>
      </c>
      <c r="DN65" t="str">
        <f>HYPERLINK(".\links\SMART\TI_asb-112-SMART.txt","AgrB")</f>
        <v>AgrB</v>
      </c>
      <c r="DO65" t="str">
        <f>HYPERLINK("http://smart.embl-heidelberg.de/smart/do_annotation.pl?DOMAIN=AgrB&amp;BLAST=DUMMY","3E-006")</f>
        <v>3E-006</v>
      </c>
      <c r="DP65" s="3" t="s">
        <v>56</v>
      </c>
      <c r="ED65" s="3" t="str">
        <f>HYPERLINK(".\links\MIT-PLA\TI_asb-112-MIT-PLA.txt","Triatoma dimidiata mitochondrial DNA, complete genome")</f>
        <v>Triatoma dimidiata mitochondrial DNA, complete genome</v>
      </c>
      <c r="EE65" s="3" t="str">
        <f>HYPERLINK("http://www.ncbi.nlm.nih.gov/entrez/viewer.fcgi?db=nucleotide&amp;val=11139100","6E-018")</f>
        <v>6E-018</v>
      </c>
      <c r="EF65" s="3" t="str">
        <f>HYPERLINK("http://www.ncbi.nlm.nih.gov/entrez/viewer.fcgi?db=nucleotide&amp;val=11139100","gi|11139100")</f>
        <v>gi|11139100</v>
      </c>
      <c r="EG65" s="3">
        <v>91.7</v>
      </c>
      <c r="EH65" s="3">
        <v>672</v>
      </c>
      <c r="EI65" s="3">
        <v>17019</v>
      </c>
      <c r="EJ65" s="3">
        <v>81</v>
      </c>
      <c r="EK65" s="3">
        <v>4</v>
      </c>
      <c r="EL65" s="3">
        <v>37</v>
      </c>
      <c r="EM65" s="3">
        <v>2</v>
      </c>
      <c r="EN65" s="3">
        <v>6254</v>
      </c>
      <c r="EO65" s="3">
        <v>22</v>
      </c>
      <c r="EP65" s="3">
        <v>3</v>
      </c>
      <c r="EQ65" s="3" t="s">
        <v>64</v>
      </c>
    </row>
    <row r="66" spans="1:147">
      <c r="A66" t="str">
        <f>HYPERLINK(".\links\seq\TI_asb-113-seq.txt","TI_asb-113")</f>
        <v>TI_asb-113</v>
      </c>
      <c r="B66">
        <v>113</v>
      </c>
      <c r="C66" t="str">
        <f>HYPERLINK(".\links\tsa\TI_asb-113-tsa.txt","1")</f>
        <v>1</v>
      </c>
      <c r="D66">
        <v>1</v>
      </c>
      <c r="E66">
        <v>625</v>
      </c>
      <c r="G66" t="str">
        <f>HYPERLINK(".\links\qual\TI_asb-113-qual.txt","57")</f>
        <v>57</v>
      </c>
      <c r="H66">
        <v>1</v>
      </c>
      <c r="I66">
        <v>0</v>
      </c>
      <c r="J66">
        <f t="shared" si="2"/>
        <v>1</v>
      </c>
      <c r="K66" s="6">
        <f t="shared" si="3"/>
        <v>1</v>
      </c>
      <c r="L66" s="6" t="s">
        <v>3931</v>
      </c>
      <c r="M66" s="6" t="s">
        <v>3912</v>
      </c>
      <c r="N66" s="6" t="s">
        <v>3872</v>
      </c>
      <c r="O66" s="7">
        <v>4E-52</v>
      </c>
      <c r="P66" s="6">
        <v>36.700000000000003</v>
      </c>
      <c r="Q66" s="3">
        <v>625</v>
      </c>
      <c r="R66" s="3">
        <v>429</v>
      </c>
      <c r="S66" s="6" t="s">
        <v>3545</v>
      </c>
      <c r="T66" s="3">
        <v>1</v>
      </c>
      <c r="U66" t="str">
        <f>HYPERLINK(".\links\NR-LIGHT\TI_asb-113-NR-LIGHT.txt","p38 map kinase")</f>
        <v>p38 map kinase</v>
      </c>
      <c r="V66" t="str">
        <f>HYPERLINK("http://www.ncbi.nlm.nih.gov/sutils/blink.cgi?pid=218749850","2E-064")</f>
        <v>2E-064</v>
      </c>
      <c r="W66" t="str">
        <f>HYPERLINK(".\links\NR-LIGHT\TI_asb-113-NR-LIGHT.txt"," 10")</f>
        <v xml:space="preserve"> 10</v>
      </c>
      <c r="X66" t="str">
        <f>HYPERLINK("http://www.ncbi.nlm.nih.gov/protein/218749850","gi|218749850")</f>
        <v>gi|218749850</v>
      </c>
      <c r="Y66">
        <v>247</v>
      </c>
      <c r="Z66">
        <v>126</v>
      </c>
      <c r="AA66">
        <v>356</v>
      </c>
      <c r="AB66">
        <v>92</v>
      </c>
      <c r="AC66">
        <v>35</v>
      </c>
      <c r="AD66">
        <v>10</v>
      </c>
      <c r="AE66">
        <v>0</v>
      </c>
      <c r="AF66">
        <v>1</v>
      </c>
      <c r="AG66">
        <v>143</v>
      </c>
      <c r="AH66">
        <v>2</v>
      </c>
      <c r="AI66">
        <v>1</v>
      </c>
      <c r="AJ66" t="s">
        <v>65</v>
      </c>
      <c r="AK66" t="s">
        <v>54</v>
      </c>
      <c r="AL66" t="s">
        <v>66</v>
      </c>
      <c r="AM66" t="str">
        <f>HYPERLINK(".\links\SWISSP\TI_asb-113-SWISSP.txt","Mitogen-activated protein kinase 14 OS=Xenopus laevis GN=mapk14 PE=2 SV=1")</f>
        <v>Mitogen-activated protein kinase 14 OS=Xenopus laevis GN=mapk14 PE=2 SV=1</v>
      </c>
      <c r="AN66" s="19" t="str">
        <f>HYPERLINK("http://www.uniprot.org/uniprot/P47812","1E-059")</f>
        <v>1E-059</v>
      </c>
      <c r="AO66" t="str">
        <f>HYPERLINK(".\links\SWISSP\TI_asb-113-SWISSP.txt"," 10")</f>
        <v xml:space="preserve"> 10</v>
      </c>
      <c r="AP66" t="s">
        <v>831</v>
      </c>
      <c r="AQ66">
        <v>229</v>
      </c>
      <c r="AR66">
        <v>126</v>
      </c>
      <c r="AS66">
        <v>361</v>
      </c>
      <c r="AT66">
        <v>85</v>
      </c>
      <c r="AU66">
        <v>35</v>
      </c>
      <c r="AV66">
        <v>18</v>
      </c>
      <c r="AW66">
        <v>0</v>
      </c>
      <c r="AX66">
        <v>9</v>
      </c>
      <c r="AY66">
        <v>152</v>
      </c>
      <c r="AZ66">
        <v>2</v>
      </c>
      <c r="BA66">
        <v>1</v>
      </c>
      <c r="BB66" t="s">
        <v>65</v>
      </c>
      <c r="BC66" t="s">
        <v>54</v>
      </c>
      <c r="BD66" t="s">
        <v>832</v>
      </c>
      <c r="BE66" t="s">
        <v>833</v>
      </c>
      <c r="BF66" t="s">
        <v>834</v>
      </c>
      <c r="BG66" t="str">
        <f>HYPERLINK(".\links\PREV-RHOD-PEP\TI_asb-113-PREV-RHOD-PEP.txt","Contig17970_150")</f>
        <v>Contig17970_150</v>
      </c>
      <c r="BH66" s="7">
        <v>6.9999999999999998E-71</v>
      </c>
      <c r="BI66" t="str">
        <f>HYPERLINK(".\links\PREV-RHOD-PEP\TI_asb-113-PREV-RHOD-PEP.txt"," 10")</f>
        <v xml:space="preserve"> 10</v>
      </c>
      <c r="BJ66" t="s">
        <v>835</v>
      </c>
      <c r="BK66">
        <v>262</v>
      </c>
      <c r="BL66">
        <v>126</v>
      </c>
      <c r="BM66">
        <v>358</v>
      </c>
      <c r="BN66">
        <v>98</v>
      </c>
      <c r="BO66">
        <v>35</v>
      </c>
      <c r="BP66">
        <v>2</v>
      </c>
      <c r="BQ66">
        <v>0</v>
      </c>
      <c r="BR66">
        <v>1</v>
      </c>
      <c r="BS66">
        <v>143</v>
      </c>
      <c r="BT66">
        <v>2</v>
      </c>
      <c r="BU66" t="s">
        <v>54</v>
      </c>
      <c r="BV66" t="s">
        <v>836</v>
      </c>
      <c r="BW66" t="s">
        <v>56</v>
      </c>
      <c r="BX66" t="str">
        <f>HYPERLINK(".\links\PREV-RHOD-CDS\TI_asb-113-PREV-RHOD-CDS.txt","Contig17970_150")</f>
        <v>Contig17970_150</v>
      </c>
      <c r="BY66" s="7">
        <v>9.9999999999999993E-103</v>
      </c>
      <c r="BZ66" t="s">
        <v>835</v>
      </c>
      <c r="CA66">
        <v>373</v>
      </c>
      <c r="CB66">
        <v>612</v>
      </c>
      <c r="CC66">
        <v>1077</v>
      </c>
      <c r="CD66">
        <v>87</v>
      </c>
      <c r="CE66">
        <v>57</v>
      </c>
      <c r="CF66">
        <v>47</v>
      </c>
      <c r="CG66">
        <v>0</v>
      </c>
      <c r="CH66">
        <v>1</v>
      </c>
      <c r="CI66">
        <v>143</v>
      </c>
      <c r="CJ66">
        <v>2</v>
      </c>
      <c r="CK66" t="s">
        <v>54</v>
      </c>
      <c r="CL66" t="s">
        <v>837</v>
      </c>
      <c r="CM66">
        <f>HYPERLINK(".\links\GO\TI_asb-113-GO.txt",2E-59)</f>
        <v>2.0000000000000001E-59</v>
      </c>
      <c r="CN66" t="s">
        <v>838</v>
      </c>
      <c r="CO66" t="s">
        <v>129</v>
      </c>
      <c r="CP66" t="s">
        <v>151</v>
      </c>
      <c r="CQ66" t="s">
        <v>839</v>
      </c>
      <c r="CR66" s="7">
        <v>2.0000000000000001E-59</v>
      </c>
      <c r="CS66" t="s">
        <v>224</v>
      </c>
      <c r="CT66" t="s">
        <v>75</v>
      </c>
      <c r="CU66" t="s">
        <v>76</v>
      </c>
      <c r="CV66" t="s">
        <v>225</v>
      </c>
      <c r="CW66" s="7">
        <v>2.0000000000000001E-59</v>
      </c>
      <c r="CX66" t="s">
        <v>840</v>
      </c>
      <c r="CY66" t="s">
        <v>129</v>
      </c>
      <c r="CZ66" t="s">
        <v>151</v>
      </c>
      <c r="DA66" t="s">
        <v>841</v>
      </c>
      <c r="DB66" s="7">
        <v>2.0000000000000001E-59</v>
      </c>
      <c r="DC66" t="str">
        <f>HYPERLINK(".\links\CDD\TI_asb-113-CDD.txt","STKc_p38")</f>
        <v>STKc_p38</v>
      </c>
      <c r="DD66" t="str">
        <f>HYPERLINK("http://www.ncbi.nlm.nih.gov/Structure/cdd/cddsrv.cgi?uid=cd07851&amp;version=v4.0","6E-082")</f>
        <v>6E-082</v>
      </c>
      <c r="DE66" t="s">
        <v>842</v>
      </c>
      <c r="DF66" t="str">
        <f>HYPERLINK(".\links\PFAM\TI_asb-113-PFAM.txt","Pkinase")</f>
        <v>Pkinase</v>
      </c>
      <c r="DG66" t="str">
        <f>HYPERLINK("http://pfam.sanger.ac.uk/family?acc=PF00069","1E-035")</f>
        <v>1E-035</v>
      </c>
      <c r="DH66" t="str">
        <f>HYPERLINK(".\links\PRK\TI_asb-113-PRK.txt","cyclin-dependent protein kinase")</f>
        <v>cyclin-dependent protein kinase</v>
      </c>
      <c r="DI66" s="7">
        <v>3.9999999999999997E-24</v>
      </c>
      <c r="DJ66" s="6" t="str">
        <f>HYPERLINK(".\links\KOG\TI_asb-113-KOG.txt","Mitogen-activated protein kinase")</f>
        <v>Mitogen-activated protein kinase</v>
      </c>
      <c r="DK66" s="6" t="str">
        <f>HYPERLINK("http://www.ncbi.nlm.nih.gov/COG/grace/shokog.cgi?KOG0660","4E-052")</f>
        <v>4E-052</v>
      </c>
      <c r="DL66" s="6" t="s">
        <v>4342</v>
      </c>
      <c r="DM66" s="6" t="str">
        <f>HYPERLINK(".\links\KOG\TI_asb-113-KOG.txt","KOG0660")</f>
        <v>KOG0660</v>
      </c>
      <c r="DN66" t="str">
        <f>HYPERLINK(".\links\SMART\TI_asb-113-SMART.txt","S_TKc")</f>
        <v>S_TKc</v>
      </c>
      <c r="DO66" t="str">
        <f>HYPERLINK("http://smart.embl-heidelberg.de/smart/do_annotation.pl?DOMAIN=S_TKc&amp;BLAST=DUMMY","8E-040")</f>
        <v>8E-040</v>
      </c>
      <c r="DP66" s="3" t="s">
        <v>56</v>
      </c>
      <c r="ED66" s="3" t="s">
        <v>56</v>
      </c>
    </row>
    <row r="67" spans="1:147">
      <c r="A67" t="str">
        <f>HYPERLINK(".\links\seq\TI_asb-115-seq.txt","TI_asb-115")</f>
        <v>TI_asb-115</v>
      </c>
      <c r="B67">
        <v>115</v>
      </c>
      <c r="C67" t="str">
        <f>HYPERLINK(".\links\tsa\TI_asb-115-tsa.txt","1")</f>
        <v>1</v>
      </c>
      <c r="D67">
        <v>1</v>
      </c>
      <c r="E67">
        <v>576</v>
      </c>
      <c r="G67" t="str">
        <f>HYPERLINK(".\links\qual\TI_asb-115-qual.txt","32")</f>
        <v>32</v>
      </c>
      <c r="H67">
        <v>1</v>
      </c>
      <c r="I67">
        <v>0</v>
      </c>
      <c r="J67">
        <f t="shared" si="2"/>
        <v>1</v>
      </c>
      <c r="K67" s="6">
        <f t="shared" si="3"/>
        <v>1</v>
      </c>
      <c r="L67" s="6" t="s">
        <v>3888</v>
      </c>
      <c r="M67" s="6" t="s">
        <v>3886</v>
      </c>
      <c r="N67" s="6" t="s">
        <v>3872</v>
      </c>
      <c r="O67" s="6">
        <v>0</v>
      </c>
      <c r="P67" s="6">
        <v>3.7</v>
      </c>
      <c r="Q67" s="3">
        <v>576</v>
      </c>
      <c r="R67" s="3">
        <v>204</v>
      </c>
      <c r="S67" s="6" t="s">
        <v>3546</v>
      </c>
      <c r="T67" s="3">
        <v>5</v>
      </c>
      <c r="U67" t="str">
        <f>HYPERLINK(".\links\NR-LIGHT\TI_asb-115-NR-LIGHT.txt","hypothetical protein TGME49_037850")</f>
        <v>hypothetical protein TGME49_037850</v>
      </c>
      <c r="V67" t="str">
        <f>HYPERLINK("http://www.ncbi.nlm.nih.gov/sutils/blink.cgi?pid=237845441","0.46")</f>
        <v>0.46</v>
      </c>
      <c r="W67" t="str">
        <f>HYPERLINK(".\links\NR-LIGHT\TI_asb-115-NR-LIGHT.txt"," 10")</f>
        <v xml:space="preserve"> 10</v>
      </c>
      <c r="X67" t="str">
        <f>HYPERLINK("http://www.ncbi.nlm.nih.gov/protein/237845441","gi|237845441")</f>
        <v>gi|237845441</v>
      </c>
      <c r="Y67">
        <v>36.6</v>
      </c>
      <c r="Z67">
        <v>49</v>
      </c>
      <c r="AA67">
        <v>634</v>
      </c>
      <c r="AB67">
        <v>36</v>
      </c>
      <c r="AC67">
        <v>8</v>
      </c>
      <c r="AD67">
        <v>31</v>
      </c>
      <c r="AE67">
        <v>0</v>
      </c>
      <c r="AF67">
        <v>461</v>
      </c>
      <c r="AG67">
        <v>223</v>
      </c>
      <c r="AH67">
        <v>1</v>
      </c>
      <c r="AI67">
        <v>1</v>
      </c>
      <c r="AJ67" t="s">
        <v>53</v>
      </c>
      <c r="AK67" t="s">
        <v>54</v>
      </c>
      <c r="AL67" t="s">
        <v>844</v>
      </c>
      <c r="AM67" t="str">
        <f>HYPERLINK(".\links\SWISSP\TI_asb-115-SWISSP.txt","DNA polymerase alpha-binding protein OS=Saccharomyces cerevisiae GN=CTF4 PE=1")</f>
        <v>DNA polymerase alpha-binding protein OS=Saccharomyces cerevisiae GN=CTF4 PE=1</v>
      </c>
      <c r="AN67" s="19" t="str">
        <f>HYPERLINK("http://www.uniprot.org/uniprot/Q01454","2.7")</f>
        <v>2.7</v>
      </c>
      <c r="AO67" t="str">
        <f>HYPERLINK(".\links\SWISSP\TI_asb-115-SWISSP.txt"," 3")</f>
        <v xml:space="preserve"> 3</v>
      </c>
      <c r="AP67" t="s">
        <v>845</v>
      </c>
      <c r="AQ67">
        <v>32</v>
      </c>
      <c r="AR67">
        <v>27</v>
      </c>
      <c r="AS67">
        <v>927</v>
      </c>
      <c r="AT67">
        <v>40</v>
      </c>
      <c r="AU67">
        <v>3</v>
      </c>
      <c r="AV67">
        <v>16</v>
      </c>
      <c r="AW67">
        <v>0</v>
      </c>
      <c r="AX67">
        <v>711</v>
      </c>
      <c r="AY67">
        <v>495</v>
      </c>
      <c r="AZ67">
        <v>1</v>
      </c>
      <c r="BA67">
        <v>3</v>
      </c>
      <c r="BB67" t="s">
        <v>53</v>
      </c>
      <c r="BC67" t="s">
        <v>54</v>
      </c>
      <c r="BD67" t="s">
        <v>275</v>
      </c>
      <c r="BE67" t="s">
        <v>846</v>
      </c>
      <c r="BF67" t="s">
        <v>847</v>
      </c>
      <c r="BG67" t="str">
        <f>HYPERLINK(".\links\PREV-RHOD-PEP\TI_asb-115-PREV-RHOD-PEP.txt","Contig23494_1")</f>
        <v>Contig23494_1</v>
      </c>
      <c r="BH67" s="7">
        <v>6.9999999999999999E-4</v>
      </c>
      <c r="BI67" t="str">
        <f>HYPERLINK(".\links\PREV-RHOD-PEP\TI_asb-115-PREV-RHOD-PEP.txt"," 10")</f>
        <v xml:space="preserve"> 10</v>
      </c>
      <c r="BJ67" t="s">
        <v>848</v>
      </c>
      <c r="BK67">
        <v>40</v>
      </c>
      <c r="BL67">
        <v>37</v>
      </c>
      <c r="BM67">
        <v>58</v>
      </c>
      <c r="BN67">
        <v>54</v>
      </c>
      <c r="BO67">
        <v>64</v>
      </c>
      <c r="BP67">
        <v>17</v>
      </c>
      <c r="BQ67">
        <v>0</v>
      </c>
      <c r="BR67">
        <v>17</v>
      </c>
      <c r="BS67">
        <v>464</v>
      </c>
      <c r="BT67">
        <v>1</v>
      </c>
      <c r="BU67" t="s">
        <v>64</v>
      </c>
      <c r="BV67" t="s">
        <v>849</v>
      </c>
      <c r="BW67" t="s">
        <v>56</v>
      </c>
      <c r="BX67" t="str">
        <f>HYPERLINK(".\links\PREV-RHOD-CDS\TI_asb-115-PREV-RHOD-CDS.txt","Contig17967_99")</f>
        <v>Contig17967_99</v>
      </c>
      <c r="BY67" s="6">
        <v>0.28000000000000003</v>
      </c>
      <c r="BZ67" t="s">
        <v>850</v>
      </c>
      <c r="CA67">
        <v>36.200000000000003</v>
      </c>
      <c r="CB67">
        <v>17</v>
      </c>
      <c r="CC67">
        <v>747</v>
      </c>
      <c r="CD67">
        <v>100</v>
      </c>
      <c r="CE67">
        <v>2</v>
      </c>
      <c r="CF67">
        <v>0</v>
      </c>
      <c r="CG67">
        <v>0</v>
      </c>
      <c r="CH67">
        <v>300</v>
      </c>
      <c r="CI67">
        <v>430</v>
      </c>
      <c r="CJ67">
        <v>1</v>
      </c>
      <c r="CK67" t="s">
        <v>64</v>
      </c>
      <c r="CL67" t="s">
        <v>851</v>
      </c>
      <c r="CM67">
        <f>HYPERLINK(".\links\GO\TI_asb-115-GO.txt",0.8)</f>
        <v>0.8</v>
      </c>
      <c r="CN67" t="s">
        <v>221</v>
      </c>
      <c r="CO67" t="s">
        <v>185</v>
      </c>
      <c r="CP67" t="s">
        <v>222</v>
      </c>
      <c r="CQ67" t="s">
        <v>223</v>
      </c>
      <c r="CR67" s="6">
        <v>0.8</v>
      </c>
      <c r="CS67" t="s">
        <v>852</v>
      </c>
      <c r="CT67" t="s">
        <v>75</v>
      </c>
      <c r="CU67" t="s">
        <v>76</v>
      </c>
      <c r="CV67" t="s">
        <v>853</v>
      </c>
      <c r="CW67" s="6">
        <v>0.8</v>
      </c>
      <c r="CX67" t="s">
        <v>854</v>
      </c>
      <c r="CY67" t="s">
        <v>185</v>
      </c>
      <c r="CZ67" t="s">
        <v>222</v>
      </c>
      <c r="DA67" t="s">
        <v>855</v>
      </c>
      <c r="DB67" s="6">
        <v>0.8</v>
      </c>
      <c r="DC67" t="str">
        <f>HYPERLINK(".\links\CDD\TI_asb-115-CDD.txt","LEF-4")</f>
        <v>LEF-4</v>
      </c>
      <c r="DD67" t="str">
        <f>HYPERLINK("http://www.ncbi.nlm.nih.gov/Structure/cdd/cddsrv.cgi?uid=pfam05098&amp;version=v4.0","0.034")</f>
        <v>0.034</v>
      </c>
      <c r="DE67" t="s">
        <v>856</v>
      </c>
      <c r="DF67" t="str">
        <f>HYPERLINK(".\links\PFAM\TI_asb-115-PFAM.txt","LEF-4")</f>
        <v>LEF-4</v>
      </c>
      <c r="DG67" t="str">
        <f>HYPERLINK("http://pfam.sanger.ac.uk/family?acc=PF05098","0.008")</f>
        <v>0.008</v>
      </c>
      <c r="DH67" t="str">
        <f>HYPERLINK(".\links\PRK\TI_asb-115-PRK.txt","hypothetical protein")</f>
        <v>hypothetical protein</v>
      </c>
      <c r="DI67" s="6">
        <v>1.6E-2</v>
      </c>
      <c r="DJ67" s="6" t="str">
        <f>HYPERLINK(".\links\KOG\TI_asb-115-KOG.txt","Nuclear protein, contains WD40 repeats")</f>
        <v>Nuclear protein, contains WD40 repeats</v>
      </c>
      <c r="DK67" s="6" t="str">
        <f>HYPERLINK("http://www.ncbi.nlm.nih.gov/COG/grace/shokog.cgi?KOG1916","0.0")</f>
        <v>0.0</v>
      </c>
      <c r="DL67" s="6" t="s">
        <v>4337</v>
      </c>
      <c r="DM67" s="6" t="str">
        <f>HYPERLINK(".\links\KOG\TI_asb-115-KOG.txt","KOG1916")</f>
        <v>KOG1916</v>
      </c>
      <c r="DN67" t="str">
        <f>HYPERLINK(".\links\SMART\TI_asb-115-SMART.txt","STYKc")</f>
        <v>STYKc</v>
      </c>
      <c r="DO67" t="str">
        <f>HYPERLINK("http://smart.embl-heidelberg.de/smart/do_annotation.pl?DOMAIN=STYKc&amp;BLAST=DUMMY","0.014")</f>
        <v>0.014</v>
      </c>
      <c r="DP67" s="3" t="s">
        <v>56</v>
      </c>
      <c r="ED67" s="3" t="s">
        <v>56</v>
      </c>
    </row>
    <row r="68" spans="1:147">
      <c r="A68" t="str">
        <f>HYPERLINK(".\links\seq\TI_asb-116-seq.txt","TI_asb-116")</f>
        <v>TI_asb-116</v>
      </c>
      <c r="B68">
        <v>116</v>
      </c>
      <c r="C68" t="str">
        <f>HYPERLINK(".\links\tsa\TI_asb-116-tsa.txt","1")</f>
        <v>1</v>
      </c>
      <c r="D68">
        <v>1</v>
      </c>
      <c r="E68">
        <v>538</v>
      </c>
      <c r="F68">
        <v>518</v>
      </c>
      <c r="G68" t="str">
        <f>HYPERLINK(".\links\qual\TI_asb-116-qual.txt","56")</f>
        <v>56</v>
      </c>
      <c r="H68">
        <v>1</v>
      </c>
      <c r="I68">
        <v>0</v>
      </c>
      <c r="J68">
        <f t="shared" si="2"/>
        <v>1</v>
      </c>
      <c r="K68" s="6">
        <f t="shared" si="3"/>
        <v>1</v>
      </c>
      <c r="L68" s="6" t="s">
        <v>3888</v>
      </c>
      <c r="M68" s="6" t="s">
        <v>3886</v>
      </c>
      <c r="N68" s="6" t="str">
        <f>HYPERLINK(".\links\KOG\TI_asb-116-KOG.txt","KOG")</f>
        <v>KOG</v>
      </c>
      <c r="O68" s="6">
        <v>0</v>
      </c>
      <c r="P68" s="6">
        <v>10</v>
      </c>
      <c r="Q68" s="3">
        <v>538</v>
      </c>
      <c r="R68" s="3">
        <v>204</v>
      </c>
      <c r="S68" s="3" t="s">
        <v>3547</v>
      </c>
      <c r="T68" s="3">
        <v>1</v>
      </c>
      <c r="U68" t="str">
        <f>HYPERLINK(".\links\NR-LIGHT\TI_asb-116-NR-LIGHT.txt","hypothetical protein CpipJ_CPIJ013540")</f>
        <v>hypothetical protein CpipJ_CPIJ013540</v>
      </c>
      <c r="V68" t="str">
        <f>HYPERLINK("http://www.ncbi.nlm.nih.gov/sutils/blink.cgi?pid=170056878","0.078")</f>
        <v>0.078</v>
      </c>
      <c r="W68" t="str">
        <f>HYPERLINK(".\links\NR-LIGHT\TI_asb-116-NR-LIGHT.txt"," 6")</f>
        <v xml:space="preserve"> 6</v>
      </c>
      <c r="X68" t="str">
        <f>HYPERLINK("http://www.ncbi.nlm.nih.gov/protein/170056878","gi|170056878")</f>
        <v>gi|170056878</v>
      </c>
      <c r="Y68">
        <v>38.9</v>
      </c>
      <c r="Z68">
        <v>52</v>
      </c>
      <c r="AA68">
        <v>172</v>
      </c>
      <c r="AB68">
        <v>44</v>
      </c>
      <c r="AC68">
        <v>30</v>
      </c>
      <c r="AD68">
        <v>29</v>
      </c>
      <c r="AE68">
        <v>4</v>
      </c>
      <c r="AF68">
        <v>23</v>
      </c>
      <c r="AG68">
        <v>346</v>
      </c>
      <c r="AH68">
        <v>1</v>
      </c>
      <c r="AI68">
        <v>1</v>
      </c>
      <c r="AJ68" t="s">
        <v>53</v>
      </c>
      <c r="AK68" t="s">
        <v>54</v>
      </c>
      <c r="AL68" t="s">
        <v>111</v>
      </c>
      <c r="AM68" t="s">
        <v>56</v>
      </c>
      <c r="AN68" s="19" t="s">
        <v>56</v>
      </c>
      <c r="AO68" t="s">
        <v>56</v>
      </c>
      <c r="AP68" t="s">
        <v>56</v>
      </c>
      <c r="AQ68" t="s">
        <v>56</v>
      </c>
      <c r="AR68" t="s">
        <v>56</v>
      </c>
      <c r="AS68" t="s">
        <v>56</v>
      </c>
      <c r="AT68" t="s">
        <v>56</v>
      </c>
      <c r="AU68" t="s">
        <v>56</v>
      </c>
      <c r="AV68" t="s">
        <v>56</v>
      </c>
      <c r="AW68" t="s">
        <v>56</v>
      </c>
      <c r="AX68" t="s">
        <v>56</v>
      </c>
      <c r="AY68" t="s">
        <v>56</v>
      </c>
      <c r="AZ68" t="s">
        <v>56</v>
      </c>
      <c r="BA68" t="s">
        <v>56</v>
      </c>
      <c r="BB68" t="s">
        <v>56</v>
      </c>
      <c r="BC68" t="s">
        <v>56</v>
      </c>
      <c r="BD68" t="s">
        <v>56</v>
      </c>
      <c r="BE68" t="s">
        <v>56</v>
      </c>
      <c r="BF68" t="s">
        <v>56</v>
      </c>
      <c r="BG68" t="str">
        <f>HYPERLINK(".\links\PREV-RHOD-PEP\TI_asb-116-PREV-RHOD-PEP.txt","Contig2586_5")</f>
        <v>Contig2586_5</v>
      </c>
      <c r="BH68" s="6">
        <v>3</v>
      </c>
      <c r="BI68" t="str">
        <f>HYPERLINK(".\links\PREV-RHOD-PEP\TI_asb-116-PREV-RHOD-PEP.txt"," 2")</f>
        <v xml:space="preserve"> 2</v>
      </c>
      <c r="BJ68" t="s">
        <v>635</v>
      </c>
      <c r="BK68">
        <v>27.7</v>
      </c>
      <c r="BL68">
        <v>21</v>
      </c>
      <c r="BM68">
        <v>214</v>
      </c>
      <c r="BN68">
        <v>47</v>
      </c>
      <c r="BO68">
        <v>10</v>
      </c>
      <c r="BP68">
        <v>11</v>
      </c>
      <c r="BQ68">
        <v>0</v>
      </c>
      <c r="BR68">
        <v>153</v>
      </c>
      <c r="BS68">
        <v>29</v>
      </c>
      <c r="BT68">
        <v>1</v>
      </c>
      <c r="BU68" t="s">
        <v>64</v>
      </c>
      <c r="BV68" t="s">
        <v>857</v>
      </c>
      <c r="BW68" t="s">
        <v>56</v>
      </c>
      <c r="BX68" t="str">
        <f>HYPERLINK(".\links\PREV-RHOD-CDS\TI_asb-116-PREV-RHOD-CDS.txt","Contig17971_180")</f>
        <v>Contig17971_180</v>
      </c>
      <c r="BY68" s="6">
        <v>1</v>
      </c>
      <c r="BZ68" t="s">
        <v>858</v>
      </c>
      <c r="CA68">
        <v>34.200000000000003</v>
      </c>
      <c r="CB68">
        <v>16</v>
      </c>
      <c r="CC68">
        <v>4389</v>
      </c>
      <c r="CD68">
        <v>100</v>
      </c>
      <c r="CF68">
        <v>0</v>
      </c>
      <c r="CG68">
        <v>0</v>
      </c>
      <c r="CH68">
        <v>3078</v>
      </c>
      <c r="CI68">
        <v>96</v>
      </c>
      <c r="CJ68">
        <v>1</v>
      </c>
      <c r="CK68" t="s">
        <v>54</v>
      </c>
      <c r="CL68" t="s">
        <v>859</v>
      </c>
      <c r="CM68">
        <f>HYPERLINK(".\links\GO\TI_asb-116-GO.txt",5.9)</f>
        <v>5.9</v>
      </c>
      <c r="CN68" t="s">
        <v>58</v>
      </c>
      <c r="CO68" t="s">
        <v>58</v>
      </c>
      <c r="CQ68" t="s">
        <v>59</v>
      </c>
      <c r="CR68" s="6">
        <v>5.9</v>
      </c>
      <c r="CS68" t="s">
        <v>60</v>
      </c>
      <c r="CT68" t="s">
        <v>60</v>
      </c>
      <c r="CV68" t="s">
        <v>61</v>
      </c>
      <c r="CW68" s="6">
        <v>5.9</v>
      </c>
      <c r="CX68" t="s">
        <v>62</v>
      </c>
      <c r="CY68" t="s">
        <v>58</v>
      </c>
      <c r="DA68" t="s">
        <v>63</v>
      </c>
      <c r="DB68" s="6">
        <v>5.9</v>
      </c>
      <c r="DC68" t="s">
        <v>56</v>
      </c>
      <c r="DD68" t="s">
        <v>56</v>
      </c>
      <c r="DE68" t="s">
        <v>56</v>
      </c>
      <c r="DF68" t="str">
        <f>HYPERLINK(".\links\PFAM\TI_asb-116-PFAM.txt","DNA_pack_N")</f>
        <v>DNA_pack_N</v>
      </c>
      <c r="DG68" t="str">
        <f>HYPERLINK("http://pfam.sanger.ac.uk/family?acc=PF02500","0.051")</f>
        <v>0.051</v>
      </c>
      <c r="DH68" t="str">
        <f>HYPERLINK(".\links\PRK\TI_asb-116-PRK.txt","NADH dehydrogenase subunit 5")</f>
        <v>NADH dehydrogenase subunit 5</v>
      </c>
      <c r="DI68" s="6">
        <v>6.0000000000000001E-3</v>
      </c>
      <c r="DJ68" s="6" t="str">
        <f>HYPERLINK(".\links\KOG\TI_asb-116-KOG.txt","Nuclear protein, contains WD40 repeats")</f>
        <v>Nuclear protein, contains WD40 repeats</v>
      </c>
      <c r="DK68" s="6" t="str">
        <f>HYPERLINK("http://www.ncbi.nlm.nih.gov/COG/grace/shokog.cgi?KOG1916","0.0")</f>
        <v>0.0</v>
      </c>
      <c r="DL68" s="6" t="s">
        <v>4337</v>
      </c>
      <c r="DM68" s="6" t="str">
        <f>HYPERLINK(".\links\KOG\TI_asb-116-KOG.txt","KOG1916")</f>
        <v>KOG1916</v>
      </c>
      <c r="DN68" t="str">
        <f>HYPERLINK(".\links\SMART\TI_asb-116-SMART.txt","MeTrc")</f>
        <v>MeTrc</v>
      </c>
      <c r="DO68" t="str">
        <f>HYPERLINK("http://smart.embl-heidelberg.de/smart/do_annotation.pl?DOMAIN=MeTrc&amp;BLAST=DUMMY","0.079")</f>
        <v>0.079</v>
      </c>
      <c r="DP68" s="3" t="s">
        <v>56</v>
      </c>
      <c r="ED68" s="3" t="s">
        <v>56</v>
      </c>
    </row>
    <row r="69" spans="1:147">
      <c r="A69" t="str">
        <f>HYPERLINK(".\links\seq\TI_asb-117-seq.txt","TI_asb-117")</f>
        <v>TI_asb-117</v>
      </c>
      <c r="B69">
        <v>117</v>
      </c>
      <c r="C69" t="str">
        <f>HYPERLINK(".\links\tsa\TI_asb-117-tsa.txt","1")</f>
        <v>1</v>
      </c>
      <c r="D69">
        <v>1</v>
      </c>
      <c r="E69">
        <v>188</v>
      </c>
      <c r="F69">
        <v>162</v>
      </c>
      <c r="G69" t="str">
        <f>HYPERLINK(".\links\qual\TI_asb-117-qual.txt","37")</f>
        <v>37</v>
      </c>
      <c r="H69">
        <v>1</v>
      </c>
      <c r="I69">
        <v>0</v>
      </c>
      <c r="J69">
        <f t="shared" si="2"/>
        <v>1</v>
      </c>
      <c r="K69" s="6">
        <f t="shared" si="3"/>
        <v>1</v>
      </c>
      <c r="L69" s="6" t="s">
        <v>3868</v>
      </c>
      <c r="M69" s="6" t="s">
        <v>3869</v>
      </c>
      <c r="N69" s="6"/>
      <c r="O69" s="6"/>
      <c r="P69" s="6"/>
      <c r="Q69" s="3">
        <v>188</v>
      </c>
      <c r="R69" s="3">
        <v>111</v>
      </c>
      <c r="S69" s="3" t="s">
        <v>3548</v>
      </c>
      <c r="T69" s="3">
        <v>5</v>
      </c>
      <c r="U69" t="s">
        <v>56</v>
      </c>
      <c r="V69" t="s">
        <v>56</v>
      </c>
      <c r="W69" t="s">
        <v>56</v>
      </c>
      <c r="X69" t="s">
        <v>56</v>
      </c>
      <c r="Y69" t="s">
        <v>56</v>
      </c>
      <c r="Z69" t="s">
        <v>56</v>
      </c>
      <c r="AA69" t="s">
        <v>56</v>
      </c>
      <c r="AB69" t="s">
        <v>56</v>
      </c>
      <c r="AC69" t="s">
        <v>56</v>
      </c>
      <c r="AD69" t="s">
        <v>56</v>
      </c>
      <c r="AE69" t="s">
        <v>56</v>
      </c>
      <c r="AF69" t="s">
        <v>56</v>
      </c>
      <c r="AG69" t="s">
        <v>56</v>
      </c>
      <c r="AH69" t="s">
        <v>56</v>
      </c>
      <c r="AI69" t="s">
        <v>56</v>
      </c>
      <c r="AJ69" t="s">
        <v>56</v>
      </c>
      <c r="AK69" t="s">
        <v>56</v>
      </c>
      <c r="AL69" t="s">
        <v>56</v>
      </c>
      <c r="AM69" t="s">
        <v>56</v>
      </c>
      <c r="AN69" s="19" t="s">
        <v>56</v>
      </c>
      <c r="AO69" t="s">
        <v>56</v>
      </c>
      <c r="AP69" t="s">
        <v>56</v>
      </c>
      <c r="AQ69" t="s">
        <v>56</v>
      </c>
      <c r="AR69" t="s">
        <v>56</v>
      </c>
      <c r="AS69" t="s">
        <v>56</v>
      </c>
      <c r="AT69" t="s">
        <v>56</v>
      </c>
      <c r="AU69" t="s">
        <v>56</v>
      </c>
      <c r="AV69" t="s">
        <v>56</v>
      </c>
      <c r="AW69" t="s">
        <v>56</v>
      </c>
      <c r="AX69" t="s">
        <v>56</v>
      </c>
      <c r="AY69" t="s">
        <v>56</v>
      </c>
      <c r="AZ69" t="s">
        <v>56</v>
      </c>
      <c r="BA69" t="s">
        <v>56</v>
      </c>
      <c r="BB69" t="s">
        <v>56</v>
      </c>
      <c r="BC69" t="s">
        <v>56</v>
      </c>
      <c r="BD69" t="s">
        <v>56</v>
      </c>
      <c r="BE69" t="s">
        <v>56</v>
      </c>
      <c r="BF69" t="s">
        <v>56</v>
      </c>
      <c r="BG69" t="s">
        <v>56</v>
      </c>
      <c r="BH69" s="6" t="s">
        <v>56</v>
      </c>
      <c r="BI69" t="s">
        <v>56</v>
      </c>
      <c r="BJ69" t="s">
        <v>56</v>
      </c>
      <c r="BK69" t="s">
        <v>56</v>
      </c>
      <c r="BL69" t="s">
        <v>56</v>
      </c>
      <c r="BM69" t="s">
        <v>56</v>
      </c>
      <c r="BN69" t="s">
        <v>56</v>
      </c>
      <c r="BO69" t="s">
        <v>56</v>
      </c>
      <c r="BP69" t="s">
        <v>56</v>
      </c>
      <c r="BQ69" t="s">
        <v>56</v>
      </c>
      <c r="BR69" t="s">
        <v>56</v>
      </c>
      <c r="BS69" t="s">
        <v>56</v>
      </c>
      <c r="BT69" t="s">
        <v>56</v>
      </c>
      <c r="BU69" t="s">
        <v>56</v>
      </c>
      <c r="BV69" t="s">
        <v>56</v>
      </c>
      <c r="BW69" t="s">
        <v>56</v>
      </c>
      <c r="BX69" t="str">
        <f>HYPERLINK(".\links\PREV-RHOD-CDS\TI_asb-117-PREV-RHOD-CDS.txt","Contig17979_4")</f>
        <v>Contig17979_4</v>
      </c>
      <c r="BY69" s="6">
        <v>0.34</v>
      </c>
      <c r="BZ69" t="s">
        <v>860</v>
      </c>
      <c r="CA69">
        <v>34.200000000000003</v>
      </c>
      <c r="CB69">
        <v>20</v>
      </c>
      <c r="CC69">
        <v>1425</v>
      </c>
      <c r="CD69">
        <v>95</v>
      </c>
      <c r="CE69">
        <v>1</v>
      </c>
      <c r="CF69">
        <v>1</v>
      </c>
      <c r="CG69">
        <v>0</v>
      </c>
      <c r="CH69">
        <v>720</v>
      </c>
      <c r="CI69">
        <v>42</v>
      </c>
      <c r="CJ69">
        <v>1</v>
      </c>
      <c r="CK69" t="s">
        <v>64</v>
      </c>
      <c r="CL69" t="s">
        <v>56</v>
      </c>
      <c r="CM69" t="s">
        <v>56</v>
      </c>
      <c r="CN69" t="s">
        <v>56</v>
      </c>
      <c r="CO69" t="s">
        <v>56</v>
      </c>
      <c r="CP69" t="s">
        <v>56</v>
      </c>
      <c r="CQ69" t="s">
        <v>56</v>
      </c>
      <c r="CR69" s="6" t="s">
        <v>56</v>
      </c>
      <c r="CS69" t="s">
        <v>56</v>
      </c>
      <c r="CT69" t="s">
        <v>56</v>
      </c>
      <c r="CU69" t="s">
        <v>56</v>
      </c>
      <c r="CV69" t="s">
        <v>56</v>
      </c>
      <c r="CW69" s="6" t="s">
        <v>56</v>
      </c>
      <c r="CX69" t="s">
        <v>56</v>
      </c>
      <c r="CY69" t="s">
        <v>56</v>
      </c>
      <c r="CZ69" t="s">
        <v>56</v>
      </c>
      <c r="DA69" t="s">
        <v>56</v>
      </c>
      <c r="DB69" s="6" t="s">
        <v>56</v>
      </c>
      <c r="DC69" t="s">
        <v>56</v>
      </c>
      <c r="DD69" t="s">
        <v>56</v>
      </c>
      <c r="DE69" t="s">
        <v>56</v>
      </c>
      <c r="DF69" t="s">
        <v>56</v>
      </c>
      <c r="DG69" t="s">
        <v>56</v>
      </c>
      <c r="DH69" t="s">
        <v>56</v>
      </c>
      <c r="DI69" s="6" t="s">
        <v>56</v>
      </c>
      <c r="DJ69" s="6" t="s">
        <v>56</v>
      </c>
      <c r="DN69" t="s">
        <v>56</v>
      </c>
      <c r="DO69" t="s">
        <v>56</v>
      </c>
      <c r="DP69" s="3" t="s">
        <v>56</v>
      </c>
      <c r="ED69" s="3" t="s">
        <v>56</v>
      </c>
    </row>
    <row r="70" spans="1:147">
      <c r="A70" t="str">
        <f>HYPERLINK(".\links\seq\TI_asb-118-seq.txt","TI_asb-118")</f>
        <v>TI_asb-118</v>
      </c>
      <c r="B70">
        <v>118</v>
      </c>
      <c r="C70" t="str">
        <f>HYPERLINK(".\links\tsa\TI_asb-118-tsa.txt","1")</f>
        <v>1</v>
      </c>
      <c r="D70">
        <v>1</v>
      </c>
      <c r="E70">
        <v>959</v>
      </c>
      <c r="G70" t="str">
        <f>HYPERLINK(".\links\qual\TI_asb-118-qual.txt","29")</f>
        <v>29</v>
      </c>
      <c r="H70">
        <v>1</v>
      </c>
      <c r="I70">
        <v>0</v>
      </c>
      <c r="J70">
        <f t="shared" si="2"/>
        <v>1</v>
      </c>
      <c r="K70" s="6">
        <f t="shared" si="3"/>
        <v>1</v>
      </c>
      <c r="L70" s="6" t="s">
        <v>3888</v>
      </c>
      <c r="M70" s="6" t="s">
        <v>3886</v>
      </c>
      <c r="N70" s="6" t="s">
        <v>3872</v>
      </c>
      <c r="O70" s="6">
        <v>0</v>
      </c>
      <c r="P70" s="6">
        <v>5.7</v>
      </c>
      <c r="Q70" s="3">
        <v>959</v>
      </c>
      <c r="R70" s="3">
        <v>579</v>
      </c>
      <c r="S70" s="5" t="s">
        <v>3549</v>
      </c>
      <c r="T70" s="3">
        <v>3</v>
      </c>
      <c r="U70" t="str">
        <f>HYPERLINK(".\links\NR-LIGHT\TI_asb-118-NR-LIGHT.txt","similar to EG:8D8.7")</f>
        <v>similar to EG:8D8.7</v>
      </c>
      <c r="V70" t="str">
        <f>HYPERLINK("http://www.ncbi.nlm.nih.gov/sutils/blink.cgi?pid=156552185","2E-031")</f>
        <v>2E-031</v>
      </c>
      <c r="W70" t="str">
        <f>HYPERLINK(".\links\NR-LIGHT\TI_asb-118-NR-LIGHT.txt"," 10")</f>
        <v xml:space="preserve"> 10</v>
      </c>
      <c r="X70" t="str">
        <f>HYPERLINK("http://www.ncbi.nlm.nih.gov/protein/156552185","gi|156552185")</f>
        <v>gi|156552185</v>
      </c>
      <c r="Y70">
        <v>139</v>
      </c>
      <c r="Z70">
        <v>182</v>
      </c>
      <c r="AA70">
        <v>244</v>
      </c>
      <c r="AB70">
        <v>36</v>
      </c>
      <c r="AC70">
        <v>75</v>
      </c>
      <c r="AD70">
        <v>116</v>
      </c>
      <c r="AE70">
        <v>0</v>
      </c>
      <c r="AF70">
        <v>12</v>
      </c>
      <c r="AG70">
        <v>45</v>
      </c>
      <c r="AH70">
        <v>1</v>
      </c>
      <c r="AI70">
        <v>3</v>
      </c>
      <c r="AJ70" t="s">
        <v>53</v>
      </c>
      <c r="AK70" t="s">
        <v>54</v>
      </c>
      <c r="AL70" t="s">
        <v>66</v>
      </c>
      <c r="AM70" t="str">
        <f>HYPERLINK(".\links\SWISSP\TI_asb-118-SWISSP.txt","CD81 protein OS=Saguinus oedipus GN=CD81 PE=2 SV=1")</f>
        <v>CD81 protein OS=Saguinus oedipus GN=CD81 PE=2 SV=1</v>
      </c>
      <c r="AN70" s="19" t="str">
        <f>HYPERLINK("http://www.uniprot.org/uniprot/Q9N0J9","3E-011")</f>
        <v>3E-011</v>
      </c>
      <c r="AO70" t="str">
        <f>HYPERLINK(".\links\SWISSP\TI_asb-118-SWISSP.txt"," 10")</f>
        <v xml:space="preserve"> 10</v>
      </c>
      <c r="AP70" t="s">
        <v>861</v>
      </c>
      <c r="AQ70">
        <v>69.7</v>
      </c>
      <c r="AR70">
        <v>155</v>
      </c>
      <c r="AS70">
        <v>236</v>
      </c>
      <c r="AT70">
        <v>29</v>
      </c>
      <c r="AU70">
        <v>66</v>
      </c>
      <c r="AV70">
        <v>109</v>
      </c>
      <c r="AW70">
        <v>9</v>
      </c>
      <c r="AX70">
        <v>10</v>
      </c>
      <c r="AY70">
        <v>69</v>
      </c>
      <c r="AZ70">
        <v>1</v>
      </c>
      <c r="BA70">
        <v>3</v>
      </c>
      <c r="BB70" t="s">
        <v>53</v>
      </c>
      <c r="BC70" t="s">
        <v>54</v>
      </c>
      <c r="BD70" t="s">
        <v>862</v>
      </c>
      <c r="BE70" t="s">
        <v>863</v>
      </c>
      <c r="BF70" t="s">
        <v>864</v>
      </c>
      <c r="BG70" t="str">
        <f>HYPERLINK(".\links\PREV-RHOD-PEP\TI_asb-118-PREV-RHOD-PEP.txt","Contig17265_15")</f>
        <v>Contig17265_15</v>
      </c>
      <c r="BH70" s="7">
        <v>6.0000000000000003E-70</v>
      </c>
      <c r="BI70" t="str">
        <f>HYPERLINK(".\links\PREV-RHOD-PEP\TI_asb-118-PREV-RHOD-PEP.txt"," 7")</f>
        <v xml:space="preserve"> 7</v>
      </c>
      <c r="BJ70" t="s">
        <v>865</v>
      </c>
      <c r="BK70">
        <v>260</v>
      </c>
      <c r="BL70">
        <v>194</v>
      </c>
      <c r="BM70">
        <v>233</v>
      </c>
      <c r="BN70">
        <v>68</v>
      </c>
      <c r="BO70">
        <v>83</v>
      </c>
      <c r="BP70">
        <v>61</v>
      </c>
      <c r="BQ70">
        <v>0</v>
      </c>
      <c r="BR70">
        <v>8</v>
      </c>
      <c r="BS70">
        <v>57</v>
      </c>
      <c r="BT70">
        <v>2</v>
      </c>
      <c r="BU70" t="s">
        <v>54</v>
      </c>
      <c r="BV70" t="s">
        <v>866</v>
      </c>
      <c r="BW70" t="s">
        <v>56</v>
      </c>
      <c r="BX70" t="str">
        <f>HYPERLINK(".\links\PREV-RHOD-CDS\TI_asb-118-PREV-RHOD-CDS.txt","Contig17265_15")</f>
        <v>Contig17265_15</v>
      </c>
      <c r="BY70" s="7">
        <v>3.0000000000000001E-61</v>
      </c>
      <c r="BZ70" t="s">
        <v>865</v>
      </c>
      <c r="CA70">
        <v>236</v>
      </c>
      <c r="CB70">
        <v>533</v>
      </c>
      <c r="CC70">
        <v>702</v>
      </c>
      <c r="CD70">
        <v>80</v>
      </c>
      <c r="CE70">
        <v>76</v>
      </c>
      <c r="CF70">
        <v>103</v>
      </c>
      <c r="CG70">
        <v>1</v>
      </c>
      <c r="CH70">
        <v>68</v>
      </c>
      <c r="CI70">
        <v>103</v>
      </c>
      <c r="CJ70">
        <v>1</v>
      </c>
      <c r="CK70" t="s">
        <v>54</v>
      </c>
      <c r="CL70" t="s">
        <v>867</v>
      </c>
      <c r="CM70">
        <f>HYPERLINK(".\links\GO\TI_asb-118-GO.txt",1E-27)</f>
        <v>1E-27</v>
      </c>
      <c r="CN70" t="s">
        <v>208</v>
      </c>
      <c r="CO70" t="s">
        <v>185</v>
      </c>
      <c r="CP70" t="s">
        <v>186</v>
      </c>
      <c r="CQ70" t="s">
        <v>209</v>
      </c>
      <c r="CR70" s="6">
        <v>9.9999999999999994E-12</v>
      </c>
      <c r="CS70" t="s">
        <v>74</v>
      </c>
      <c r="CT70" t="s">
        <v>75</v>
      </c>
      <c r="CU70" t="s">
        <v>76</v>
      </c>
      <c r="CV70" t="s">
        <v>77</v>
      </c>
      <c r="CW70" s="6">
        <v>9.9999999999999994E-12</v>
      </c>
      <c r="CX70" t="s">
        <v>868</v>
      </c>
      <c r="CY70" t="s">
        <v>185</v>
      </c>
      <c r="CZ70" t="s">
        <v>186</v>
      </c>
      <c r="DA70" t="s">
        <v>869</v>
      </c>
      <c r="DB70" s="6">
        <v>9.9999999999999994E-12</v>
      </c>
      <c r="DC70" t="str">
        <f>HYPERLINK(".\links\CDD\TI_asb-118-CDD.txt","Tetraspannin")</f>
        <v>Tetraspannin</v>
      </c>
      <c r="DD70" t="str">
        <f>HYPERLINK("http://www.ncbi.nlm.nih.gov/Structure/cdd/cddsrv.cgi?uid=pfam00335&amp;version=v4.0","3E-021")</f>
        <v>3E-021</v>
      </c>
      <c r="DE70" t="s">
        <v>870</v>
      </c>
      <c r="DF70" t="str">
        <f>HYPERLINK(".\links\PFAM\TI_asb-118-PFAM.txt","Tetraspannin")</f>
        <v>Tetraspannin</v>
      </c>
      <c r="DG70" t="str">
        <f>HYPERLINK("http://pfam.sanger.ac.uk/family?acc=PF00335","6E-022")</f>
        <v>6E-022</v>
      </c>
      <c r="DH70" t="str">
        <f>HYPERLINK(".\links\PRK\TI_asb-118-PRK.txt","NADH dehydrogenase subunit 5")</f>
        <v>NADH dehydrogenase subunit 5</v>
      </c>
      <c r="DI70" s="7">
        <v>9.0000000000000002E-6</v>
      </c>
      <c r="DJ70" s="6" t="str">
        <f>HYPERLINK(".\links\KOG\TI_asb-118-KOG.txt","Nuclear protein, contains WD40 repeats")</f>
        <v>Nuclear protein, contains WD40 repeats</v>
      </c>
      <c r="DK70" s="6" t="str">
        <f>HYPERLINK("http://www.ncbi.nlm.nih.gov/COG/grace/shokog.cgi?KOG1916","0.0")</f>
        <v>0.0</v>
      </c>
      <c r="DL70" s="6" t="s">
        <v>4337</v>
      </c>
      <c r="DM70" s="6" t="str">
        <f>HYPERLINK(".\links\KOG\TI_asb-118-KOG.txt","KOG1916")</f>
        <v>KOG1916</v>
      </c>
      <c r="DN70" t="str">
        <f>HYPERLINK(".\links\SMART\TI_asb-118-SMART.txt","AgrB")</f>
        <v>AgrB</v>
      </c>
      <c r="DO70" t="str">
        <f>HYPERLINK("http://smart.embl-heidelberg.de/smart/do_annotation.pl?DOMAIN=AgrB&amp;BLAST=DUMMY","0.016")</f>
        <v>0.016</v>
      </c>
      <c r="DP70" s="3" t="s">
        <v>56</v>
      </c>
      <c r="ED70" s="3" t="s">
        <v>56</v>
      </c>
    </row>
    <row r="71" spans="1:147">
      <c r="A71" t="str">
        <f>HYPERLINK(".\links\seq\TI_asb-121-seq.txt","TI_asb-121")</f>
        <v>TI_asb-121</v>
      </c>
      <c r="B71">
        <v>121</v>
      </c>
      <c r="C71" t="str">
        <f>HYPERLINK(".\links\tsa\TI_asb-121-tsa.txt","1")</f>
        <v>1</v>
      </c>
      <c r="D71">
        <v>1</v>
      </c>
      <c r="E71">
        <v>606</v>
      </c>
      <c r="G71" t="str">
        <f>HYPERLINK(".\links\qual\TI_asb-121-qual.txt","30")</f>
        <v>30</v>
      </c>
      <c r="H71">
        <v>0</v>
      </c>
      <c r="I71">
        <v>1</v>
      </c>
      <c r="J71">
        <f t="shared" si="2"/>
        <v>1</v>
      </c>
      <c r="K71" s="6">
        <f t="shared" si="3"/>
        <v>-1</v>
      </c>
      <c r="L71" s="6" t="s">
        <v>3933</v>
      </c>
      <c r="M71" s="6" t="s">
        <v>3934</v>
      </c>
      <c r="N71" s="6" t="s">
        <v>3864</v>
      </c>
      <c r="O71" s="7">
        <v>8.9999999999999997E-54</v>
      </c>
      <c r="P71" s="6">
        <v>9.1999999999999993</v>
      </c>
      <c r="Q71" s="3">
        <v>606</v>
      </c>
      <c r="R71" s="3">
        <v>399</v>
      </c>
      <c r="S71" s="3" t="s">
        <v>3550</v>
      </c>
      <c r="T71" s="3">
        <v>2</v>
      </c>
      <c r="U71" t="str">
        <f>HYPERLINK(".\links\NR-LIGHT\TI_asb-121-NR-LIGHT.txt","nonstructural protein precursor")</f>
        <v>nonstructural protein precursor</v>
      </c>
      <c r="V71" t="str">
        <f>HYPERLINK("http://www.ncbi.nlm.nih.gov/sutils/blink.cgi?pid=20451029","9E-054")</f>
        <v>9E-054</v>
      </c>
      <c r="W71" t="str">
        <f>HYPERLINK(".\links\NR-LIGHT\TI_asb-121-NR-LIGHT.txt"," 5")</f>
        <v xml:space="preserve"> 5</v>
      </c>
      <c r="X71" t="str">
        <f>HYPERLINK("http://www.ncbi.nlm.nih.gov/protein/20451029","gi|20451029")</f>
        <v>gi|20451029</v>
      </c>
      <c r="Y71">
        <v>211</v>
      </c>
      <c r="Z71">
        <v>166</v>
      </c>
      <c r="AA71">
        <v>1795</v>
      </c>
      <c r="AB71">
        <v>65</v>
      </c>
      <c r="AC71">
        <v>9</v>
      </c>
      <c r="AD71">
        <v>58</v>
      </c>
      <c r="AE71">
        <v>0</v>
      </c>
      <c r="AF71">
        <v>172</v>
      </c>
      <c r="AG71">
        <v>2</v>
      </c>
      <c r="AH71">
        <v>2</v>
      </c>
      <c r="AI71">
        <v>2</v>
      </c>
      <c r="AJ71" t="s">
        <v>65</v>
      </c>
      <c r="AK71" t="s">
        <v>54</v>
      </c>
      <c r="AL71" t="s">
        <v>137</v>
      </c>
      <c r="AM71" t="str">
        <f>HYPERLINK(".\links\SWISSP\TI_asb-121-SWISSP.txt","Probable basic-leucine zipper transcription factor C OS=Dictyostelium discoideum")</f>
        <v>Probable basic-leucine zipper transcription factor C OS=Dictyostelium discoideum</v>
      </c>
      <c r="AN71" s="19" t="str">
        <f>HYPERLINK("http://www.uniprot.org/uniprot/Q54WU0","1.4")</f>
        <v>1.4</v>
      </c>
      <c r="AO71" t="str">
        <f>HYPERLINK(".\links\SWISSP\TI_asb-121-SWISSP.txt"," 2")</f>
        <v xml:space="preserve"> 2</v>
      </c>
      <c r="AP71" t="s">
        <v>872</v>
      </c>
      <c r="AQ71">
        <v>33.1</v>
      </c>
      <c r="AR71">
        <v>106</v>
      </c>
      <c r="AS71">
        <v>804</v>
      </c>
      <c r="AT71">
        <v>24</v>
      </c>
      <c r="AU71">
        <v>13</v>
      </c>
      <c r="AV71">
        <v>80</v>
      </c>
      <c r="AW71">
        <v>4</v>
      </c>
      <c r="AX71">
        <v>186</v>
      </c>
      <c r="AY71">
        <v>182</v>
      </c>
      <c r="AZ71">
        <v>1</v>
      </c>
      <c r="BA71">
        <v>2</v>
      </c>
      <c r="BB71" t="s">
        <v>53</v>
      </c>
      <c r="BC71" t="s">
        <v>54</v>
      </c>
      <c r="BD71" t="s">
        <v>386</v>
      </c>
      <c r="BE71" t="s">
        <v>873</v>
      </c>
      <c r="BF71" t="s">
        <v>874</v>
      </c>
      <c r="BG71" t="str">
        <f>HYPERLINK(".\links\PREV-RHOD-PEP\TI_asb-121-PREV-RHOD-PEP.txt","Contig17566_21")</f>
        <v>Contig17566_21</v>
      </c>
      <c r="BH71" s="6">
        <v>0.74</v>
      </c>
      <c r="BI71" t="str">
        <f>HYPERLINK(".\links\PREV-RHOD-PEP\TI_asb-121-PREV-RHOD-PEP.txt"," 7")</f>
        <v xml:space="preserve"> 7</v>
      </c>
      <c r="BJ71" t="s">
        <v>875</v>
      </c>
      <c r="BK71">
        <v>30</v>
      </c>
      <c r="BL71">
        <v>54</v>
      </c>
      <c r="BM71">
        <v>274</v>
      </c>
      <c r="BN71">
        <v>29</v>
      </c>
      <c r="BO71">
        <v>20</v>
      </c>
      <c r="BP71">
        <v>38</v>
      </c>
      <c r="BQ71">
        <v>0</v>
      </c>
      <c r="BR71">
        <v>137</v>
      </c>
      <c r="BS71">
        <v>16</v>
      </c>
      <c r="BT71">
        <v>1</v>
      </c>
      <c r="BU71" t="s">
        <v>64</v>
      </c>
      <c r="BV71" t="s">
        <v>876</v>
      </c>
      <c r="BW71" t="s">
        <v>56</v>
      </c>
      <c r="BX71" t="str">
        <f>HYPERLINK(".\links\PREV-RHOD-CDS\TI_asb-121-PREV-RHOD-CDS.txt","Contig2852_1")</f>
        <v>Contig2852_1</v>
      </c>
      <c r="BY71" s="6">
        <v>0.3</v>
      </c>
      <c r="BZ71" t="s">
        <v>877</v>
      </c>
      <c r="CA71">
        <v>36.200000000000003</v>
      </c>
      <c r="CB71">
        <v>21</v>
      </c>
      <c r="CC71">
        <v>786</v>
      </c>
      <c r="CD71">
        <v>95</v>
      </c>
      <c r="CE71">
        <v>3</v>
      </c>
      <c r="CF71">
        <v>1</v>
      </c>
      <c r="CG71">
        <v>0</v>
      </c>
      <c r="CH71">
        <v>717</v>
      </c>
      <c r="CI71">
        <v>140</v>
      </c>
      <c r="CJ71">
        <v>1</v>
      </c>
      <c r="CK71" t="s">
        <v>64</v>
      </c>
      <c r="CL71" t="s">
        <v>878</v>
      </c>
      <c r="CM71">
        <f>HYPERLINK(".\links\GO\TI_asb-121-GO.txt",0.39)</f>
        <v>0.39</v>
      </c>
      <c r="CN71" t="s">
        <v>879</v>
      </c>
      <c r="CO71" t="s">
        <v>185</v>
      </c>
      <c r="CP71" t="s">
        <v>186</v>
      </c>
      <c r="CQ71" t="s">
        <v>880</v>
      </c>
      <c r="CR71" s="6">
        <v>0.39</v>
      </c>
      <c r="CS71" t="s">
        <v>224</v>
      </c>
      <c r="CT71" t="s">
        <v>75</v>
      </c>
      <c r="CU71" t="s">
        <v>76</v>
      </c>
      <c r="CV71" t="s">
        <v>225</v>
      </c>
      <c r="CW71" s="6">
        <v>0.39</v>
      </c>
      <c r="CX71" t="s">
        <v>881</v>
      </c>
      <c r="CY71" t="s">
        <v>185</v>
      </c>
      <c r="CZ71" t="s">
        <v>186</v>
      </c>
      <c r="DA71" t="s">
        <v>882</v>
      </c>
      <c r="DB71" s="6">
        <v>0.39</v>
      </c>
      <c r="DC71" t="s">
        <v>56</v>
      </c>
      <c r="DD71" t="s">
        <v>56</v>
      </c>
      <c r="DE71" t="s">
        <v>56</v>
      </c>
      <c r="DF71" t="s">
        <v>56</v>
      </c>
      <c r="DG71" t="s">
        <v>56</v>
      </c>
      <c r="DH71" t="s">
        <v>56</v>
      </c>
      <c r="DI71" s="6" t="s">
        <v>56</v>
      </c>
      <c r="DJ71" s="6" t="s">
        <v>56</v>
      </c>
      <c r="DN71" t="str">
        <f>HYPERLINK(".\links\SMART\TI_asb-121-SMART.txt","C1Q")</f>
        <v>C1Q</v>
      </c>
      <c r="DO71" t="str">
        <f>HYPERLINK("http://smart.embl-heidelberg.de/smart/do_annotation.pl?DOMAIN=C1Q&amp;BLAST=DUMMY","0.010")</f>
        <v>0.010</v>
      </c>
      <c r="DP71" s="3" t="s">
        <v>56</v>
      </c>
      <c r="ED71" s="3" t="s">
        <v>56</v>
      </c>
    </row>
    <row r="72" spans="1:147">
      <c r="A72" t="str">
        <f>HYPERLINK(".\links\seq\TI_asb-122-seq.txt","TI_asb-122")</f>
        <v>TI_asb-122</v>
      </c>
      <c r="B72">
        <v>122</v>
      </c>
      <c r="C72" t="str">
        <f>HYPERLINK(".\links\tsa\TI_asb-122-tsa.txt","1")</f>
        <v>1</v>
      </c>
      <c r="D72">
        <v>1</v>
      </c>
      <c r="E72">
        <v>671</v>
      </c>
      <c r="G72" t="str">
        <f>HYPERLINK(".\links\qual\TI_asb-122-qual.txt","21")</f>
        <v>21</v>
      </c>
      <c r="H72">
        <v>0</v>
      </c>
      <c r="I72">
        <v>1</v>
      </c>
      <c r="J72">
        <f t="shared" si="2"/>
        <v>1</v>
      </c>
      <c r="K72" s="6">
        <f t="shared" si="3"/>
        <v>-1</v>
      </c>
      <c r="L72" s="6" t="s">
        <v>3868</v>
      </c>
      <c r="M72" s="6" t="s">
        <v>3869</v>
      </c>
      <c r="N72" s="6"/>
      <c r="O72" s="6"/>
      <c r="P72" s="6"/>
      <c r="Q72" s="3">
        <v>671</v>
      </c>
      <c r="R72" s="3">
        <v>210</v>
      </c>
      <c r="S72" s="3" t="s">
        <v>3551</v>
      </c>
      <c r="T72" s="3">
        <v>1</v>
      </c>
      <c r="U72" t="s">
        <v>56</v>
      </c>
      <c r="V72" t="s">
        <v>56</v>
      </c>
      <c r="W72" t="s">
        <v>56</v>
      </c>
      <c r="X72" t="s">
        <v>56</v>
      </c>
      <c r="Y72" t="s">
        <v>56</v>
      </c>
      <c r="Z72" t="s">
        <v>56</v>
      </c>
      <c r="AA72" t="s">
        <v>56</v>
      </c>
      <c r="AB72" t="s">
        <v>56</v>
      </c>
      <c r="AC72" t="s">
        <v>56</v>
      </c>
      <c r="AD72" t="s">
        <v>56</v>
      </c>
      <c r="AE72" t="s">
        <v>56</v>
      </c>
      <c r="AF72" t="s">
        <v>56</v>
      </c>
      <c r="AG72" t="s">
        <v>56</v>
      </c>
      <c r="AH72" t="s">
        <v>56</v>
      </c>
      <c r="AI72" t="s">
        <v>56</v>
      </c>
      <c r="AJ72" t="s">
        <v>56</v>
      </c>
      <c r="AK72" t="s">
        <v>56</v>
      </c>
      <c r="AL72" t="s">
        <v>56</v>
      </c>
      <c r="AM72" t="s">
        <v>56</v>
      </c>
      <c r="AN72" s="19" t="s">
        <v>56</v>
      </c>
      <c r="AO72" t="s">
        <v>56</v>
      </c>
      <c r="AP72" t="s">
        <v>56</v>
      </c>
      <c r="AQ72" t="s">
        <v>56</v>
      </c>
      <c r="AR72" t="s">
        <v>56</v>
      </c>
      <c r="AS72" t="s">
        <v>56</v>
      </c>
      <c r="AT72" t="s">
        <v>56</v>
      </c>
      <c r="AU72" t="s">
        <v>56</v>
      </c>
      <c r="AV72" t="s">
        <v>56</v>
      </c>
      <c r="AW72" t="s">
        <v>56</v>
      </c>
      <c r="AX72" t="s">
        <v>56</v>
      </c>
      <c r="AY72" t="s">
        <v>56</v>
      </c>
      <c r="AZ72" t="s">
        <v>56</v>
      </c>
      <c r="BA72" t="s">
        <v>56</v>
      </c>
      <c r="BB72" t="s">
        <v>56</v>
      </c>
      <c r="BC72" t="s">
        <v>56</v>
      </c>
      <c r="BD72" t="s">
        <v>56</v>
      </c>
      <c r="BE72" t="s">
        <v>56</v>
      </c>
      <c r="BF72" t="s">
        <v>56</v>
      </c>
      <c r="BG72" t="s">
        <v>56</v>
      </c>
      <c r="BH72" s="6" t="s">
        <v>56</v>
      </c>
      <c r="BI72" t="s">
        <v>56</v>
      </c>
      <c r="BJ72" t="s">
        <v>56</v>
      </c>
      <c r="BK72" t="s">
        <v>56</v>
      </c>
      <c r="BL72" t="s">
        <v>56</v>
      </c>
      <c r="BM72" t="s">
        <v>56</v>
      </c>
      <c r="BN72" t="s">
        <v>56</v>
      </c>
      <c r="BO72" t="s">
        <v>56</v>
      </c>
      <c r="BP72" t="s">
        <v>56</v>
      </c>
      <c r="BQ72" t="s">
        <v>56</v>
      </c>
      <c r="BR72" t="s">
        <v>56</v>
      </c>
      <c r="BS72" t="s">
        <v>56</v>
      </c>
      <c r="BT72" t="s">
        <v>56</v>
      </c>
      <c r="BU72" t="s">
        <v>56</v>
      </c>
      <c r="BV72" t="s">
        <v>56</v>
      </c>
      <c r="BW72" t="s">
        <v>56</v>
      </c>
      <c r="BX72" t="str">
        <f>HYPERLINK(".\links\PREV-RHOD-CDS\TI_asb-122-PREV-RHOD-CDS.txt","Contig17666_92")</f>
        <v>Contig17666_92</v>
      </c>
      <c r="BY72" s="6">
        <v>0.33</v>
      </c>
      <c r="BZ72" t="s">
        <v>883</v>
      </c>
      <c r="CA72">
        <v>36.200000000000003</v>
      </c>
      <c r="CB72">
        <v>21</v>
      </c>
      <c r="CC72">
        <v>4470</v>
      </c>
      <c r="CD72">
        <v>95</v>
      </c>
      <c r="CF72">
        <v>1</v>
      </c>
      <c r="CG72">
        <v>0</v>
      </c>
      <c r="CH72">
        <v>2161</v>
      </c>
      <c r="CI72">
        <v>190</v>
      </c>
      <c r="CJ72">
        <v>1</v>
      </c>
      <c r="CK72" t="s">
        <v>64</v>
      </c>
      <c r="CL72" t="s">
        <v>884</v>
      </c>
      <c r="CM72">
        <f>HYPERLINK(".\links\GO\TI_asb-122-GO.txt",9)</f>
        <v>9</v>
      </c>
      <c r="CN72" t="s">
        <v>56</v>
      </c>
      <c r="CO72" t="s">
        <v>56</v>
      </c>
      <c r="CP72" t="s">
        <v>56</v>
      </c>
      <c r="CQ72" t="s">
        <v>56</v>
      </c>
      <c r="CR72" s="6" t="s">
        <v>56</v>
      </c>
      <c r="CS72" t="s">
        <v>56</v>
      </c>
      <c r="CT72" t="s">
        <v>56</v>
      </c>
      <c r="CU72" t="s">
        <v>56</v>
      </c>
      <c r="CV72" t="s">
        <v>56</v>
      </c>
      <c r="CW72" s="6" t="s">
        <v>56</v>
      </c>
      <c r="CX72" t="s">
        <v>62</v>
      </c>
      <c r="CY72" t="s">
        <v>185</v>
      </c>
      <c r="CZ72" t="s">
        <v>186</v>
      </c>
      <c r="DA72" t="s">
        <v>63</v>
      </c>
      <c r="DB72" s="6">
        <v>9</v>
      </c>
      <c r="DC72" t="str">
        <f>HYPERLINK(".\links\CDD\TI_asb-122-CDD.txt","COG5578")</f>
        <v>COG5578</v>
      </c>
      <c r="DD72" t="str">
        <f>HYPERLINK("http://www.ncbi.nlm.nih.gov/Structure/cdd/cddsrv.cgi?uid=COG5578&amp;version=v4.0","0.026")</f>
        <v>0.026</v>
      </c>
      <c r="DE72" t="s">
        <v>885</v>
      </c>
      <c r="DF72" t="str">
        <f>HYPERLINK(".\links\PFAM\TI_asb-122-PFAM.txt","7TM_GPCR_Srz")</f>
        <v>7TM_GPCR_Srz</v>
      </c>
      <c r="DG72" t="str">
        <f>HYPERLINK("http://pfam.sanger.ac.uk/family?acc=PF10325","3E-006")</f>
        <v>3E-006</v>
      </c>
      <c r="DH72" t="str">
        <f>HYPERLINK(".\links\PRK\TI_asb-122-PRK.txt","NADH dehydrogenase subunit 2")</f>
        <v>NADH dehydrogenase subunit 2</v>
      </c>
      <c r="DI72" s="6">
        <v>1E-3</v>
      </c>
      <c r="DJ72" s="6" t="s">
        <v>56</v>
      </c>
      <c r="DN72" t="str">
        <f>HYPERLINK(".\links\SMART\TI_asb-122-SMART.txt","PSN")</f>
        <v>PSN</v>
      </c>
      <c r="DO72" t="str">
        <f>HYPERLINK("http://smart.embl-heidelberg.de/smart/do_annotation.pl?DOMAIN=PSN&amp;BLAST=DUMMY","0.004")</f>
        <v>0.004</v>
      </c>
      <c r="DP72" s="3" t="s">
        <v>56</v>
      </c>
      <c r="ED72" s="3" t="s">
        <v>56</v>
      </c>
    </row>
    <row r="73" spans="1:147">
      <c r="A73" t="str">
        <f>HYPERLINK(".\links\seq\TI_asb-123-seq.txt","TI_asb-123")</f>
        <v>TI_asb-123</v>
      </c>
      <c r="B73">
        <v>123</v>
      </c>
      <c r="C73" t="str">
        <f>HYPERLINK(".\links\tsa\TI_asb-123-tsa.txt","2")</f>
        <v>2</v>
      </c>
      <c r="D73">
        <v>2</v>
      </c>
      <c r="E73">
        <v>807</v>
      </c>
      <c r="F73">
        <v>784</v>
      </c>
      <c r="G73" t="str">
        <f>HYPERLINK(".\links\qual\TI_asb-123-qual.txt","43")</f>
        <v>43</v>
      </c>
      <c r="H73">
        <v>2</v>
      </c>
      <c r="I73">
        <v>0</v>
      </c>
      <c r="J73">
        <f t="shared" si="2"/>
        <v>2</v>
      </c>
      <c r="K73" s="6">
        <f t="shared" si="3"/>
        <v>2</v>
      </c>
      <c r="L73" s="6" t="s">
        <v>3935</v>
      </c>
      <c r="M73" s="6" t="s">
        <v>3883</v>
      </c>
      <c r="N73" s="6" t="s">
        <v>3864</v>
      </c>
      <c r="O73" s="7">
        <v>7.9999999999999998E-48</v>
      </c>
      <c r="P73" s="6">
        <v>33.299999999999997</v>
      </c>
      <c r="Q73" s="3">
        <v>807</v>
      </c>
      <c r="R73" s="3">
        <v>465</v>
      </c>
      <c r="S73" s="6" t="s">
        <v>3552</v>
      </c>
      <c r="T73" s="3">
        <v>2</v>
      </c>
      <c r="U73" t="str">
        <f>HYPERLINK(".\links\NR-LIGHT\TI_asb-123-NR-LIGHT.txt","similar to sucrase, partial")</f>
        <v>similar to sucrase, partial</v>
      </c>
      <c r="V73" t="str">
        <f>HYPERLINK("http://www.ncbi.nlm.nih.gov/sutils/blink.cgi?pid=193636490","2E-049")</f>
        <v>2E-049</v>
      </c>
      <c r="W73" t="str">
        <f>HYPERLINK(".\links\NR-LIGHT\TI_asb-123-NR-LIGHT.txt"," 10")</f>
        <v xml:space="preserve"> 10</v>
      </c>
      <c r="X73" t="str">
        <f>HYPERLINK("http://www.ncbi.nlm.nih.gov/protein/193636490","gi|193636490")</f>
        <v>gi|193636490</v>
      </c>
      <c r="Y73">
        <v>198</v>
      </c>
      <c r="Z73">
        <v>175</v>
      </c>
      <c r="AA73">
        <v>352</v>
      </c>
      <c r="AB73">
        <v>51</v>
      </c>
      <c r="AC73">
        <v>50</v>
      </c>
      <c r="AD73">
        <v>85</v>
      </c>
      <c r="AE73">
        <v>1</v>
      </c>
      <c r="AF73">
        <v>32</v>
      </c>
      <c r="AG73">
        <v>95</v>
      </c>
      <c r="AH73">
        <v>1</v>
      </c>
      <c r="AI73">
        <v>2</v>
      </c>
      <c r="AJ73" t="s">
        <v>53</v>
      </c>
      <c r="AK73" t="s">
        <v>54</v>
      </c>
      <c r="AL73" t="s">
        <v>177</v>
      </c>
      <c r="AM73" t="str">
        <f>HYPERLINK(".\links\SWISSP\TI_asb-123-SWISSP.txt","Maltase 2 OS=Drosophila virilis GN=Mav2 PE=3 SV=1")</f>
        <v>Maltase 2 OS=Drosophila virilis GN=Mav2 PE=3 SV=1</v>
      </c>
      <c r="AN73" s="19" t="str">
        <f>HYPERLINK("http://www.uniprot.org/uniprot/O16099","5E-046")</f>
        <v>5E-046</v>
      </c>
      <c r="AO73" t="str">
        <f>HYPERLINK(".\links\SWISSP\TI_asb-123-SWISSP.txt"," 10")</f>
        <v xml:space="preserve"> 10</v>
      </c>
      <c r="AP73" t="s">
        <v>886</v>
      </c>
      <c r="AQ73">
        <v>184</v>
      </c>
      <c r="AR73">
        <v>182</v>
      </c>
      <c r="AS73">
        <v>524</v>
      </c>
      <c r="AT73">
        <v>47</v>
      </c>
      <c r="AU73">
        <v>35</v>
      </c>
      <c r="AV73">
        <v>95</v>
      </c>
      <c r="AW73">
        <v>1</v>
      </c>
      <c r="AX73">
        <v>33</v>
      </c>
      <c r="AY73">
        <v>74</v>
      </c>
      <c r="AZ73">
        <v>1</v>
      </c>
      <c r="BA73">
        <v>2</v>
      </c>
      <c r="BB73" t="s">
        <v>53</v>
      </c>
      <c r="BC73" t="s">
        <v>54</v>
      </c>
      <c r="BD73" t="s">
        <v>887</v>
      </c>
      <c r="BE73" t="s">
        <v>888</v>
      </c>
      <c r="BF73" t="s">
        <v>889</v>
      </c>
      <c r="BG73" t="str">
        <f>HYPERLINK(".\links\PREV-RHOD-PEP\TI_asb-123-PREV-RHOD-PEP.txt","Contig17590_30")</f>
        <v>Contig17590_30</v>
      </c>
      <c r="BH73" s="7">
        <v>2E-90</v>
      </c>
      <c r="BI73" t="str">
        <f>HYPERLINK(".\links\PREV-RHOD-PEP\TI_asb-123-PREV-RHOD-PEP.txt"," 10")</f>
        <v xml:space="preserve"> 10</v>
      </c>
      <c r="BJ73" t="s">
        <v>181</v>
      </c>
      <c r="BK73">
        <v>328</v>
      </c>
      <c r="BL73">
        <v>197</v>
      </c>
      <c r="BM73">
        <v>599</v>
      </c>
      <c r="BN73">
        <v>77</v>
      </c>
      <c r="BO73">
        <v>33</v>
      </c>
      <c r="BP73">
        <v>44</v>
      </c>
      <c r="BQ73">
        <v>1</v>
      </c>
      <c r="BR73">
        <v>1</v>
      </c>
      <c r="BS73">
        <v>29</v>
      </c>
      <c r="BT73">
        <v>1</v>
      </c>
      <c r="BU73" t="s">
        <v>54</v>
      </c>
      <c r="BV73" t="s">
        <v>890</v>
      </c>
      <c r="BW73" t="s">
        <v>56</v>
      </c>
      <c r="BX73" t="str">
        <f>HYPERLINK(".\links\PREV-RHOD-CDS\TI_asb-123-PREV-RHOD-CDS.txt","Contig17590_30")</f>
        <v>Contig17590_30</v>
      </c>
      <c r="BY73" s="7">
        <v>1.9999999999999999E-80</v>
      </c>
      <c r="BZ73" t="s">
        <v>181</v>
      </c>
      <c r="CA73">
        <v>299</v>
      </c>
      <c r="CB73">
        <v>612</v>
      </c>
      <c r="CC73">
        <v>1842</v>
      </c>
      <c r="CD73">
        <v>84</v>
      </c>
      <c r="CE73">
        <v>33</v>
      </c>
      <c r="CF73">
        <v>62</v>
      </c>
      <c r="CG73">
        <v>0</v>
      </c>
      <c r="CH73">
        <v>13</v>
      </c>
      <c r="CI73">
        <v>41</v>
      </c>
      <c r="CJ73">
        <v>2</v>
      </c>
      <c r="CK73" t="s">
        <v>54</v>
      </c>
      <c r="CL73" t="s">
        <v>183</v>
      </c>
      <c r="CM73">
        <f>HYPERLINK(".\links\GO\TI_asb-123-GO.txt",1E-46)</f>
        <v>1E-46</v>
      </c>
      <c r="CN73" t="s">
        <v>56</v>
      </c>
      <c r="CO73" t="s">
        <v>56</v>
      </c>
      <c r="CP73" t="s">
        <v>56</v>
      </c>
      <c r="CQ73" t="s">
        <v>56</v>
      </c>
      <c r="CR73" s="6" t="s">
        <v>56</v>
      </c>
      <c r="CS73" t="s">
        <v>188</v>
      </c>
      <c r="CT73" t="s">
        <v>75</v>
      </c>
      <c r="CU73" t="s">
        <v>76</v>
      </c>
      <c r="CV73" t="s">
        <v>189</v>
      </c>
      <c r="CW73" s="7">
        <v>4.9999999999999996E-41</v>
      </c>
      <c r="CX73" t="s">
        <v>56</v>
      </c>
      <c r="CY73" t="s">
        <v>56</v>
      </c>
      <c r="CZ73" t="s">
        <v>56</v>
      </c>
      <c r="DA73" t="s">
        <v>56</v>
      </c>
      <c r="DB73" s="6" t="s">
        <v>56</v>
      </c>
      <c r="DC73" t="str">
        <f>HYPERLINK(".\links\CDD\TI_asb-123-CDD.txt","PRK10933")</f>
        <v>PRK10933</v>
      </c>
      <c r="DD73" t="str">
        <f>HYPERLINK("http://www.ncbi.nlm.nih.gov/Structure/cdd/cddsrv.cgi?uid=PRK10933&amp;version=v4.0","4E-048")</f>
        <v>4E-048</v>
      </c>
      <c r="DE73" t="s">
        <v>891</v>
      </c>
      <c r="DF73" t="str">
        <f>HYPERLINK(".\links\PFAM\TI_asb-123-PFAM.txt","Alpha-amylase")</f>
        <v>Alpha-amylase</v>
      </c>
      <c r="DG73" t="str">
        <f>HYPERLINK("http://pfam.sanger.ac.uk/family?acc=PF00128","8E-040")</f>
        <v>8E-040</v>
      </c>
      <c r="DH73" t="str">
        <f>HYPERLINK(".\links\PRK\TI_asb-123-PRK.txt","trehalose-6-phosphate hydrolase")</f>
        <v>trehalose-6-phosphate hydrolase</v>
      </c>
      <c r="DI73" s="7">
        <v>9.0000000000000001E-52</v>
      </c>
      <c r="DJ73" s="6" t="str">
        <f>HYPERLINK(".\links\KOG\TI_asb-123-KOG.txt","Alpha-amylase")</f>
        <v>Alpha-amylase</v>
      </c>
      <c r="DK73" s="6" t="str">
        <f>HYPERLINK("http://www.ncbi.nlm.nih.gov/COG/grace/shokog.cgi?KOG0471","2E-042")</f>
        <v>2E-042</v>
      </c>
      <c r="DL73" s="6" t="s">
        <v>4341</v>
      </c>
      <c r="DM73" s="6" t="str">
        <f>HYPERLINK(".\links\KOG\TI_asb-123-KOG.txt","KOG0471")</f>
        <v>KOG0471</v>
      </c>
      <c r="DN73" t="str">
        <f>HYPERLINK(".\links\SMART\TI_asb-123-SMART.txt","Aamy")</f>
        <v>Aamy</v>
      </c>
      <c r="DO73" t="str">
        <f>HYPERLINK("http://smart.embl-heidelberg.de/smart/do_annotation.pl?DOMAIN=Aamy&amp;BLAST=DUMMY","7E-030")</f>
        <v>7E-030</v>
      </c>
      <c r="DP73" s="3" t="s">
        <v>56</v>
      </c>
      <c r="ED73" s="3" t="s">
        <v>56</v>
      </c>
    </row>
    <row r="74" spans="1:147">
      <c r="A74" t="str">
        <f>HYPERLINK(".\links\seq\TI_asb-124-seq.txt","TI_asb-124")</f>
        <v>TI_asb-124</v>
      </c>
      <c r="B74">
        <v>124</v>
      </c>
      <c r="C74" t="str">
        <f>HYPERLINK(".\links\tsa\TI_asb-124-tsa.txt","1")</f>
        <v>1</v>
      </c>
      <c r="D74">
        <v>1</v>
      </c>
      <c r="E74">
        <v>617</v>
      </c>
      <c r="G74" t="str">
        <f>HYPERLINK(".\links\qual\TI_asb-124-qual.txt","58")</f>
        <v>58</v>
      </c>
      <c r="H74">
        <v>1</v>
      </c>
      <c r="I74">
        <v>0</v>
      </c>
      <c r="J74">
        <f t="shared" si="2"/>
        <v>1</v>
      </c>
      <c r="K74" s="6">
        <f t="shared" si="3"/>
        <v>1</v>
      </c>
      <c r="L74" s="6" t="s">
        <v>3936</v>
      </c>
      <c r="M74" s="6" t="s">
        <v>3919</v>
      </c>
      <c r="N74" s="6" t="s">
        <v>3872</v>
      </c>
      <c r="O74" s="7">
        <v>1.0000000000000001E-68</v>
      </c>
      <c r="P74" s="6">
        <v>29</v>
      </c>
      <c r="Q74" s="3">
        <v>617</v>
      </c>
      <c r="R74" s="3">
        <v>432</v>
      </c>
      <c r="S74" s="3" t="s">
        <v>3553</v>
      </c>
      <c r="T74" s="3">
        <v>2</v>
      </c>
      <c r="U74" t="str">
        <f>HYPERLINK(".\links\NR-LIGHT\TI_asb-124-NR-LIGHT.txt","Sec61 alpha 1 subunit")</f>
        <v>Sec61 alpha 1 subunit</v>
      </c>
      <c r="V74" t="str">
        <f>HYPERLINK("http://www.ncbi.nlm.nih.gov/sutils/blink.cgi?pid=187177323","2E-071")</f>
        <v>2E-071</v>
      </c>
      <c r="W74" t="str">
        <f>HYPERLINK(".\links\NR-LIGHT\TI_asb-124-NR-LIGHT.txt"," 10")</f>
        <v xml:space="preserve"> 10</v>
      </c>
      <c r="X74" t="str">
        <f>HYPERLINK("http://www.ncbi.nlm.nih.gov/protein/187177323","gi|187177323")</f>
        <v>gi|187177323</v>
      </c>
      <c r="Y74">
        <v>270</v>
      </c>
      <c r="Z74">
        <v>139</v>
      </c>
      <c r="AA74">
        <v>476</v>
      </c>
      <c r="AB74">
        <v>95</v>
      </c>
      <c r="AC74">
        <v>29</v>
      </c>
      <c r="AD74">
        <v>6</v>
      </c>
      <c r="AE74">
        <v>0</v>
      </c>
      <c r="AF74">
        <v>338</v>
      </c>
      <c r="AG74">
        <v>17</v>
      </c>
      <c r="AH74">
        <v>1</v>
      </c>
      <c r="AI74">
        <v>2</v>
      </c>
      <c r="AJ74" t="s">
        <v>53</v>
      </c>
      <c r="AK74" t="s">
        <v>54</v>
      </c>
      <c r="AL74" t="s">
        <v>177</v>
      </c>
      <c r="AM74" t="str">
        <f>HYPERLINK(".\links\SWISSP\TI_asb-124-SWISSP.txt","Protein transport protein Sec61 subunit alpha isoform 2 OS=Pongo abelii")</f>
        <v>Protein transport protein Sec61 subunit alpha isoform 2 OS=Pongo abelii</v>
      </c>
      <c r="AN74" s="19" t="str">
        <f>HYPERLINK("http://www.uniprot.org/uniprot/Q5NVM7","4E-067")</f>
        <v>4E-067</v>
      </c>
      <c r="AO74" t="str">
        <f>HYPERLINK(".\links\SWISSP\TI_asb-124-SWISSP.txt"," 10")</f>
        <v xml:space="preserve"> 10</v>
      </c>
      <c r="AP74" t="s">
        <v>892</v>
      </c>
      <c r="AQ74">
        <v>254</v>
      </c>
      <c r="AR74">
        <v>139</v>
      </c>
      <c r="AS74">
        <v>476</v>
      </c>
      <c r="AT74">
        <v>88</v>
      </c>
      <c r="AU74">
        <v>29</v>
      </c>
      <c r="AV74">
        <v>16</v>
      </c>
      <c r="AW74">
        <v>0</v>
      </c>
      <c r="AX74">
        <v>338</v>
      </c>
      <c r="AY74">
        <v>17</v>
      </c>
      <c r="AZ74">
        <v>1</v>
      </c>
      <c r="BA74">
        <v>2</v>
      </c>
      <c r="BB74" t="s">
        <v>53</v>
      </c>
      <c r="BC74" t="s">
        <v>54</v>
      </c>
      <c r="BD74" t="s">
        <v>245</v>
      </c>
      <c r="BE74" t="s">
        <v>893</v>
      </c>
      <c r="BF74" t="s">
        <v>894</v>
      </c>
      <c r="BG74" t="str">
        <f>HYPERLINK(".\links\PREV-RHOD-PEP\TI_asb-124-PREV-RHOD-PEP.txt","Contig17893_55")</f>
        <v>Contig17893_55</v>
      </c>
      <c r="BH74" s="7">
        <v>9.9999999999999996E-75</v>
      </c>
      <c r="BI74" t="str">
        <f>HYPERLINK(".\links\PREV-RHOD-PEP\TI_asb-124-PREV-RHOD-PEP.txt"," 7")</f>
        <v xml:space="preserve"> 7</v>
      </c>
      <c r="BJ74" t="s">
        <v>895</v>
      </c>
      <c r="BK74">
        <v>275</v>
      </c>
      <c r="BL74">
        <v>139</v>
      </c>
      <c r="BM74">
        <v>476</v>
      </c>
      <c r="BN74">
        <v>98</v>
      </c>
      <c r="BO74">
        <v>29</v>
      </c>
      <c r="BP74">
        <v>2</v>
      </c>
      <c r="BQ74">
        <v>0</v>
      </c>
      <c r="BR74">
        <v>338</v>
      </c>
      <c r="BS74">
        <v>17</v>
      </c>
      <c r="BT74">
        <v>1</v>
      </c>
      <c r="BU74" t="s">
        <v>54</v>
      </c>
      <c r="BV74" t="s">
        <v>896</v>
      </c>
      <c r="BW74" t="s">
        <v>56</v>
      </c>
      <c r="BX74" t="str">
        <f>HYPERLINK(".\links\PREV-RHOD-CDS\TI_asb-124-PREV-RHOD-CDS.txt","Contig17893_55")</f>
        <v>Contig17893_55</v>
      </c>
      <c r="BY74" s="7">
        <v>9.9999999999999994E-158</v>
      </c>
      <c r="BZ74" t="s">
        <v>895</v>
      </c>
      <c r="CA74">
        <v>555</v>
      </c>
      <c r="CB74">
        <v>434</v>
      </c>
      <c r="CC74">
        <v>1431</v>
      </c>
      <c r="CD74">
        <v>91</v>
      </c>
      <c r="CE74">
        <v>30</v>
      </c>
      <c r="CF74">
        <v>38</v>
      </c>
      <c r="CG74">
        <v>1</v>
      </c>
      <c r="CH74">
        <v>997</v>
      </c>
      <c r="CI74">
        <v>1</v>
      </c>
      <c r="CJ74">
        <v>1</v>
      </c>
      <c r="CK74" t="s">
        <v>54</v>
      </c>
      <c r="CL74" t="s">
        <v>897</v>
      </c>
      <c r="CM74">
        <f>HYPERLINK(".\links\GO\TI_asb-124-GO.txt",2E-69)</f>
        <v>1.9999999999999999E-69</v>
      </c>
      <c r="CN74" t="s">
        <v>898</v>
      </c>
      <c r="CO74" t="s">
        <v>88</v>
      </c>
      <c r="CP74" t="s">
        <v>89</v>
      </c>
      <c r="CQ74" t="s">
        <v>899</v>
      </c>
      <c r="CR74" s="7">
        <v>1.9999999999999999E-69</v>
      </c>
      <c r="CS74" t="s">
        <v>900</v>
      </c>
      <c r="CT74" t="s">
        <v>247</v>
      </c>
      <c r="CU74" t="s">
        <v>247</v>
      </c>
      <c r="CV74" t="s">
        <v>901</v>
      </c>
      <c r="CW74" s="7">
        <v>1.9999999999999999E-69</v>
      </c>
      <c r="CX74" t="s">
        <v>902</v>
      </c>
      <c r="CY74" t="s">
        <v>88</v>
      </c>
      <c r="CZ74" t="s">
        <v>89</v>
      </c>
      <c r="DA74" t="s">
        <v>903</v>
      </c>
      <c r="DB74" s="7">
        <v>1.9999999999999999E-69</v>
      </c>
      <c r="DC74" t="str">
        <f>HYPERLINK(".\links\CDD\TI_asb-124-CDD.txt","PRK08568")</f>
        <v>PRK08568</v>
      </c>
      <c r="DD74" t="str">
        <f>HYPERLINK("http://www.ncbi.nlm.nih.gov/Structure/cdd/cddsrv.cgi?uid=PRK08568&amp;version=v4.0","1E-033")</f>
        <v>1E-033</v>
      </c>
      <c r="DE74" t="s">
        <v>904</v>
      </c>
      <c r="DF74" t="str">
        <f>HYPERLINK(".\links\PFAM\TI_asb-124-PFAM.txt","SecY")</f>
        <v>SecY</v>
      </c>
      <c r="DG74" t="str">
        <f>HYPERLINK("http://pfam.sanger.ac.uk/family?acc=PF00344","1E-008")</f>
        <v>1E-008</v>
      </c>
      <c r="DH74" t="str">
        <f>HYPERLINK(".\links\PRK\TI_asb-124-PRK.txt","Sec61 alpha  subunit")</f>
        <v>Sec61 alpha  subunit</v>
      </c>
      <c r="DI74" s="7">
        <v>6.9999999999999998E-71</v>
      </c>
      <c r="DJ74" s="6" t="str">
        <f>HYPERLINK(".\links\KOG\TI_asb-124-KOG.txt","Transport protein Sec61, alpha subunit")</f>
        <v>Transport protein Sec61, alpha subunit</v>
      </c>
      <c r="DK74" s="6" t="str">
        <f>HYPERLINK("http://www.ncbi.nlm.nih.gov/COG/grace/shokog.cgi?KOG1373","1E-068")</f>
        <v>1E-068</v>
      </c>
      <c r="DL74" s="6" t="s">
        <v>4357</v>
      </c>
      <c r="DM74" s="6" t="str">
        <f>HYPERLINK(".\links\KOG\TI_asb-124-KOG.txt","KOG1373")</f>
        <v>KOG1373</v>
      </c>
      <c r="DN74" t="s">
        <v>56</v>
      </c>
      <c r="DO74" t="s">
        <v>56</v>
      </c>
      <c r="DP74" s="3" t="s">
        <v>56</v>
      </c>
      <c r="ED74" s="3" t="s">
        <v>56</v>
      </c>
    </row>
    <row r="75" spans="1:147">
      <c r="A75" t="str">
        <f>HYPERLINK(".\links\seq\TI_asb-125-seq.txt","TI_asb-125")</f>
        <v>TI_asb-125</v>
      </c>
      <c r="B75">
        <v>125</v>
      </c>
      <c r="C75" t="str">
        <f>HYPERLINK(".\links\tsa\TI_asb-125-tsa.txt","1")</f>
        <v>1</v>
      </c>
      <c r="D75">
        <v>1</v>
      </c>
      <c r="E75">
        <v>740</v>
      </c>
      <c r="G75" t="str">
        <f>HYPERLINK(".\links\qual\TI_asb-125-qual.txt","42")</f>
        <v>42</v>
      </c>
      <c r="H75">
        <v>0</v>
      </c>
      <c r="I75">
        <v>1</v>
      </c>
      <c r="J75">
        <f t="shared" si="2"/>
        <v>1</v>
      </c>
      <c r="K75" s="6">
        <f t="shared" si="3"/>
        <v>-1</v>
      </c>
      <c r="L75" s="6" t="s">
        <v>3937</v>
      </c>
      <c r="M75" s="6" t="s">
        <v>3874</v>
      </c>
      <c r="N75" s="6" t="s">
        <v>3872</v>
      </c>
      <c r="O75" s="7">
        <v>2.0000000000000001E-37</v>
      </c>
      <c r="P75" s="6">
        <v>54</v>
      </c>
      <c r="Q75" s="3">
        <v>740</v>
      </c>
      <c r="R75" s="3">
        <v>666</v>
      </c>
      <c r="S75" s="3" t="s">
        <v>3554</v>
      </c>
      <c r="T75" s="3">
        <v>1</v>
      </c>
      <c r="U75" t="str">
        <f>HYPERLINK(".\links\NR-LIGHT\TI_asb-125-NR-LIGHT.txt","similar to Photoreceptor dehydrogenase CG4899-PB, isoform B")</f>
        <v>similar to Photoreceptor dehydrogenase CG4899-PB, isoform B</v>
      </c>
      <c r="V75" t="str">
        <f>HYPERLINK("http://www.ncbi.nlm.nih.gov/sutils/blink.cgi?pid=110759932","6E-033")</f>
        <v>6E-033</v>
      </c>
      <c r="W75" t="str">
        <f>HYPERLINK(".\links\NR-LIGHT\TI_asb-125-NR-LIGHT.txt"," 10")</f>
        <v xml:space="preserve"> 10</v>
      </c>
      <c r="X75" t="str">
        <f>HYPERLINK("http://www.ncbi.nlm.nih.gov/protein/110759932","gi|110759932")</f>
        <v>gi|110759932</v>
      </c>
      <c r="Y75">
        <v>143</v>
      </c>
      <c r="Z75">
        <v>212</v>
      </c>
      <c r="AA75">
        <v>255</v>
      </c>
      <c r="AB75">
        <v>35</v>
      </c>
      <c r="AC75">
        <v>83</v>
      </c>
      <c r="AD75">
        <v>136</v>
      </c>
      <c r="AE75">
        <v>2</v>
      </c>
      <c r="AF75">
        <v>28</v>
      </c>
      <c r="AG75">
        <v>67</v>
      </c>
      <c r="AH75">
        <v>1</v>
      </c>
      <c r="AI75">
        <v>1</v>
      </c>
      <c r="AJ75" t="s">
        <v>53</v>
      </c>
      <c r="AK75" t="s">
        <v>54</v>
      </c>
      <c r="AL75" t="s">
        <v>344</v>
      </c>
      <c r="AM75" t="str">
        <f>HYPERLINK(".\links\SWISSP\TI_asb-125-SWISSP.txt","15-hydroxyprostaglandin dehydrogenase")</f>
        <v>15-hydroxyprostaglandin dehydrogenase</v>
      </c>
      <c r="AN75" s="19" t="str">
        <f>HYPERLINK("http://www.uniprot.org/uniprot/Q8VCC1","1E-028")</f>
        <v>1E-028</v>
      </c>
      <c r="AO75" t="str">
        <f>HYPERLINK(".\links\SWISSP\TI_asb-125-SWISSP.txt"," 10")</f>
        <v xml:space="preserve"> 10</v>
      </c>
      <c r="AP75" t="s">
        <v>905</v>
      </c>
      <c r="AQ75">
        <v>126</v>
      </c>
      <c r="AR75">
        <v>170</v>
      </c>
      <c r="AS75">
        <v>269</v>
      </c>
      <c r="AT75">
        <v>37</v>
      </c>
      <c r="AU75">
        <v>63</v>
      </c>
      <c r="AV75">
        <v>107</v>
      </c>
      <c r="AW75">
        <v>0</v>
      </c>
      <c r="AX75">
        <v>29</v>
      </c>
      <c r="AY75">
        <v>70</v>
      </c>
      <c r="AZ75">
        <v>1</v>
      </c>
      <c r="BA75">
        <v>1</v>
      </c>
      <c r="BB75" t="s">
        <v>53</v>
      </c>
      <c r="BC75" t="s">
        <v>54</v>
      </c>
      <c r="BD75" t="s">
        <v>214</v>
      </c>
      <c r="BE75" t="s">
        <v>906</v>
      </c>
      <c r="BF75" t="s">
        <v>907</v>
      </c>
      <c r="BG75" t="str">
        <f>HYPERLINK(".\links\PREV-RHOD-PEP\TI_asb-125-PREV-RHOD-PEP.txt","Contig17866_7")</f>
        <v>Contig17866_7</v>
      </c>
      <c r="BH75" s="7">
        <v>7.0000000000000001E-63</v>
      </c>
      <c r="BI75" t="str">
        <f>HYPERLINK(".\links\PREV-RHOD-PEP\TI_asb-125-PREV-RHOD-PEP.txt"," 10")</f>
        <v xml:space="preserve"> 10</v>
      </c>
      <c r="BJ75" t="s">
        <v>908</v>
      </c>
      <c r="BK75">
        <v>236</v>
      </c>
      <c r="BL75">
        <v>212</v>
      </c>
      <c r="BM75">
        <v>259</v>
      </c>
      <c r="BN75">
        <v>60</v>
      </c>
      <c r="BO75">
        <v>82</v>
      </c>
      <c r="BP75">
        <v>84</v>
      </c>
      <c r="BQ75">
        <v>4</v>
      </c>
      <c r="BR75">
        <v>33</v>
      </c>
      <c r="BS75">
        <v>79</v>
      </c>
      <c r="BT75">
        <v>1</v>
      </c>
      <c r="BU75" t="s">
        <v>54</v>
      </c>
      <c r="BV75" t="s">
        <v>909</v>
      </c>
      <c r="BW75" t="s">
        <v>56</v>
      </c>
      <c r="BX75" t="str">
        <f>HYPERLINK(".\links\PREV-RHOD-CDS\TI_asb-125-PREV-RHOD-CDS.txt","Contig17866_7")</f>
        <v>Contig17866_7</v>
      </c>
      <c r="BY75" s="7">
        <v>1E-10</v>
      </c>
      <c r="BZ75" t="s">
        <v>908</v>
      </c>
      <c r="CA75">
        <v>67.900000000000006</v>
      </c>
      <c r="CB75">
        <v>430</v>
      </c>
      <c r="CC75">
        <v>780</v>
      </c>
      <c r="CD75">
        <v>79</v>
      </c>
      <c r="CE75">
        <v>55</v>
      </c>
      <c r="CF75">
        <v>43</v>
      </c>
      <c r="CG75">
        <v>0</v>
      </c>
      <c r="CH75">
        <v>109</v>
      </c>
      <c r="CI75">
        <v>91</v>
      </c>
      <c r="CJ75">
        <v>2</v>
      </c>
      <c r="CK75" t="s">
        <v>54</v>
      </c>
      <c r="CL75" t="s">
        <v>910</v>
      </c>
      <c r="CM75">
        <f>HYPERLINK(".\links\GO\TI_asb-125-GO.txt",1E-30)</f>
        <v>1.0000000000000001E-30</v>
      </c>
      <c r="CN75" t="s">
        <v>911</v>
      </c>
      <c r="CO75" t="s">
        <v>324</v>
      </c>
      <c r="CP75" t="s">
        <v>325</v>
      </c>
      <c r="CQ75" t="s">
        <v>912</v>
      </c>
      <c r="CR75" s="7">
        <v>7.9999999999999995E-29</v>
      </c>
      <c r="CS75" t="s">
        <v>224</v>
      </c>
      <c r="CT75" t="s">
        <v>75</v>
      </c>
      <c r="CU75" t="s">
        <v>76</v>
      </c>
      <c r="CV75" t="s">
        <v>225</v>
      </c>
      <c r="CW75" s="7">
        <v>7.9999999999999995E-29</v>
      </c>
      <c r="CX75" t="s">
        <v>913</v>
      </c>
      <c r="CY75" t="s">
        <v>324</v>
      </c>
      <c r="CZ75" t="s">
        <v>325</v>
      </c>
      <c r="DA75" t="s">
        <v>914</v>
      </c>
      <c r="DB75" s="7">
        <v>7.9999999999999995E-29</v>
      </c>
      <c r="DC75" t="str">
        <f>HYPERLINK(".\links\CDD\TI_asb-125-CDD.txt","fabG")</f>
        <v>fabG</v>
      </c>
      <c r="DD75" t="str">
        <f>HYPERLINK("http://www.ncbi.nlm.nih.gov/Structure/cdd/cddsrv.cgi?uid=PRK05565&amp;version=v4.0","4E-023")</f>
        <v>4E-023</v>
      </c>
      <c r="DE75" t="s">
        <v>915</v>
      </c>
      <c r="DF75" t="str">
        <f>HYPERLINK(".\links\PFAM\TI_asb-125-PFAM.txt","adh_short")</f>
        <v>adh_short</v>
      </c>
      <c r="DG75" t="str">
        <f>HYPERLINK("http://pfam.sanger.ac.uk/family?acc=PF00106","1E-011")</f>
        <v>1E-011</v>
      </c>
      <c r="DH75" t="str">
        <f>HYPERLINK(".\links\PRK\TI_asb-125-PRK.txt","3-ketoacyl-(acyl-carrier-protein) reductase")</f>
        <v>3-ketoacyl-(acyl-carrier-protein) reductase</v>
      </c>
      <c r="DI75" s="7">
        <v>1.9999999999999999E-23</v>
      </c>
      <c r="DJ75" s="6" t="str">
        <f>HYPERLINK(".\links\KOG\TI_asb-125-KOG.txt","15-hydroxyprostaglandin dehydrogenase and related dehydrogenases")</f>
        <v>15-hydroxyprostaglandin dehydrogenase and related dehydrogenases</v>
      </c>
      <c r="DK75" s="6" t="str">
        <f>HYPERLINK("http://www.ncbi.nlm.nih.gov/COG/grace/shokog.cgi?KOG4169","2E-037")</f>
        <v>2E-037</v>
      </c>
      <c r="DL75" s="6" t="s">
        <v>4336</v>
      </c>
      <c r="DM75" s="6" t="str">
        <f>HYPERLINK(".\links\KOG\TI_asb-125-KOG.txt","KOG4169")</f>
        <v>KOG4169</v>
      </c>
      <c r="DN75" t="str">
        <f>HYPERLINK(".\links\SMART\TI_asb-125-SMART.txt","PKS_KR")</f>
        <v>PKS_KR</v>
      </c>
      <c r="DO75" t="str">
        <f>HYPERLINK("http://smart.embl-heidelberg.de/smart/do_annotation.pl?DOMAIN=PKS_KR&amp;BLAST=DUMMY","0.005")</f>
        <v>0.005</v>
      </c>
      <c r="DP75" s="3" t="s">
        <v>56</v>
      </c>
      <c r="ED75" s="3" t="s">
        <v>56</v>
      </c>
    </row>
    <row r="76" spans="1:147">
      <c r="A76" t="str">
        <f>HYPERLINK(".\links\seq\TI_asb-126-seq.txt","TI_asb-126")</f>
        <v>TI_asb-126</v>
      </c>
      <c r="B76">
        <v>126</v>
      </c>
      <c r="C76" t="str">
        <f>HYPERLINK(".\links\tsa\TI_asb-126-tsa.txt","6")</f>
        <v>6</v>
      </c>
      <c r="D76">
        <v>6</v>
      </c>
      <c r="E76">
        <v>799</v>
      </c>
      <c r="G76" t="str">
        <f>HYPERLINK(".\links\qual\TI_asb-126-qual.txt","85")</f>
        <v>85</v>
      </c>
      <c r="H76">
        <v>2</v>
      </c>
      <c r="I76">
        <v>4</v>
      </c>
      <c r="J76">
        <f t="shared" si="2"/>
        <v>2</v>
      </c>
      <c r="K76" s="6">
        <f t="shared" si="3"/>
        <v>-2</v>
      </c>
      <c r="L76" s="6" t="s">
        <v>3938</v>
      </c>
      <c r="M76" s="6" t="s">
        <v>3904</v>
      </c>
      <c r="N76" s="6" t="s">
        <v>3872</v>
      </c>
      <c r="O76" s="6">
        <v>0</v>
      </c>
      <c r="P76" s="6">
        <v>83.8</v>
      </c>
      <c r="Q76" s="3">
        <v>799</v>
      </c>
      <c r="R76" s="3">
        <v>792</v>
      </c>
      <c r="S76" s="4" t="s">
        <v>3555</v>
      </c>
      <c r="T76" s="3">
        <v>3</v>
      </c>
      <c r="U76" t="str">
        <f>HYPERLINK(".\links\NR-LIGHT\TI_asb-126-NR-LIGHT.txt","NADH dehydrogenase subunit I")</f>
        <v>NADH dehydrogenase subunit I</v>
      </c>
      <c r="V76" t="str">
        <f>HYPERLINK("http://www.ncbi.nlm.nih.gov/sutils/blink.cgi?pid=291621799","1E-131")</f>
        <v>1E-131</v>
      </c>
      <c r="W76" t="str">
        <f>HYPERLINK(".\links\NR-LIGHT\TI_asb-126-NR-LIGHT.txt"," 10")</f>
        <v xml:space="preserve"> 10</v>
      </c>
      <c r="X76" t="str">
        <f>HYPERLINK("http://www.ncbi.nlm.nih.gov/protein/291621799","gi|291621799")</f>
        <v>gi|291621799</v>
      </c>
      <c r="Y76">
        <v>468</v>
      </c>
      <c r="Z76">
        <v>262</v>
      </c>
      <c r="AA76">
        <v>307</v>
      </c>
      <c r="AB76">
        <v>87</v>
      </c>
      <c r="AC76">
        <v>85</v>
      </c>
      <c r="AD76">
        <v>33</v>
      </c>
      <c r="AE76">
        <v>0</v>
      </c>
      <c r="AF76">
        <v>4</v>
      </c>
      <c r="AG76">
        <v>3</v>
      </c>
      <c r="AH76">
        <v>1</v>
      </c>
      <c r="AI76">
        <v>3</v>
      </c>
      <c r="AJ76" t="s">
        <v>53</v>
      </c>
      <c r="AK76" t="s">
        <v>54</v>
      </c>
      <c r="AL76" t="s">
        <v>916</v>
      </c>
      <c r="AM76" t="str">
        <f>HYPERLINK(".\links\SWISSP\TI_asb-126-SWISSP.txt","NADH-ubiquinone oxidoreductase chain 1 OS=Anopheles quadrimaculatus GN=ND1 PE=3")</f>
        <v>NADH-ubiquinone oxidoreductase chain 1 OS=Anopheles quadrimaculatus GN=ND1 PE=3</v>
      </c>
      <c r="AN76" s="19" t="str">
        <f>HYPERLINK("http://www.uniprot.org/uniprot/P33502","2E-093")</f>
        <v>2E-093</v>
      </c>
      <c r="AO76" t="str">
        <f>HYPERLINK(".\links\SWISSP\TI_asb-126-SWISSP.txt"," 10")</f>
        <v xml:space="preserve"> 10</v>
      </c>
      <c r="AP76" t="s">
        <v>917</v>
      </c>
      <c r="AQ76">
        <v>342</v>
      </c>
      <c r="AR76">
        <v>261</v>
      </c>
      <c r="AS76">
        <v>314</v>
      </c>
      <c r="AT76">
        <v>61</v>
      </c>
      <c r="AU76">
        <v>83</v>
      </c>
      <c r="AV76">
        <v>101</v>
      </c>
      <c r="AW76">
        <v>0</v>
      </c>
      <c r="AX76">
        <v>8</v>
      </c>
      <c r="AY76">
        <v>6</v>
      </c>
      <c r="AZ76">
        <v>1</v>
      </c>
      <c r="BA76">
        <v>3</v>
      </c>
      <c r="BB76" t="s">
        <v>53</v>
      </c>
      <c r="BC76" t="s">
        <v>54</v>
      </c>
      <c r="BD76" t="s">
        <v>918</v>
      </c>
      <c r="BE76" t="s">
        <v>919</v>
      </c>
      <c r="BF76" t="s">
        <v>920</v>
      </c>
      <c r="BG76" t="str">
        <f>HYPERLINK(".\links\PREV-RHOD-PEP\TI_asb-126-PREV-RHOD-PEP.txt","Contig22712_1")</f>
        <v>Contig22712_1</v>
      </c>
      <c r="BH76" s="7">
        <v>5.0000000000000002E-11</v>
      </c>
      <c r="BI76" t="str">
        <f>HYPERLINK(".\links\PREV-RHOD-PEP\TI_asb-126-PREV-RHOD-PEP.txt"," 10")</f>
        <v xml:space="preserve"> 10</v>
      </c>
      <c r="BJ76" t="s">
        <v>921</v>
      </c>
      <c r="BK76">
        <v>64.3</v>
      </c>
      <c r="BL76">
        <v>33</v>
      </c>
      <c r="BM76">
        <v>33</v>
      </c>
      <c r="BN76">
        <v>96</v>
      </c>
      <c r="BO76">
        <v>100</v>
      </c>
      <c r="BP76">
        <v>1</v>
      </c>
      <c r="BQ76">
        <v>0</v>
      </c>
      <c r="BR76">
        <v>1</v>
      </c>
      <c r="BS76">
        <v>330</v>
      </c>
      <c r="BT76">
        <v>1</v>
      </c>
      <c r="BU76" t="s">
        <v>54</v>
      </c>
      <c r="BV76" t="s">
        <v>922</v>
      </c>
      <c r="BW76" t="s">
        <v>56</v>
      </c>
      <c r="BX76" t="str">
        <f>HYPERLINK(".\links\PREV-RHOD-CDS\TI_asb-126-PREV-RHOD-CDS.txt","Contig22712_1")</f>
        <v>Contig22712_1</v>
      </c>
      <c r="BY76" s="7">
        <v>7.9999999999999993E-21</v>
      </c>
      <c r="BZ76" t="s">
        <v>921</v>
      </c>
      <c r="CA76">
        <v>101</v>
      </c>
      <c r="CB76">
        <v>98</v>
      </c>
      <c r="CC76">
        <v>99</v>
      </c>
      <c r="CD76">
        <v>87</v>
      </c>
      <c r="CE76">
        <v>100</v>
      </c>
      <c r="CF76">
        <v>12</v>
      </c>
      <c r="CG76">
        <v>0</v>
      </c>
      <c r="CH76">
        <v>1</v>
      </c>
      <c r="CI76">
        <v>330</v>
      </c>
      <c r="CJ76">
        <v>1</v>
      </c>
      <c r="CK76" t="s">
        <v>54</v>
      </c>
      <c r="CL76" t="s">
        <v>923</v>
      </c>
      <c r="CM76">
        <f>HYPERLINK(".\links\GO\TI_asb-126-GO.txt",2E-86)</f>
        <v>2.0000000000000002E-86</v>
      </c>
      <c r="CN76" t="s">
        <v>58</v>
      </c>
      <c r="CO76" t="s">
        <v>58</v>
      </c>
      <c r="CQ76" t="s">
        <v>59</v>
      </c>
      <c r="CR76" s="7">
        <v>9.0000000000000001E-56</v>
      </c>
      <c r="CS76" t="s">
        <v>241</v>
      </c>
      <c r="CT76" t="s">
        <v>75</v>
      </c>
      <c r="CU76" t="s">
        <v>76</v>
      </c>
      <c r="CV76" t="s">
        <v>242</v>
      </c>
      <c r="CW76" s="7">
        <v>9.0000000000000001E-56</v>
      </c>
      <c r="CX76" t="s">
        <v>924</v>
      </c>
      <c r="CY76" t="s">
        <v>58</v>
      </c>
      <c r="DA76" t="s">
        <v>925</v>
      </c>
      <c r="DB76" s="7">
        <v>9.0000000000000001E-56</v>
      </c>
      <c r="DC76" t="str">
        <f>HYPERLINK(".\links\CDD\TI_asb-126-CDD.txt","ND1")</f>
        <v>ND1</v>
      </c>
      <c r="DD76" t="str">
        <f>HYPERLINK("http://www.ncbi.nlm.nih.gov/Structure/cdd/cddsrv.cgi?uid=MTH00193&amp;version=v4.0","1E-148")</f>
        <v>1E-148</v>
      </c>
      <c r="DE76" t="s">
        <v>926</v>
      </c>
      <c r="DF76" t="str">
        <f>HYPERLINK(".\links\PFAM\TI_asb-126-PFAM.txt","NADHdh")</f>
        <v>NADHdh</v>
      </c>
      <c r="DG76" t="str">
        <f>HYPERLINK("http://pfam.sanger.ac.uk/family?acc=PF00146","1E-115")</f>
        <v>1E-115</v>
      </c>
      <c r="DH76" t="str">
        <f>HYPERLINK(".\links\PRK\TI_asb-126-PRK.txt","NADH dehydrogenase subunit 1")</f>
        <v>NADH dehydrogenase subunit 1</v>
      </c>
      <c r="DI76" s="7">
        <v>1E-156</v>
      </c>
      <c r="DJ76" s="6" t="str">
        <f>HYPERLINK(".\links\KOG\TI_asb-126-KOG.txt","NADH dehydrogenase subunit 1")</f>
        <v>NADH dehydrogenase subunit 1</v>
      </c>
      <c r="DK76" s="6" t="str">
        <f>HYPERLINK("http://www.ncbi.nlm.nih.gov/COG/grace/shokog.cgi?KOG4770","1E-100")</f>
        <v>1E-100</v>
      </c>
      <c r="DL76" s="6" t="s">
        <v>4349</v>
      </c>
      <c r="DM76" s="6" t="str">
        <f>HYPERLINK(".\links\KOG\TI_asb-126-KOG.txt","KOG4770")</f>
        <v>KOG4770</v>
      </c>
      <c r="DN76" t="str">
        <f>HYPERLINK(".\links\SMART\TI_asb-126-SMART.txt","PSN")</f>
        <v>PSN</v>
      </c>
      <c r="DO76" t="str">
        <f>HYPERLINK("http://smart.embl-heidelberg.de/smart/do_annotation.pl?DOMAIN=PSN&amp;BLAST=DUMMY","0.003")</f>
        <v>0.003</v>
      </c>
      <c r="DP76" s="3" t="s">
        <v>56</v>
      </c>
      <c r="ED76" s="3" t="str">
        <f>HYPERLINK(".\links\MIT-PLA\TI_asb-126-MIT-PLA.txt","Triatoma dimidiata mitochondrial DNA, complete genome")</f>
        <v>Triatoma dimidiata mitochondrial DNA, complete genome</v>
      </c>
      <c r="EE76" s="3" t="str">
        <f>HYPERLINK("http://www.ncbi.nlm.nih.gov/entrez/viewer.fcgi?db=nucleotide&amp;val=11139100","6E-052")</f>
        <v>6E-052</v>
      </c>
      <c r="EF76" s="3" t="str">
        <f>HYPERLINK("http://www.ncbi.nlm.nih.gov/entrez/viewer.fcgi?db=nucleotide&amp;val=11139100","gi|11139100")</f>
        <v>gi|11139100</v>
      </c>
      <c r="EG76" s="3">
        <v>204</v>
      </c>
      <c r="EH76" s="3">
        <v>717</v>
      </c>
      <c r="EI76" s="3">
        <v>17019</v>
      </c>
      <c r="EJ76" s="3">
        <v>90</v>
      </c>
      <c r="EK76" s="3">
        <v>4</v>
      </c>
      <c r="EL76" s="3">
        <v>16</v>
      </c>
      <c r="EM76" s="3">
        <v>0</v>
      </c>
      <c r="EN76" s="3">
        <v>11962</v>
      </c>
      <c r="EO76" s="3">
        <v>1</v>
      </c>
      <c r="EP76" s="3">
        <v>3</v>
      </c>
      <c r="EQ76" s="3" t="s">
        <v>64</v>
      </c>
    </row>
    <row r="77" spans="1:147">
      <c r="A77" t="str">
        <f>HYPERLINK(".\links\seq\TI_asb-127-seq.txt","TI_asb-127")</f>
        <v>TI_asb-127</v>
      </c>
      <c r="B77">
        <v>127</v>
      </c>
      <c r="C77" t="str">
        <f>HYPERLINK(".\links\tsa\TI_asb-127-tsa.txt","2")</f>
        <v>2</v>
      </c>
      <c r="D77">
        <v>2</v>
      </c>
      <c r="E77">
        <v>718</v>
      </c>
      <c r="F77">
        <v>665</v>
      </c>
      <c r="G77" t="str">
        <f>HYPERLINK(".\links\qual\TI_asb-127-qual.txt","50")</f>
        <v>50</v>
      </c>
      <c r="H77">
        <v>1</v>
      </c>
      <c r="I77">
        <v>1</v>
      </c>
      <c r="J77">
        <f t="shared" si="2"/>
        <v>0</v>
      </c>
      <c r="K77" s="6">
        <f t="shared" si="3"/>
        <v>0</v>
      </c>
      <c r="L77" s="6" t="s">
        <v>3868</v>
      </c>
      <c r="M77" s="6" t="s">
        <v>3869</v>
      </c>
      <c r="N77" s="6"/>
      <c r="O77" s="6"/>
      <c r="P77" s="6"/>
      <c r="Q77" s="3">
        <v>718</v>
      </c>
      <c r="R77" s="3">
        <v>576</v>
      </c>
      <c r="S77" s="6" t="s">
        <v>3556</v>
      </c>
      <c r="T77" s="3">
        <v>2</v>
      </c>
      <c r="U77" t="str">
        <f>HYPERLINK(".\links\NR-LIGHT\TI_asb-127-NR-LIGHT.txt","virulence factor Mce family protein")</f>
        <v>virulence factor Mce family protein</v>
      </c>
      <c r="V77" t="str">
        <f>HYPERLINK("http://www.ncbi.nlm.nih.gov/sutils/blink.cgi?pid=302551007","0.97")</f>
        <v>0.97</v>
      </c>
      <c r="W77" t="str">
        <f>HYPERLINK(".\links\NR-LIGHT\TI_asb-127-NR-LIGHT.txt"," 10")</f>
        <v xml:space="preserve"> 10</v>
      </c>
      <c r="X77" t="str">
        <f>HYPERLINK("http://www.ncbi.nlm.nih.gov/protein/302551007","gi|302551007")</f>
        <v>gi|302551007</v>
      </c>
      <c r="Y77">
        <v>36.200000000000003</v>
      </c>
      <c r="Z77">
        <v>74</v>
      </c>
      <c r="AA77">
        <v>440</v>
      </c>
      <c r="AB77">
        <v>36</v>
      </c>
      <c r="AC77">
        <v>17</v>
      </c>
      <c r="AD77">
        <v>47</v>
      </c>
      <c r="AE77">
        <v>3</v>
      </c>
      <c r="AF77">
        <v>225</v>
      </c>
      <c r="AG77">
        <v>8</v>
      </c>
      <c r="AH77">
        <v>1</v>
      </c>
      <c r="AI77">
        <v>2</v>
      </c>
      <c r="AJ77" t="s">
        <v>53</v>
      </c>
      <c r="AK77" t="s">
        <v>54</v>
      </c>
      <c r="AL77" t="s">
        <v>927</v>
      </c>
      <c r="AM77" t="str">
        <f>HYPERLINK(".\links\SWISSP\TI_asb-127-SWISSP.txt","Protein NIP100 OS=Saccharomyces cerevisiae GN=NIP100 PE=1 SV=2")</f>
        <v>Protein NIP100 OS=Saccharomyces cerevisiae GN=NIP100 PE=1 SV=2</v>
      </c>
      <c r="AN77" s="19" t="str">
        <f>HYPERLINK("http://www.uniprot.org/uniprot/P33420","1.9")</f>
        <v>1.9</v>
      </c>
      <c r="AO77" t="str">
        <f>HYPERLINK(".\links\SWISSP\TI_asb-127-SWISSP.txt"," 9")</f>
        <v xml:space="preserve"> 9</v>
      </c>
      <c r="AP77" t="s">
        <v>928</v>
      </c>
      <c r="AQ77">
        <v>33.1</v>
      </c>
      <c r="AR77">
        <v>56</v>
      </c>
      <c r="AS77">
        <v>868</v>
      </c>
      <c r="AT77">
        <v>33</v>
      </c>
      <c r="AU77">
        <v>6</v>
      </c>
      <c r="AV77">
        <v>37</v>
      </c>
      <c r="AW77">
        <v>2</v>
      </c>
      <c r="AX77">
        <v>113</v>
      </c>
      <c r="AY77">
        <v>35</v>
      </c>
      <c r="AZ77">
        <v>1</v>
      </c>
      <c r="BA77">
        <v>2</v>
      </c>
      <c r="BB77" t="s">
        <v>53</v>
      </c>
      <c r="BC77" t="s">
        <v>54</v>
      </c>
      <c r="BD77" t="s">
        <v>275</v>
      </c>
      <c r="BE77" t="s">
        <v>929</v>
      </c>
      <c r="BF77" t="s">
        <v>930</v>
      </c>
      <c r="BG77" t="str">
        <f>HYPERLINK(".\links\PREV-RHOD-PEP\TI_asb-127-PREV-RHOD-PEP.txt","Contig16870_4")</f>
        <v>Contig16870_4</v>
      </c>
      <c r="BH77" s="6">
        <v>0.56000000000000005</v>
      </c>
      <c r="BI77" t="str">
        <f>HYPERLINK(".\links\PREV-RHOD-PEP\TI_asb-127-PREV-RHOD-PEP.txt"," 10")</f>
        <v xml:space="preserve"> 10</v>
      </c>
      <c r="BJ77" t="s">
        <v>931</v>
      </c>
      <c r="BK77">
        <v>30.8</v>
      </c>
      <c r="BL77">
        <v>33</v>
      </c>
      <c r="BM77">
        <v>150</v>
      </c>
      <c r="BN77">
        <v>36</v>
      </c>
      <c r="BO77">
        <v>22</v>
      </c>
      <c r="BP77">
        <v>21</v>
      </c>
      <c r="BQ77">
        <v>0</v>
      </c>
      <c r="BR77">
        <v>46</v>
      </c>
      <c r="BS77">
        <v>544</v>
      </c>
      <c r="BT77">
        <v>1</v>
      </c>
      <c r="BU77" t="s">
        <v>54</v>
      </c>
      <c r="BV77" t="s">
        <v>932</v>
      </c>
      <c r="BW77" t="s">
        <v>56</v>
      </c>
      <c r="BX77" t="str">
        <f>HYPERLINK(".\links\PREV-RHOD-CDS\TI_asb-127-PREV-RHOD-CDS.txt","Contig17952_39")</f>
        <v>Contig17952_39</v>
      </c>
      <c r="BY77" s="6">
        <v>0.36</v>
      </c>
      <c r="BZ77" t="s">
        <v>933</v>
      </c>
      <c r="CA77">
        <v>36.200000000000003</v>
      </c>
      <c r="CB77">
        <v>17</v>
      </c>
      <c r="CC77">
        <v>498</v>
      </c>
      <c r="CD77">
        <v>100</v>
      </c>
      <c r="CE77">
        <v>4</v>
      </c>
      <c r="CF77">
        <v>0</v>
      </c>
      <c r="CG77">
        <v>0</v>
      </c>
      <c r="CH77">
        <v>27</v>
      </c>
      <c r="CI77">
        <v>4</v>
      </c>
      <c r="CJ77">
        <v>1</v>
      </c>
      <c r="CK77" t="s">
        <v>54</v>
      </c>
      <c r="CL77" t="s">
        <v>934</v>
      </c>
      <c r="CM77">
        <f>HYPERLINK(".\links\GO\TI_asb-127-GO.txt",0.53)</f>
        <v>0.53</v>
      </c>
      <c r="CN77" t="s">
        <v>208</v>
      </c>
      <c r="CO77" t="s">
        <v>185</v>
      </c>
      <c r="CP77" t="s">
        <v>186</v>
      </c>
      <c r="CQ77" t="s">
        <v>209</v>
      </c>
      <c r="CR77" s="6">
        <v>0.53</v>
      </c>
      <c r="CS77" t="s">
        <v>935</v>
      </c>
      <c r="CT77" t="s">
        <v>75</v>
      </c>
      <c r="CU77" t="s">
        <v>76</v>
      </c>
      <c r="CV77" t="s">
        <v>936</v>
      </c>
      <c r="CW77" s="6">
        <v>0.53</v>
      </c>
      <c r="CX77" t="s">
        <v>937</v>
      </c>
      <c r="CY77" t="s">
        <v>185</v>
      </c>
      <c r="CZ77" t="s">
        <v>186</v>
      </c>
      <c r="DA77" t="s">
        <v>938</v>
      </c>
      <c r="DB77" s="6">
        <v>0.53</v>
      </c>
      <c r="DC77" t="str">
        <f>HYPERLINK(".\links\CDD\TI_asb-127-CDD.txt","COG1672")</f>
        <v>COG1672</v>
      </c>
      <c r="DD77" t="str">
        <f>HYPERLINK("http://www.ncbi.nlm.nih.gov/Structure/cdd/cddsrv.cgi?uid=COG1672&amp;version=v4.0","5E-004")</f>
        <v>5E-004</v>
      </c>
      <c r="DE77" t="s">
        <v>939</v>
      </c>
      <c r="DF77" t="str">
        <f>HYPERLINK(".\links\PFAM\TI_asb-127-PFAM.txt","YMF19")</f>
        <v>YMF19</v>
      </c>
      <c r="DG77" t="str">
        <f>HYPERLINK("http://pfam.sanger.ac.uk/family?acc=PF02326","0.001")</f>
        <v>0.001</v>
      </c>
      <c r="DH77" t="str">
        <f>HYPERLINK(".\links\PRK\TI_asb-127-PRK.txt","NADH dehydrogenase subunit 5")</f>
        <v>NADH dehydrogenase subunit 5</v>
      </c>
      <c r="DI77" s="7">
        <v>2.0000000000000002E-5</v>
      </c>
      <c r="DJ77" s="6" t="str">
        <f>HYPERLINK(".\links\KOG\TI_asb-127-KOG.txt","Structural maintenance of chromosome protein 3 (sister chromatid cohesion complex Cohesin, subunit SMC3)")</f>
        <v>Structural maintenance of chromosome protein 3 (sister chromatid cohesion complex Cohesin, subunit SMC3)</v>
      </c>
      <c r="DK77" s="6" t="str">
        <f>HYPERLINK("http://www.ncbi.nlm.nih.gov/COG/grace/shokog.cgi?KOG0964","8E-004")</f>
        <v>8E-004</v>
      </c>
      <c r="DL77" s="6" t="s">
        <v>4358</v>
      </c>
      <c r="DM77" s="6" t="str">
        <f>HYPERLINK(".\links\KOG\TI_asb-127-KOG.txt","KOG0964")</f>
        <v>KOG0964</v>
      </c>
      <c r="DN77" t="str">
        <f>HYPERLINK(".\links\SMART\TI_asb-127-SMART.txt","BBC")</f>
        <v>BBC</v>
      </c>
      <c r="DO77" t="str">
        <f>HYPERLINK("http://smart.embl-heidelberg.de/smart/do_annotation.pl?DOMAIN=BBC&amp;BLAST=DUMMY","0.002")</f>
        <v>0.002</v>
      </c>
      <c r="DP77" s="3" t="s">
        <v>56</v>
      </c>
      <c r="ED77" s="3" t="s">
        <v>56</v>
      </c>
    </row>
    <row r="78" spans="1:147">
      <c r="A78" t="str">
        <f>HYPERLINK(".\links\seq\TI_asb-129-seq.txt","TI_asb-129")</f>
        <v>TI_asb-129</v>
      </c>
      <c r="B78">
        <v>129</v>
      </c>
      <c r="C78" t="str">
        <f>HYPERLINK(".\links\tsa\TI_asb-129-tsa.txt","7")</f>
        <v>7</v>
      </c>
      <c r="D78">
        <v>7</v>
      </c>
      <c r="E78">
        <v>773</v>
      </c>
      <c r="F78">
        <v>747</v>
      </c>
      <c r="G78" t="str">
        <f>HYPERLINK(".\links\qual\TI_asb-129-qual.txt","90")</f>
        <v>90</v>
      </c>
      <c r="H78">
        <v>6</v>
      </c>
      <c r="I78">
        <v>1</v>
      </c>
      <c r="J78">
        <f t="shared" ref="J78:J112" si="4">ABS(H78-I78)</f>
        <v>5</v>
      </c>
      <c r="K78" s="6">
        <f t="shared" ref="K78:K112" si="5">H78-I78</f>
        <v>5</v>
      </c>
      <c r="L78" s="6" t="s">
        <v>3914</v>
      </c>
      <c r="M78" s="6" t="s">
        <v>3915</v>
      </c>
      <c r="N78" s="6" t="s">
        <v>3872</v>
      </c>
      <c r="O78" s="7">
        <v>1.9999999999999999E-76</v>
      </c>
      <c r="P78" s="6">
        <v>43</v>
      </c>
      <c r="Q78" s="3">
        <v>773</v>
      </c>
      <c r="R78" s="3">
        <v>627</v>
      </c>
      <c r="S78" s="6" t="s">
        <v>3557</v>
      </c>
      <c r="T78" s="3">
        <v>2</v>
      </c>
      <c r="U78" t="str">
        <f>HYPERLINK(".\links\NR-LIGHT\TI_asb-129-NR-LIGHT.txt","similar to cytochrome P450 CYP6BK17")</f>
        <v>similar to cytochrome P450 CYP6BK17</v>
      </c>
      <c r="V78" t="str">
        <f>HYPERLINK("http://www.ncbi.nlm.nih.gov/sutils/blink.cgi?pid=91084707","1E-050")</f>
        <v>1E-050</v>
      </c>
      <c r="W78" t="str">
        <f>HYPERLINK(".\links\NR-LIGHT\TI_asb-129-NR-LIGHT.txt"," 10")</f>
        <v xml:space="preserve"> 10</v>
      </c>
      <c r="X78" t="str">
        <f>HYPERLINK("http://www.ncbi.nlm.nih.gov/protein/91084707","gi|91084707")</f>
        <v>gi|91084707</v>
      </c>
      <c r="Y78">
        <v>202</v>
      </c>
      <c r="Z78">
        <v>218</v>
      </c>
      <c r="AA78">
        <v>496</v>
      </c>
      <c r="AB78">
        <v>42</v>
      </c>
      <c r="AC78">
        <v>44</v>
      </c>
      <c r="AD78">
        <v>126</v>
      </c>
      <c r="AE78">
        <v>4</v>
      </c>
      <c r="AF78">
        <v>279</v>
      </c>
      <c r="AG78">
        <v>8</v>
      </c>
      <c r="AH78">
        <v>1</v>
      </c>
      <c r="AI78">
        <v>2</v>
      </c>
      <c r="AJ78" t="s">
        <v>53</v>
      </c>
      <c r="AK78" t="s">
        <v>54</v>
      </c>
      <c r="AL78" t="s">
        <v>79</v>
      </c>
      <c r="AM78" t="str">
        <f>HYPERLINK(".\links\SWISSP\TI_asb-129-SWISSP.txt","Probable cytochrome P450 6a14 OS=Drosophila melanogaster GN=Cyp6a14 PE=1 SV=2")</f>
        <v>Probable cytochrome P450 6a14 OS=Drosophila melanogaster GN=Cyp6a14 PE=1 SV=2</v>
      </c>
      <c r="AN78" s="19" t="str">
        <f>HYPERLINK("http://www.uniprot.org/uniprot/Q9V4U7","2E-046")</f>
        <v>2E-046</v>
      </c>
      <c r="AO78" t="str">
        <f>HYPERLINK(".\links\SWISSP\TI_asb-129-SWISSP.txt"," 10")</f>
        <v xml:space="preserve"> 10</v>
      </c>
      <c r="AP78" t="s">
        <v>940</v>
      </c>
      <c r="AQ78">
        <v>186</v>
      </c>
      <c r="AR78">
        <v>212</v>
      </c>
      <c r="AS78">
        <v>509</v>
      </c>
      <c r="AT78">
        <v>44</v>
      </c>
      <c r="AU78">
        <v>42</v>
      </c>
      <c r="AV78">
        <v>117</v>
      </c>
      <c r="AW78">
        <v>5</v>
      </c>
      <c r="AX78">
        <v>298</v>
      </c>
      <c r="AY78">
        <v>29</v>
      </c>
      <c r="AZ78">
        <v>1</v>
      </c>
      <c r="BA78">
        <v>2</v>
      </c>
      <c r="BB78" t="s">
        <v>53</v>
      </c>
      <c r="BC78" t="s">
        <v>54</v>
      </c>
      <c r="BD78" t="s">
        <v>143</v>
      </c>
      <c r="BE78" t="s">
        <v>941</v>
      </c>
      <c r="BF78" t="s">
        <v>942</v>
      </c>
      <c r="BG78" t="str">
        <f>HYPERLINK(".\links\PREV-RHOD-PEP\TI_asb-129-PREV-RHOD-PEP.txt","Contig1437_2")</f>
        <v>Contig1437_2</v>
      </c>
      <c r="BH78" s="7">
        <v>1E-97</v>
      </c>
      <c r="BI78" t="str">
        <f>HYPERLINK(".\links\PREV-RHOD-PEP\TI_asb-129-PREV-RHOD-PEP.txt"," 10")</f>
        <v xml:space="preserve"> 10</v>
      </c>
      <c r="BJ78" t="s">
        <v>943</v>
      </c>
      <c r="BK78">
        <v>352</v>
      </c>
      <c r="BL78">
        <v>207</v>
      </c>
      <c r="BM78">
        <v>826</v>
      </c>
      <c r="BN78">
        <v>79</v>
      </c>
      <c r="BO78">
        <v>25</v>
      </c>
      <c r="BP78">
        <v>43</v>
      </c>
      <c r="BQ78">
        <v>0</v>
      </c>
      <c r="BR78">
        <v>102</v>
      </c>
      <c r="BS78">
        <v>29</v>
      </c>
      <c r="BT78">
        <v>2</v>
      </c>
      <c r="BU78" t="s">
        <v>54</v>
      </c>
      <c r="BV78" t="s">
        <v>944</v>
      </c>
      <c r="BW78" t="s">
        <v>56</v>
      </c>
      <c r="BX78" t="str">
        <f>HYPERLINK(".\links\PREV-RHOD-CDS\TI_asb-129-PREV-RHOD-CDS.txt","Contig1437_1")</f>
        <v>Contig1437_1</v>
      </c>
      <c r="BY78" s="7">
        <v>9.9999999999999996E-39</v>
      </c>
      <c r="BZ78" t="s">
        <v>945</v>
      </c>
      <c r="CA78">
        <v>161</v>
      </c>
      <c r="CB78">
        <v>544</v>
      </c>
      <c r="CC78">
        <v>1320</v>
      </c>
      <c r="CD78">
        <v>84</v>
      </c>
      <c r="CE78">
        <v>41</v>
      </c>
      <c r="CF78">
        <v>34</v>
      </c>
      <c r="CG78">
        <v>0</v>
      </c>
      <c r="CH78">
        <v>703</v>
      </c>
      <c r="CI78">
        <v>53</v>
      </c>
      <c r="CJ78">
        <v>2</v>
      </c>
      <c r="CK78" t="s">
        <v>54</v>
      </c>
      <c r="CL78" t="s">
        <v>946</v>
      </c>
      <c r="CM78">
        <f>HYPERLINK(".\links\GO\TI_asb-129-GO.txt",6E-47)</f>
        <v>6.0000000000000003E-47</v>
      </c>
      <c r="CN78" t="s">
        <v>552</v>
      </c>
      <c r="CO78" t="s">
        <v>552</v>
      </c>
      <c r="CQ78" t="s">
        <v>553</v>
      </c>
      <c r="CR78" s="7">
        <v>3.0000000000000002E-44</v>
      </c>
      <c r="CS78" t="s">
        <v>554</v>
      </c>
      <c r="CT78" t="s">
        <v>75</v>
      </c>
      <c r="CU78" t="s">
        <v>555</v>
      </c>
      <c r="CV78" t="s">
        <v>556</v>
      </c>
      <c r="CW78" s="7">
        <v>3.0000000000000002E-44</v>
      </c>
      <c r="CX78" t="s">
        <v>947</v>
      </c>
      <c r="CY78" t="s">
        <v>552</v>
      </c>
      <c r="DA78" t="s">
        <v>948</v>
      </c>
      <c r="DB78" s="7">
        <v>3.0000000000000002E-44</v>
      </c>
      <c r="DC78" t="str">
        <f>HYPERLINK(".\links\CDD\TI_asb-129-CDD.txt","p450")</f>
        <v>p450</v>
      </c>
      <c r="DD78" t="str">
        <f>HYPERLINK("http://www.ncbi.nlm.nih.gov/Structure/cdd/cddsrv.cgi?uid=pfam00067&amp;version=v4.0","2E-053")</f>
        <v>2E-053</v>
      </c>
      <c r="DE78" t="s">
        <v>949</v>
      </c>
      <c r="DF78" t="str">
        <f>HYPERLINK(".\links\PFAM\TI_asb-129-PFAM.txt","p450")</f>
        <v>p450</v>
      </c>
      <c r="DG78" t="str">
        <f>HYPERLINK("http://pfam.sanger.ac.uk/family?acc=PF00067","1E-057")</f>
        <v>1E-057</v>
      </c>
      <c r="DH78" t="str">
        <f>HYPERLINK(".\links\PRK\TI_asb-129-PRK.txt","epsilon-ring hydroxylase.")</f>
        <v>epsilon-ring hydroxylase.</v>
      </c>
      <c r="DI78" s="7">
        <v>4.9999999999999997E-30</v>
      </c>
      <c r="DJ78" s="6" t="str">
        <f>HYPERLINK(".\links\KOG\TI_asb-129-KOG.txt","Cytochrome P450 CYP3/CYP5/CYP6/CYP9 subfamilies")</f>
        <v>Cytochrome P450 CYP3/CYP5/CYP6/CYP9 subfamilies</v>
      </c>
      <c r="DK78" s="6" t="str">
        <f>HYPERLINK("http://www.ncbi.nlm.nih.gov/COG/grace/shokog.cgi?KOG0158","2E-076")</f>
        <v>2E-076</v>
      </c>
      <c r="DL78" s="6" t="s">
        <v>4346</v>
      </c>
      <c r="DM78" s="6" t="str">
        <f>HYPERLINK(".\links\KOG\TI_asb-129-KOG.txt","KOG0158")</f>
        <v>KOG0158</v>
      </c>
      <c r="DN78" t="str">
        <f>HYPERLINK(".\links\SMART\TI_asb-129-SMART.txt","TLC")</f>
        <v>TLC</v>
      </c>
      <c r="DO78" t="str">
        <f>HYPERLINK("http://smart.embl-heidelberg.de/smart/do_annotation.pl?DOMAIN=TLC&amp;BLAST=DUMMY","0.079")</f>
        <v>0.079</v>
      </c>
      <c r="DP78" s="3" t="s">
        <v>56</v>
      </c>
      <c r="ED78" s="3" t="s">
        <v>56</v>
      </c>
    </row>
    <row r="79" spans="1:147">
      <c r="A79" t="str">
        <f>HYPERLINK(".\links\seq\TI_asb-132-seq.txt","TI_asb-132")</f>
        <v>TI_asb-132</v>
      </c>
      <c r="B79">
        <v>132</v>
      </c>
      <c r="C79" t="str">
        <f>HYPERLINK(".\links\tsa\TI_asb-132-tsa.txt","1")</f>
        <v>1</v>
      </c>
      <c r="D79">
        <v>1</v>
      </c>
      <c r="E79">
        <v>382</v>
      </c>
      <c r="G79" t="str">
        <f>HYPERLINK(".\links\qual\TI_asb-132-qual.txt","52")</f>
        <v>52</v>
      </c>
      <c r="H79">
        <v>0</v>
      </c>
      <c r="I79">
        <v>1</v>
      </c>
      <c r="J79">
        <f t="shared" si="4"/>
        <v>1</v>
      </c>
      <c r="K79" s="6">
        <f t="shared" si="5"/>
        <v>-1</v>
      </c>
      <c r="L79" s="6" t="s">
        <v>3868</v>
      </c>
      <c r="M79" s="6" t="s">
        <v>3869</v>
      </c>
      <c r="N79" s="6"/>
      <c r="O79" s="6"/>
      <c r="P79" s="6"/>
      <c r="Q79" s="3">
        <v>382</v>
      </c>
      <c r="R79" s="3">
        <v>231</v>
      </c>
      <c r="S79" s="3" t="s">
        <v>3558</v>
      </c>
      <c r="T79" s="3">
        <v>3</v>
      </c>
      <c r="U79" t="str">
        <f>HYPERLINK(".\links\NR-LIGHT\TI_asb-132-NR-LIGHT.txt","odorant receptor 38")</f>
        <v>odorant receptor 38</v>
      </c>
      <c r="V79" t="str">
        <f>HYPERLINK("http://www.ncbi.nlm.nih.gov/sutils/blink.cgi?pid=299528647","0.53")</f>
        <v>0.53</v>
      </c>
      <c r="W79" t="str">
        <f>HYPERLINK(".\links\NR-LIGHT\TI_asb-132-NR-LIGHT.txt"," 1")</f>
        <v xml:space="preserve"> 1</v>
      </c>
      <c r="X79" t="str">
        <f>HYPERLINK("http://www.ncbi.nlm.nih.gov/protein/299528647","gi|299528647")</f>
        <v>gi|299528647</v>
      </c>
      <c r="Y79">
        <v>35.4</v>
      </c>
      <c r="Z79">
        <v>60</v>
      </c>
      <c r="AA79">
        <v>414</v>
      </c>
      <c r="AB79">
        <v>36</v>
      </c>
      <c r="AC79">
        <v>14</v>
      </c>
      <c r="AD79">
        <v>38</v>
      </c>
      <c r="AE79">
        <v>0</v>
      </c>
      <c r="AF79">
        <v>41</v>
      </c>
      <c r="AG79">
        <v>2</v>
      </c>
      <c r="AH79">
        <v>1</v>
      </c>
      <c r="AI79">
        <v>2</v>
      </c>
      <c r="AJ79" t="s">
        <v>53</v>
      </c>
      <c r="AK79" t="s">
        <v>54</v>
      </c>
      <c r="AL79" t="s">
        <v>66</v>
      </c>
      <c r="AM79" t="str">
        <f>HYPERLINK(".\links\SWISSP\TI_asb-132-SWISSP.txt","Putative CDC123-like protein L884 OS=Acanthamoeba polyphaga mimivirus")</f>
        <v>Putative CDC123-like protein L884 OS=Acanthamoeba polyphaga mimivirus</v>
      </c>
      <c r="AN79" s="19" t="str">
        <f>HYPERLINK("http://www.uniprot.org/uniprot/Q5UQX4","8.0")</f>
        <v>8.0</v>
      </c>
      <c r="AO79" t="str">
        <f>HYPERLINK(".\links\SWISSP\TI_asb-132-SWISSP.txt"," 1")</f>
        <v xml:space="preserve"> 1</v>
      </c>
      <c r="AP79" t="s">
        <v>953</v>
      </c>
      <c r="AQ79">
        <v>29.3</v>
      </c>
      <c r="AR79">
        <v>54</v>
      </c>
      <c r="AS79">
        <v>323</v>
      </c>
      <c r="AT79">
        <v>27</v>
      </c>
      <c r="AU79">
        <v>17</v>
      </c>
      <c r="AV79">
        <v>39</v>
      </c>
      <c r="AW79">
        <v>0</v>
      </c>
      <c r="AX79">
        <v>56</v>
      </c>
      <c r="AY79">
        <v>24</v>
      </c>
      <c r="AZ79">
        <v>1</v>
      </c>
      <c r="BA79">
        <v>-3</v>
      </c>
      <c r="BB79" t="s">
        <v>53</v>
      </c>
      <c r="BC79" t="s">
        <v>64</v>
      </c>
      <c r="BD79" t="s">
        <v>498</v>
      </c>
      <c r="BE79" t="s">
        <v>954</v>
      </c>
      <c r="BF79" t="s">
        <v>955</v>
      </c>
      <c r="BG79" t="str">
        <f>HYPERLINK(".\links\PREV-RHOD-PEP\TI_asb-132-PREV-RHOD-PEP.txt","Contig17967_28")</f>
        <v>Contig17967_28</v>
      </c>
      <c r="BH79" s="7">
        <v>1E-13</v>
      </c>
      <c r="BI79" t="str">
        <f>HYPERLINK(".\links\PREV-RHOD-PEP\TI_asb-132-PREV-RHOD-PEP.txt"," 2")</f>
        <v xml:space="preserve"> 2</v>
      </c>
      <c r="BJ79" t="s">
        <v>956</v>
      </c>
      <c r="BK79">
        <v>71.2</v>
      </c>
      <c r="BL79">
        <v>74</v>
      </c>
      <c r="BM79">
        <v>197</v>
      </c>
      <c r="BN79">
        <v>54</v>
      </c>
      <c r="BO79">
        <v>38</v>
      </c>
      <c r="BP79">
        <v>34</v>
      </c>
      <c r="BQ79">
        <v>0</v>
      </c>
      <c r="BR79">
        <v>1</v>
      </c>
      <c r="BS79">
        <v>159</v>
      </c>
      <c r="BT79">
        <v>1</v>
      </c>
      <c r="BU79" t="s">
        <v>54</v>
      </c>
      <c r="BV79" t="s">
        <v>957</v>
      </c>
      <c r="BW79" t="s">
        <v>56</v>
      </c>
      <c r="BX79" t="str">
        <f>HYPERLINK(".\links\PREV-RHOD-CDS\TI_asb-132-PREV-RHOD-CDS.txt","Contig17967_28")</f>
        <v>Contig17967_28</v>
      </c>
      <c r="BY79" s="7">
        <v>3E-37</v>
      </c>
      <c r="BZ79" t="s">
        <v>956</v>
      </c>
      <c r="CA79">
        <v>155</v>
      </c>
      <c r="CB79">
        <v>220</v>
      </c>
      <c r="CC79">
        <v>594</v>
      </c>
      <c r="CD79">
        <v>83</v>
      </c>
      <c r="CE79">
        <v>37</v>
      </c>
      <c r="CF79">
        <v>36</v>
      </c>
      <c r="CG79">
        <v>3</v>
      </c>
      <c r="CH79">
        <v>1</v>
      </c>
      <c r="CI79">
        <v>159</v>
      </c>
      <c r="CJ79">
        <v>1</v>
      </c>
      <c r="CK79" t="s">
        <v>54</v>
      </c>
      <c r="CL79" t="s">
        <v>958</v>
      </c>
      <c r="CM79">
        <f>HYPERLINK(".\links\GO\TI_asb-132-GO.txt",4.2)</f>
        <v>4.2</v>
      </c>
      <c r="CN79" t="s">
        <v>58</v>
      </c>
      <c r="CO79" t="s">
        <v>58</v>
      </c>
      <c r="CQ79" t="s">
        <v>59</v>
      </c>
      <c r="CR79" s="6">
        <v>4.2</v>
      </c>
      <c r="CS79" t="s">
        <v>499</v>
      </c>
      <c r="CT79" t="s">
        <v>75</v>
      </c>
      <c r="CU79" t="s">
        <v>92</v>
      </c>
      <c r="CV79" t="s">
        <v>500</v>
      </c>
      <c r="CW79" s="6">
        <v>4.2</v>
      </c>
      <c r="CX79" t="s">
        <v>62</v>
      </c>
      <c r="CY79" t="s">
        <v>58</v>
      </c>
      <c r="DA79" t="s">
        <v>63</v>
      </c>
      <c r="DB79" s="6">
        <v>4.2</v>
      </c>
      <c r="DC79" t="s">
        <v>56</v>
      </c>
      <c r="DD79" t="s">
        <v>56</v>
      </c>
      <c r="DE79" t="s">
        <v>56</v>
      </c>
      <c r="DF79" t="s">
        <v>56</v>
      </c>
      <c r="DG79" t="s">
        <v>56</v>
      </c>
      <c r="DH79" t="s">
        <v>56</v>
      </c>
      <c r="DI79" s="6" t="s">
        <v>56</v>
      </c>
      <c r="DJ79" s="6" t="str">
        <f>HYPERLINK(".\links\KOG\TI_asb-132-KOG.txt","PH domain protein Melted")</f>
        <v>PH domain protein Melted</v>
      </c>
      <c r="DK79" s="6" t="str">
        <f>HYPERLINK("http://www.ncbi.nlm.nih.gov/COG/grace/shokog.cgi?KOG3723","0.079")</f>
        <v>0.079</v>
      </c>
      <c r="DL79" s="6" t="s">
        <v>4342</v>
      </c>
      <c r="DM79" s="6" t="str">
        <f>HYPERLINK(".\links\KOG\TI_asb-132-KOG.txt","KOG3723")</f>
        <v>KOG3723</v>
      </c>
      <c r="DN79" t="s">
        <v>56</v>
      </c>
      <c r="DO79" t="s">
        <v>56</v>
      </c>
      <c r="DP79" s="3" t="s">
        <v>56</v>
      </c>
      <c r="ED79" s="3" t="s">
        <v>56</v>
      </c>
    </row>
    <row r="80" spans="1:147">
      <c r="A80" t="str">
        <f>HYPERLINK(".\links\seq\TI_asb-139-seq.txt","TI_asb-139")</f>
        <v>TI_asb-139</v>
      </c>
      <c r="B80">
        <v>139</v>
      </c>
      <c r="C80" t="str">
        <f>HYPERLINK(".\links\tsa\TI_asb-139-tsa.txt","1")</f>
        <v>1</v>
      </c>
      <c r="D80">
        <v>1</v>
      </c>
      <c r="E80">
        <v>789</v>
      </c>
      <c r="G80" t="str">
        <f>HYPERLINK(".\links\qual\TI_asb-139-qual.txt","57")</f>
        <v>57</v>
      </c>
      <c r="H80">
        <v>1</v>
      </c>
      <c r="I80">
        <v>0</v>
      </c>
      <c r="J80">
        <f t="shared" si="4"/>
        <v>1</v>
      </c>
      <c r="K80" s="6">
        <f t="shared" si="5"/>
        <v>1</v>
      </c>
      <c r="L80" s="6" t="s">
        <v>3939</v>
      </c>
      <c r="M80" s="6" t="s">
        <v>3866</v>
      </c>
      <c r="N80" s="6" t="s">
        <v>3872</v>
      </c>
      <c r="O80" s="7">
        <v>2.0000000000000001E-83</v>
      </c>
      <c r="P80" s="6">
        <v>72.099999999999994</v>
      </c>
      <c r="Q80" s="3">
        <v>789</v>
      </c>
      <c r="R80" s="3">
        <v>717</v>
      </c>
      <c r="S80" s="6" t="s">
        <v>3559</v>
      </c>
      <c r="T80" s="3">
        <v>2</v>
      </c>
      <c r="U80" t="str">
        <f>HYPERLINK(".\links\NR-LIGHT\TI_asb-139-NR-LIGHT.txt","ACYPI003750")</f>
        <v>ACYPI003750</v>
      </c>
      <c r="V80" t="str">
        <f>HYPERLINK("http://www.ncbi.nlm.nih.gov/sutils/blink.cgi?pid=239788595","9E-089")</f>
        <v>9E-089</v>
      </c>
      <c r="W80" t="str">
        <f>HYPERLINK(".\links\NR-LIGHT\TI_asb-139-NR-LIGHT.txt"," 10")</f>
        <v xml:space="preserve"> 10</v>
      </c>
      <c r="X80" t="str">
        <f>HYPERLINK("http://www.ncbi.nlm.nih.gov/protein/239788595","gi|239788595")</f>
        <v>gi|239788595</v>
      </c>
      <c r="Y80">
        <v>328</v>
      </c>
      <c r="Z80">
        <v>234</v>
      </c>
      <c r="AA80">
        <v>325</v>
      </c>
      <c r="AB80">
        <v>66</v>
      </c>
      <c r="AC80">
        <v>72</v>
      </c>
      <c r="AD80">
        <v>79</v>
      </c>
      <c r="AE80">
        <v>1</v>
      </c>
      <c r="AF80">
        <v>1</v>
      </c>
      <c r="AG80">
        <v>89</v>
      </c>
      <c r="AH80">
        <v>1</v>
      </c>
      <c r="AI80">
        <v>2</v>
      </c>
      <c r="AJ80" t="s">
        <v>53</v>
      </c>
      <c r="AK80" t="s">
        <v>54</v>
      </c>
      <c r="AL80" t="s">
        <v>177</v>
      </c>
      <c r="AM80" t="str">
        <f>HYPERLINK(".\links\SWISSP\TI_asb-139-SWISSP.txt","Eukaryotic translation initiation factor 3 subunit I OS=Drosophila grimshawi")</f>
        <v>Eukaryotic translation initiation factor 3 subunit I OS=Drosophila grimshawi</v>
      </c>
      <c r="AN80" s="19" t="str">
        <f>HYPERLINK("http://www.uniprot.org/uniprot/B4JB43","2E-080")</f>
        <v>2E-080</v>
      </c>
      <c r="AO80" t="str">
        <f>HYPERLINK(".\links\SWISSP\TI_asb-139-SWISSP.txt"," 10")</f>
        <v xml:space="preserve"> 10</v>
      </c>
      <c r="AP80" t="s">
        <v>961</v>
      </c>
      <c r="AQ80">
        <v>298</v>
      </c>
      <c r="AR80">
        <v>236</v>
      </c>
      <c r="AS80">
        <v>326</v>
      </c>
      <c r="AT80">
        <v>63</v>
      </c>
      <c r="AU80">
        <v>72</v>
      </c>
      <c r="AV80">
        <v>87</v>
      </c>
      <c r="AW80">
        <v>3</v>
      </c>
      <c r="AX80">
        <v>1</v>
      </c>
      <c r="AY80">
        <v>89</v>
      </c>
      <c r="AZ80">
        <v>1</v>
      </c>
      <c r="BA80">
        <v>2</v>
      </c>
      <c r="BB80" t="s">
        <v>53</v>
      </c>
      <c r="BC80" t="s">
        <v>54</v>
      </c>
      <c r="BD80" t="s">
        <v>962</v>
      </c>
      <c r="BE80" t="s">
        <v>963</v>
      </c>
      <c r="BF80" t="s">
        <v>964</v>
      </c>
      <c r="BG80" t="str">
        <f>HYPERLINK(".\links\PREV-RHOD-PEP\TI_asb-139-PREV-RHOD-PEP.txt","Contig17970_698")</f>
        <v>Contig17970_698</v>
      </c>
      <c r="BH80" s="7">
        <v>1E-135</v>
      </c>
      <c r="BI80" t="str">
        <f>HYPERLINK(".\links\PREV-RHOD-PEP\TI_asb-139-PREV-RHOD-PEP.txt"," 10")</f>
        <v xml:space="preserve"> 10</v>
      </c>
      <c r="BJ80" t="s">
        <v>965</v>
      </c>
      <c r="BK80">
        <v>478</v>
      </c>
      <c r="BL80">
        <v>233</v>
      </c>
      <c r="BM80">
        <v>324</v>
      </c>
      <c r="BN80">
        <v>96</v>
      </c>
      <c r="BO80">
        <v>72</v>
      </c>
      <c r="BP80">
        <v>7</v>
      </c>
      <c r="BQ80">
        <v>0</v>
      </c>
      <c r="BR80">
        <v>1</v>
      </c>
      <c r="BS80">
        <v>89</v>
      </c>
      <c r="BT80">
        <v>1</v>
      </c>
      <c r="BU80" t="s">
        <v>54</v>
      </c>
      <c r="BV80" t="s">
        <v>966</v>
      </c>
      <c r="BW80" t="s">
        <v>56</v>
      </c>
      <c r="BX80" t="str">
        <f>HYPERLINK(".\links\PREV-RHOD-CDS\TI_asb-139-PREV-RHOD-CDS.txt","Contig17970_698")</f>
        <v>Contig17970_698</v>
      </c>
      <c r="BY80" s="6">
        <v>0</v>
      </c>
      <c r="BZ80" t="s">
        <v>965</v>
      </c>
      <c r="CA80">
        <v>827</v>
      </c>
      <c r="CB80">
        <v>700</v>
      </c>
      <c r="CC80">
        <v>975</v>
      </c>
      <c r="CD80">
        <v>89</v>
      </c>
      <c r="CE80">
        <v>72</v>
      </c>
      <c r="CF80">
        <v>71</v>
      </c>
      <c r="CG80">
        <v>0</v>
      </c>
      <c r="CH80">
        <v>1</v>
      </c>
      <c r="CI80">
        <v>89</v>
      </c>
      <c r="CJ80">
        <v>1</v>
      </c>
      <c r="CK80" t="s">
        <v>54</v>
      </c>
      <c r="CL80" t="s">
        <v>967</v>
      </c>
      <c r="CM80">
        <f>HYPERLINK(".\links\GO\TI_asb-139-GO.txt",2E-80)</f>
        <v>1.9999999999999999E-80</v>
      </c>
      <c r="CN80" t="s">
        <v>968</v>
      </c>
      <c r="CO80" t="s">
        <v>969</v>
      </c>
      <c r="CP80" t="s">
        <v>970</v>
      </c>
      <c r="CQ80" t="s">
        <v>971</v>
      </c>
      <c r="CR80" s="7">
        <v>1.9999999999999999E-80</v>
      </c>
      <c r="CS80" t="s">
        <v>972</v>
      </c>
      <c r="CT80" t="s">
        <v>75</v>
      </c>
      <c r="CU80" t="s">
        <v>76</v>
      </c>
      <c r="CV80" t="s">
        <v>973</v>
      </c>
      <c r="CW80" s="7">
        <v>1.9999999999999999E-80</v>
      </c>
      <c r="CX80" t="s">
        <v>708</v>
      </c>
      <c r="CY80" t="s">
        <v>969</v>
      </c>
      <c r="CZ80" t="s">
        <v>970</v>
      </c>
      <c r="DA80" t="s">
        <v>709</v>
      </c>
      <c r="DB80" s="7">
        <v>1.9999999999999999E-80</v>
      </c>
      <c r="DC80" t="str">
        <f>HYPERLINK(".\links\CDD\TI_asb-139-CDD.txt","WD40")</f>
        <v>WD40</v>
      </c>
      <c r="DD80" t="str">
        <f>HYPERLINK("http://www.ncbi.nlm.nih.gov/Structure/cdd/cddsrv.cgi?uid=cd00200&amp;version=v4.0","2E-026")</f>
        <v>2E-026</v>
      </c>
      <c r="DE80" t="s">
        <v>974</v>
      </c>
      <c r="DF80" t="str">
        <f>HYPERLINK(".\links\PFAM\TI_asb-139-PFAM.txt","WD40")</f>
        <v>WD40</v>
      </c>
      <c r="DG80" t="str">
        <f>HYPERLINK("http://pfam.sanger.ac.uk/family?acc=PF00400","2E-006")</f>
        <v>2E-006</v>
      </c>
      <c r="DH80" t="str">
        <f>HYPERLINK(".\links\PRK\TI_asb-139-PRK.txt","protein SPA1-RELATED")</f>
        <v>protein SPA1-RELATED</v>
      </c>
      <c r="DI80" s="7">
        <v>2.9999999999999997E-4</v>
      </c>
      <c r="DJ80" s="6" t="str">
        <f>HYPERLINK(".\links\KOG\TI_asb-139-KOG.txt","Translation initiation factor 3, subunit i (eIF-3i)/TGF-beta receptor-interacting protein (TRIP-1)")</f>
        <v>Translation initiation factor 3, subunit i (eIF-3i)/TGF-beta receptor-interacting protein (TRIP-1)</v>
      </c>
      <c r="DK80" s="6" t="str">
        <f>HYPERLINK("http://www.ncbi.nlm.nih.gov/COG/grace/shokog.cgi?KOG0643","2E-083")</f>
        <v>2E-083</v>
      </c>
      <c r="DL80" s="6" t="s">
        <v>4359</v>
      </c>
      <c r="DM80" s="6" t="str">
        <f>HYPERLINK(".\links\KOG\TI_asb-139-KOG.txt","KOG0643")</f>
        <v>KOG0643</v>
      </c>
      <c r="DN80" t="str">
        <f>HYPERLINK(".\links\SMART\TI_asb-139-SMART.txt","WD40")</f>
        <v>WD40</v>
      </c>
      <c r="DO80" t="str">
        <f>HYPERLINK("http://smart.embl-heidelberg.de/smart/do_annotation.pl?DOMAIN=WD40&amp;BLAST=DUMMY","1E-007")</f>
        <v>1E-007</v>
      </c>
      <c r="DP80" s="3" t="s">
        <v>56</v>
      </c>
      <c r="ED80" s="3" t="s">
        <v>56</v>
      </c>
    </row>
    <row r="81" spans="1:134">
      <c r="A81" t="str">
        <f>HYPERLINK(".\links\seq\TI_asb-140-seq.txt","TI_asb-140")</f>
        <v>TI_asb-140</v>
      </c>
      <c r="B81">
        <v>140</v>
      </c>
      <c r="C81" t="str">
        <f>HYPERLINK(".\links\tsa\TI_asb-140-tsa.txt","1")</f>
        <v>1</v>
      </c>
      <c r="D81">
        <v>1</v>
      </c>
      <c r="E81">
        <v>320</v>
      </c>
      <c r="F81">
        <v>246</v>
      </c>
      <c r="G81" t="str">
        <f>HYPERLINK(".\links\qual\TI_asb-140-qual.txt","35")</f>
        <v>35</v>
      </c>
      <c r="H81">
        <v>0</v>
      </c>
      <c r="I81">
        <v>1</v>
      </c>
      <c r="J81">
        <f t="shared" si="4"/>
        <v>1</v>
      </c>
      <c r="K81" s="6">
        <f t="shared" si="5"/>
        <v>-1</v>
      </c>
      <c r="L81" s="6" t="s">
        <v>3868</v>
      </c>
      <c r="M81" s="6" t="s">
        <v>3869</v>
      </c>
      <c r="N81" s="6"/>
      <c r="O81" s="6"/>
      <c r="P81" s="6"/>
      <c r="Q81" s="3">
        <v>320</v>
      </c>
      <c r="R81" s="3">
        <v>222</v>
      </c>
      <c r="S81" s="3" t="s">
        <v>3560</v>
      </c>
      <c r="T81" s="3">
        <v>1</v>
      </c>
      <c r="U81" t="str">
        <f>HYPERLINK(".\links\NR-LIGHT\TI_asb-140-NR-LIGHT.txt","Envelope glycoprotein gp160; AltName: Full=Env polyprotein; Contains: RecName:")</f>
        <v>Envelope glycoprotein gp160; AltName: Full=Env polyprotein; Contains: RecName:</v>
      </c>
      <c r="V81" t="str">
        <f>HYPERLINK("http://www.ncbi.nlm.nih.gov/sutils/blink.cgi?pid=119492","5.9")</f>
        <v>5.9</v>
      </c>
      <c r="W81" t="str">
        <f>HYPERLINK(".\links\NR-LIGHT\TI_asb-140-NR-LIGHT.txt"," 1")</f>
        <v xml:space="preserve"> 1</v>
      </c>
      <c r="X81" t="str">
        <f>HYPERLINK("http://www.ncbi.nlm.nih.gov/protein/119492","gi|119492")</f>
        <v>gi|119492</v>
      </c>
      <c r="Y81">
        <v>32</v>
      </c>
      <c r="Z81">
        <v>34</v>
      </c>
      <c r="AA81">
        <v>877</v>
      </c>
      <c r="AB81">
        <v>35</v>
      </c>
      <c r="AC81">
        <v>4</v>
      </c>
      <c r="AD81">
        <v>22</v>
      </c>
      <c r="AE81">
        <v>0</v>
      </c>
      <c r="AF81">
        <v>788</v>
      </c>
      <c r="AG81">
        <v>59</v>
      </c>
      <c r="AH81">
        <v>1</v>
      </c>
      <c r="AI81">
        <v>2</v>
      </c>
      <c r="AJ81" t="s">
        <v>53</v>
      </c>
      <c r="AK81" t="s">
        <v>54</v>
      </c>
      <c r="AL81" t="s">
        <v>975</v>
      </c>
      <c r="AM81" t="str">
        <f>HYPERLINK(".\links\SWISSP\TI_asb-140-SWISSP.txt","Envelope glycoprotein gp160 OS=Simian immunodeficiency virus agm.vervet (isolate")</f>
        <v>Envelope glycoprotein gp160 OS=Simian immunodeficiency virus agm.vervet (isolate</v>
      </c>
      <c r="AN81" s="19" t="str">
        <f>HYPERLINK("http://www.uniprot.org/uniprot/P27977","1.2")</f>
        <v>1.2</v>
      </c>
      <c r="AO81" t="str">
        <f>HYPERLINK(".\links\SWISSP\TI_asb-140-SWISSP.txt"," 1")</f>
        <v xml:space="preserve"> 1</v>
      </c>
      <c r="AP81" t="s">
        <v>976</v>
      </c>
      <c r="AQ81">
        <v>32</v>
      </c>
      <c r="AR81">
        <v>34</v>
      </c>
      <c r="AS81">
        <v>877</v>
      </c>
      <c r="AT81">
        <v>35</v>
      </c>
      <c r="AU81">
        <v>4</v>
      </c>
      <c r="AV81">
        <v>22</v>
      </c>
      <c r="AW81">
        <v>0</v>
      </c>
      <c r="AX81">
        <v>788</v>
      </c>
      <c r="AY81">
        <v>59</v>
      </c>
      <c r="AZ81">
        <v>1</v>
      </c>
      <c r="BA81">
        <v>2</v>
      </c>
      <c r="BB81" t="s">
        <v>53</v>
      </c>
      <c r="BC81" t="s">
        <v>54</v>
      </c>
      <c r="BD81" t="s">
        <v>977</v>
      </c>
      <c r="BE81" t="s">
        <v>978</v>
      </c>
      <c r="BF81" t="s">
        <v>979</v>
      </c>
      <c r="BG81" t="str">
        <f>HYPERLINK(".\links\PREV-RHOD-PEP\TI_asb-140-PREV-RHOD-PEP.txt","Contig17866_58")</f>
        <v>Contig17866_58</v>
      </c>
      <c r="BH81" s="6">
        <v>2.9</v>
      </c>
      <c r="BI81" t="str">
        <f>HYPERLINK(".\links\PREV-RHOD-PEP\TI_asb-140-PREV-RHOD-PEP.txt"," 2")</f>
        <v xml:space="preserve"> 2</v>
      </c>
      <c r="BJ81" t="s">
        <v>980</v>
      </c>
      <c r="BK81">
        <v>26.9</v>
      </c>
      <c r="BL81">
        <v>28</v>
      </c>
      <c r="BM81">
        <v>76</v>
      </c>
      <c r="BN81">
        <v>39</v>
      </c>
      <c r="BO81">
        <v>37</v>
      </c>
      <c r="BP81">
        <v>17</v>
      </c>
      <c r="BQ81">
        <v>0</v>
      </c>
      <c r="BR81">
        <v>4</v>
      </c>
      <c r="BS81">
        <v>33</v>
      </c>
      <c r="BT81">
        <v>1</v>
      </c>
      <c r="BU81" t="s">
        <v>54</v>
      </c>
      <c r="BV81" t="s">
        <v>981</v>
      </c>
      <c r="BW81" t="s">
        <v>56</v>
      </c>
      <c r="BX81" t="str">
        <f>HYPERLINK(".\links\PREV-RHOD-CDS\TI_asb-140-PREV-RHOD-CDS.txt","Contig17935_54")</f>
        <v>Contig17935_54</v>
      </c>
      <c r="BY81" s="6">
        <v>0.61</v>
      </c>
      <c r="BZ81" t="s">
        <v>982</v>
      </c>
      <c r="CA81">
        <v>34.200000000000003</v>
      </c>
      <c r="CB81">
        <v>16</v>
      </c>
      <c r="CC81">
        <v>492</v>
      </c>
      <c r="CD81">
        <v>100</v>
      </c>
      <c r="CE81">
        <v>3</v>
      </c>
      <c r="CF81">
        <v>0</v>
      </c>
      <c r="CG81">
        <v>0</v>
      </c>
      <c r="CH81">
        <v>455</v>
      </c>
      <c r="CI81">
        <v>208</v>
      </c>
      <c r="CJ81">
        <v>1</v>
      </c>
      <c r="CK81" t="s">
        <v>64</v>
      </c>
      <c r="CL81" t="s">
        <v>983</v>
      </c>
      <c r="CM81">
        <f>HYPERLINK(".\links\GO\TI_asb-140-GO.txt",3.2)</f>
        <v>3.2</v>
      </c>
      <c r="CN81" t="s">
        <v>984</v>
      </c>
      <c r="CO81" t="s">
        <v>129</v>
      </c>
      <c r="CP81" t="s">
        <v>239</v>
      </c>
      <c r="CQ81" t="s">
        <v>985</v>
      </c>
      <c r="CR81" s="6">
        <v>3.2</v>
      </c>
      <c r="CS81" t="s">
        <v>986</v>
      </c>
      <c r="CT81" t="s">
        <v>75</v>
      </c>
      <c r="CU81" t="s">
        <v>76</v>
      </c>
      <c r="CV81" t="s">
        <v>987</v>
      </c>
      <c r="CW81" s="6">
        <v>3.2</v>
      </c>
      <c r="CX81" t="s">
        <v>988</v>
      </c>
      <c r="CY81" t="s">
        <v>129</v>
      </c>
      <c r="CZ81" t="s">
        <v>239</v>
      </c>
      <c r="DA81" t="s">
        <v>989</v>
      </c>
      <c r="DB81" s="6">
        <v>3.2</v>
      </c>
      <c r="DC81" t="str">
        <f>HYPERLINK(".\links\CDD\TI_asb-140-CDD.txt","lacY")</f>
        <v>lacY</v>
      </c>
      <c r="DD81" t="str">
        <f>HYPERLINK("http://www.ncbi.nlm.nih.gov/Structure/cdd/cddsrv.cgi?uid=PRK09528&amp;version=v4.0","0.062")</f>
        <v>0.062</v>
      </c>
      <c r="DE81" t="s">
        <v>990</v>
      </c>
      <c r="DF81" t="str">
        <f>HYPERLINK(".\links\PFAM\TI_asb-140-PFAM.txt","7TM_GPCR_Srt")</f>
        <v>7TM_GPCR_Srt</v>
      </c>
      <c r="DG81" t="str">
        <f>HYPERLINK("http://pfam.sanger.ac.uk/family?acc=PF10321","0.028")</f>
        <v>0.028</v>
      </c>
      <c r="DH81" t="str">
        <f>HYPERLINK(".\links\PRK\TI_asb-140-PRK.txt","flagellar biosynthesis protein FliZ")</f>
        <v>flagellar biosynthesis protein FliZ</v>
      </c>
      <c r="DI81" s="6">
        <v>1E-3</v>
      </c>
      <c r="DJ81" s="6" t="str">
        <f>HYPERLINK(".\links\KOG\TI_asb-140-KOG.txt","rRNA processing protein")</f>
        <v>rRNA processing protein</v>
      </c>
      <c r="DK81" s="6" t="str">
        <f>HYPERLINK("http://www.ncbi.nlm.nih.gov/COG/grace/shokog.cgi?KOG2874","0.068")</f>
        <v>0.068</v>
      </c>
      <c r="DL81" s="6" t="s">
        <v>4360</v>
      </c>
      <c r="DM81" s="6" t="str">
        <f>HYPERLINK(".\links\KOG\TI_asb-140-KOG.txt","KOG2874")</f>
        <v>KOG2874</v>
      </c>
      <c r="DN81" t="str">
        <f>HYPERLINK(".\links\SMART\TI_asb-140-SMART.txt","AgrB")</f>
        <v>AgrB</v>
      </c>
      <c r="DO81" t="str">
        <f>HYPERLINK("http://smart.embl-heidelberg.de/smart/do_annotation.pl?DOMAIN=AgrB&amp;BLAST=DUMMY","0.069")</f>
        <v>0.069</v>
      </c>
      <c r="DP81" s="3" t="s">
        <v>56</v>
      </c>
      <c r="ED81" s="3" t="s">
        <v>56</v>
      </c>
    </row>
    <row r="82" spans="1:134">
      <c r="A82" t="str">
        <f>HYPERLINK(".\links\seq\TI_asb-141-seq.txt","TI_asb-141")</f>
        <v>TI_asb-141</v>
      </c>
      <c r="B82">
        <v>141</v>
      </c>
      <c r="C82" t="str">
        <f>HYPERLINK(".\links\tsa\TI_asb-141-tsa.txt","1")</f>
        <v>1</v>
      </c>
      <c r="D82">
        <v>1</v>
      </c>
      <c r="E82">
        <v>585</v>
      </c>
      <c r="F82">
        <v>565</v>
      </c>
      <c r="G82" t="str">
        <f>HYPERLINK(".\links\qual\TI_asb-141-qual.txt","53")</f>
        <v>53</v>
      </c>
      <c r="H82">
        <v>1</v>
      </c>
      <c r="I82">
        <v>0</v>
      </c>
      <c r="J82">
        <f t="shared" si="4"/>
        <v>1</v>
      </c>
      <c r="K82" s="6">
        <f t="shared" si="5"/>
        <v>1</v>
      </c>
      <c r="L82" s="6" t="s">
        <v>3940</v>
      </c>
      <c r="M82" s="6" t="s">
        <v>3886</v>
      </c>
      <c r="N82" s="6" t="s">
        <v>3864</v>
      </c>
      <c r="O82" s="7">
        <v>9.9999999999999998E-20</v>
      </c>
      <c r="P82" s="6">
        <v>45.9</v>
      </c>
      <c r="Q82" s="3">
        <v>585</v>
      </c>
      <c r="R82" s="3">
        <v>306</v>
      </c>
      <c r="S82" s="3" t="s">
        <v>3561</v>
      </c>
      <c r="T82" s="3">
        <v>2</v>
      </c>
      <c r="U82" t="str">
        <f>HYPERLINK(".\links\NR-LIGHT\TI_asb-141-NR-LIGHT.txt","similar to CG2091-PA isoform 1, partial")</f>
        <v>similar to CG2091-PA isoform 1, partial</v>
      </c>
      <c r="V82" t="str">
        <f>HYPERLINK("http://www.ncbi.nlm.nih.gov/sutils/blink.cgi?pid=110767728","1E-019")</f>
        <v>1E-019</v>
      </c>
      <c r="W82" t="str">
        <f>HYPERLINK(".\links\NR-LIGHT\TI_asb-141-NR-LIGHT.txt"," 10")</f>
        <v xml:space="preserve"> 10</v>
      </c>
      <c r="X82" t="str">
        <f>HYPERLINK("http://www.ncbi.nlm.nih.gov/protein/110767728","gi|110767728")</f>
        <v>gi|110767728</v>
      </c>
      <c r="Y82">
        <v>98.2</v>
      </c>
      <c r="Z82">
        <v>148</v>
      </c>
      <c r="AA82">
        <v>322</v>
      </c>
      <c r="AB82">
        <v>38</v>
      </c>
      <c r="AC82">
        <v>46</v>
      </c>
      <c r="AD82">
        <v>91</v>
      </c>
      <c r="AE82">
        <v>2</v>
      </c>
      <c r="AF82">
        <v>45</v>
      </c>
      <c r="AG82">
        <v>101</v>
      </c>
      <c r="AH82">
        <v>1</v>
      </c>
      <c r="AI82">
        <v>2</v>
      </c>
      <c r="AJ82" t="s">
        <v>53</v>
      </c>
      <c r="AK82" t="s">
        <v>54</v>
      </c>
      <c r="AL82" t="s">
        <v>344</v>
      </c>
      <c r="AM82" t="str">
        <f>HYPERLINK(".\links\SWISSP\TI_asb-141-SWISSP.txt","Scavenger mRNA-decapping enzyme DcpS OS=Homo sapiens GN=DCPS PE=1 SV=2")</f>
        <v>Scavenger mRNA-decapping enzyme DcpS OS=Homo sapiens GN=DCPS PE=1 SV=2</v>
      </c>
      <c r="AN82" s="19" t="str">
        <f>HYPERLINK("http://www.uniprot.org/uniprot/Q96C86","1E-010")</f>
        <v>1E-010</v>
      </c>
      <c r="AO82" t="str">
        <f>HYPERLINK(".\links\SWISSP\TI_asb-141-SWISSP.txt"," 10")</f>
        <v xml:space="preserve"> 10</v>
      </c>
      <c r="AP82" t="s">
        <v>991</v>
      </c>
      <c r="AQ82">
        <v>66.599999999999994</v>
      </c>
      <c r="AR82">
        <v>155</v>
      </c>
      <c r="AS82">
        <v>337</v>
      </c>
      <c r="AT82">
        <v>26</v>
      </c>
      <c r="AU82">
        <v>46</v>
      </c>
      <c r="AV82">
        <v>114</v>
      </c>
      <c r="AW82">
        <v>5</v>
      </c>
      <c r="AX82">
        <v>47</v>
      </c>
      <c r="AY82">
        <v>107</v>
      </c>
      <c r="AZ82">
        <v>1</v>
      </c>
      <c r="BA82">
        <v>2</v>
      </c>
      <c r="BB82" t="s">
        <v>53</v>
      </c>
      <c r="BC82" t="s">
        <v>54</v>
      </c>
      <c r="BD82" t="s">
        <v>330</v>
      </c>
      <c r="BE82" t="s">
        <v>992</v>
      </c>
      <c r="BF82" t="s">
        <v>993</v>
      </c>
      <c r="BG82" t="str">
        <f>HYPERLINK(".\links\PREV-RHOD-PEP\TI_asb-141-PREV-RHOD-PEP.txt","Contig17819_68")</f>
        <v>Contig17819_68</v>
      </c>
      <c r="BH82" s="7">
        <v>6.0000000000000006E-67</v>
      </c>
      <c r="BI82" t="str">
        <f>HYPERLINK(".\links\PREV-RHOD-PEP\TI_asb-141-PREV-RHOD-PEP.txt"," 10")</f>
        <v xml:space="preserve"> 10</v>
      </c>
      <c r="BJ82" t="s">
        <v>994</v>
      </c>
      <c r="BK82">
        <v>246</v>
      </c>
      <c r="BL82">
        <v>164</v>
      </c>
      <c r="BM82">
        <v>730</v>
      </c>
      <c r="BN82">
        <v>74</v>
      </c>
      <c r="BO82">
        <v>22</v>
      </c>
      <c r="BP82">
        <v>42</v>
      </c>
      <c r="BQ82">
        <v>0</v>
      </c>
      <c r="BR82">
        <v>26</v>
      </c>
      <c r="BS82">
        <v>4</v>
      </c>
      <c r="BT82">
        <v>2</v>
      </c>
      <c r="BU82" t="s">
        <v>54</v>
      </c>
      <c r="BV82" t="s">
        <v>995</v>
      </c>
      <c r="BW82" t="s">
        <v>56</v>
      </c>
      <c r="BX82" t="str">
        <f>HYPERLINK(".\links\PREV-RHOD-CDS\TI_asb-141-PREV-RHOD-CDS.txt","Contig17819_68")</f>
        <v>Contig17819_68</v>
      </c>
      <c r="BY82" s="7">
        <v>2.0000000000000001E-42</v>
      </c>
      <c r="BZ82" t="s">
        <v>994</v>
      </c>
      <c r="CA82">
        <v>172</v>
      </c>
      <c r="CB82">
        <v>412</v>
      </c>
      <c r="CC82">
        <v>2193</v>
      </c>
      <c r="CD82">
        <v>83</v>
      </c>
      <c r="CE82">
        <v>19</v>
      </c>
      <c r="CF82">
        <v>45</v>
      </c>
      <c r="CG82">
        <v>0</v>
      </c>
      <c r="CH82">
        <v>134</v>
      </c>
      <c r="CI82">
        <v>63</v>
      </c>
      <c r="CJ82">
        <v>2</v>
      </c>
      <c r="CK82" t="s">
        <v>54</v>
      </c>
      <c r="CL82" t="s">
        <v>996</v>
      </c>
      <c r="CM82">
        <f>HYPERLINK(".\links\GO\TI_asb-141-GO.txt",0.0000000001)</f>
        <v>1E-10</v>
      </c>
      <c r="CN82" t="s">
        <v>997</v>
      </c>
      <c r="CO82" t="s">
        <v>185</v>
      </c>
      <c r="CP82" t="s">
        <v>222</v>
      </c>
      <c r="CQ82" t="s">
        <v>998</v>
      </c>
      <c r="CR82" s="6">
        <v>5.9999999999999997E-7</v>
      </c>
      <c r="CS82" t="s">
        <v>224</v>
      </c>
      <c r="CT82" t="s">
        <v>75</v>
      </c>
      <c r="CU82" t="s">
        <v>76</v>
      </c>
      <c r="CV82" t="s">
        <v>225</v>
      </c>
      <c r="CW82" s="6">
        <v>5.9999999999999997E-7</v>
      </c>
      <c r="CX82" t="s">
        <v>999</v>
      </c>
      <c r="CY82" t="s">
        <v>185</v>
      </c>
      <c r="CZ82" t="s">
        <v>222</v>
      </c>
      <c r="DA82" t="s">
        <v>1000</v>
      </c>
      <c r="DB82" s="6">
        <v>5.9999999999999997E-7</v>
      </c>
      <c r="DC82" t="str">
        <f>HYPERLINK(".\links\CDD\TI_asb-141-CDD.txt","DcpS")</f>
        <v>DcpS</v>
      </c>
      <c r="DD82" t="str">
        <f>HYPERLINK("http://www.ncbi.nlm.nih.gov/Structure/cdd/cddsrv.cgi?uid=pfam05652&amp;version=v4.0","9E-016")</f>
        <v>9E-016</v>
      </c>
      <c r="DE82" t="s">
        <v>1001</v>
      </c>
      <c r="DF82" t="str">
        <f>HYPERLINK(".\links\PFAM\TI_asb-141-PFAM.txt","DcpS")</f>
        <v>DcpS</v>
      </c>
      <c r="DG82" t="str">
        <f>HYPERLINK("http://pfam.sanger.ac.uk/family?acc=PF05652","2E-016")</f>
        <v>2E-016</v>
      </c>
      <c r="DH82" t="str">
        <f>HYPERLINK(".\links\PRK\TI_asb-141-PRK.txt","CD47-like protein")</f>
        <v>CD47-like protein</v>
      </c>
      <c r="DI82" s="6">
        <v>7.6999999999999999E-2</v>
      </c>
      <c r="DJ82" s="6" t="str">
        <f>HYPERLINK(".\links\KOG\TI_asb-141-KOG.txt","Uncharacterized conserved protein")</f>
        <v>Uncharacterized conserved protein</v>
      </c>
      <c r="DK82" s="6" t="str">
        <f>HYPERLINK("http://www.ncbi.nlm.nih.gov/COG/grace/shokog.cgi?KOG3969","6E-019")</f>
        <v>6E-019</v>
      </c>
      <c r="DL82" s="6" t="s">
        <v>4347</v>
      </c>
      <c r="DM82" s="6" t="str">
        <f>HYPERLINK(".\links\KOG\TI_asb-141-KOG.txt","KOG3969")</f>
        <v>KOG3969</v>
      </c>
      <c r="DN82" t="str">
        <f>HYPERLINK(".\links\SMART\TI_asb-141-SMART.txt","TLC")</f>
        <v>TLC</v>
      </c>
      <c r="DO82" t="str">
        <f>HYPERLINK("http://smart.embl-heidelberg.de/smart/do_annotation.pl?DOMAIN=TLC&amp;BLAST=DUMMY","0.005")</f>
        <v>0.005</v>
      </c>
      <c r="DP82" s="3" t="s">
        <v>56</v>
      </c>
      <c r="ED82" s="3" t="s">
        <v>56</v>
      </c>
    </row>
    <row r="83" spans="1:134">
      <c r="A83" t="str">
        <f>HYPERLINK(".\links\seq\TI_asb-143-seq.txt","TI_asb-143")</f>
        <v>TI_asb-143</v>
      </c>
      <c r="B83">
        <v>143</v>
      </c>
      <c r="C83" t="str">
        <f>HYPERLINK(".\links\tsa\TI_asb-143-tsa.txt","1")</f>
        <v>1</v>
      </c>
      <c r="D83">
        <v>1</v>
      </c>
      <c r="E83">
        <v>867</v>
      </c>
      <c r="F83">
        <v>579</v>
      </c>
      <c r="G83" t="str">
        <f>HYPERLINK(".\links\qual\TI_asb-143-qual.txt","22")</f>
        <v>22</v>
      </c>
      <c r="H83">
        <v>0</v>
      </c>
      <c r="I83">
        <v>1</v>
      </c>
      <c r="J83">
        <f t="shared" si="4"/>
        <v>1</v>
      </c>
      <c r="K83" s="6">
        <f t="shared" si="5"/>
        <v>-1</v>
      </c>
      <c r="L83" s="6" t="s">
        <v>3941</v>
      </c>
      <c r="M83" s="6" t="s">
        <v>3892</v>
      </c>
      <c r="N83" s="6" t="s">
        <v>3893</v>
      </c>
      <c r="O83" s="6">
        <v>1.9999999999999999E-7</v>
      </c>
      <c r="P83" s="6">
        <v>14</v>
      </c>
      <c r="Q83" s="3">
        <v>867</v>
      </c>
      <c r="R83" s="3">
        <v>339</v>
      </c>
      <c r="S83" s="3" t="s">
        <v>3562</v>
      </c>
      <c r="T83" s="3">
        <v>1</v>
      </c>
      <c r="U83" t="str">
        <f>HYPERLINK(".\links\NR-LIGHT\TI_asb-143-NR-LIGHT.txt","similar to predicted protein, partial")</f>
        <v>similar to predicted protein, partial</v>
      </c>
      <c r="V83" t="str">
        <f>HYPERLINK("http://www.ncbi.nlm.nih.gov/sutils/blink.cgi?pid=193688172","5E-009")</f>
        <v>5E-009</v>
      </c>
      <c r="W83" t="str">
        <f>HYPERLINK(".\links\NR-LIGHT\TI_asb-143-NR-LIGHT.txt"," 10")</f>
        <v xml:space="preserve"> 10</v>
      </c>
      <c r="X83" t="str">
        <f>HYPERLINK("http://www.ncbi.nlm.nih.gov/protein/193688172","gi|193688172")</f>
        <v>gi|193688172</v>
      </c>
      <c r="Y83">
        <v>64.3</v>
      </c>
      <c r="Z83">
        <v>126</v>
      </c>
      <c r="AA83">
        <v>540</v>
      </c>
      <c r="AB83">
        <v>33</v>
      </c>
      <c r="AC83">
        <v>23</v>
      </c>
      <c r="AD83">
        <v>84</v>
      </c>
      <c r="AE83">
        <v>4</v>
      </c>
      <c r="AF83">
        <v>28</v>
      </c>
      <c r="AG83">
        <v>205</v>
      </c>
      <c r="AH83">
        <v>1</v>
      </c>
      <c r="AI83">
        <v>1</v>
      </c>
      <c r="AJ83" t="s">
        <v>53</v>
      </c>
      <c r="AK83" t="s">
        <v>54</v>
      </c>
      <c r="AL83" t="s">
        <v>177</v>
      </c>
      <c r="AM83" t="str">
        <f>HYPERLINK(".\links\SWISSP\TI_asb-143-SWISSP.txt","Probable RNA-directed DNA polymerase from transposon BS OS=Drosophila")</f>
        <v>Probable RNA-directed DNA polymerase from transposon BS OS=Drosophila</v>
      </c>
      <c r="AN83" s="19" t="str">
        <f>HYPERLINK("http://www.uniprot.org/uniprot/Q95SX7","2E-007")</f>
        <v>2E-007</v>
      </c>
      <c r="AO83" t="str">
        <f>HYPERLINK(".\links\SWISSP\TI_asb-143-SWISSP.txt"," 10")</f>
        <v xml:space="preserve"> 10</v>
      </c>
      <c r="AP83" t="s">
        <v>1004</v>
      </c>
      <c r="AQ83">
        <v>56.6</v>
      </c>
      <c r="AR83">
        <v>135</v>
      </c>
      <c r="AS83">
        <v>906</v>
      </c>
      <c r="AT83">
        <v>30</v>
      </c>
      <c r="AU83">
        <v>15</v>
      </c>
      <c r="AV83">
        <v>94</v>
      </c>
      <c r="AW83">
        <v>15</v>
      </c>
      <c r="AX83">
        <v>636</v>
      </c>
      <c r="AY83">
        <v>211</v>
      </c>
      <c r="AZ83">
        <v>1</v>
      </c>
      <c r="BA83">
        <v>1</v>
      </c>
      <c r="BB83" t="s">
        <v>53</v>
      </c>
      <c r="BC83" t="s">
        <v>54</v>
      </c>
      <c r="BD83" t="s">
        <v>143</v>
      </c>
      <c r="BE83" t="s">
        <v>1005</v>
      </c>
      <c r="BF83" t="s">
        <v>1006</v>
      </c>
      <c r="BG83" t="str">
        <f>HYPERLINK(".\links\PREV-RHOD-PEP\TI_asb-143-PREV-RHOD-PEP.txt","Contig17929_26")</f>
        <v>Contig17929_26</v>
      </c>
      <c r="BH83" s="7">
        <v>4.9999999999999997E-21</v>
      </c>
      <c r="BI83" t="str">
        <f>HYPERLINK(".\links\PREV-RHOD-PEP\TI_asb-143-PREV-RHOD-PEP.txt"," 10")</f>
        <v xml:space="preserve"> 10</v>
      </c>
      <c r="BJ83" t="s">
        <v>1007</v>
      </c>
      <c r="BK83">
        <v>97.8</v>
      </c>
      <c r="BL83">
        <v>132</v>
      </c>
      <c r="BM83">
        <v>370</v>
      </c>
      <c r="BN83">
        <v>43</v>
      </c>
      <c r="BO83">
        <v>36</v>
      </c>
      <c r="BP83">
        <v>74</v>
      </c>
      <c r="BQ83">
        <v>12</v>
      </c>
      <c r="BR83">
        <v>104</v>
      </c>
      <c r="BS83">
        <v>214</v>
      </c>
      <c r="BT83">
        <v>1</v>
      </c>
      <c r="BU83" t="s">
        <v>54</v>
      </c>
      <c r="BV83" t="s">
        <v>1008</v>
      </c>
      <c r="BW83" t="s">
        <v>56</v>
      </c>
      <c r="BX83" t="str">
        <f>HYPERLINK(".\links\PREV-RHOD-CDS\TI_asb-143-PREV-RHOD-CDS.txt","Contig17643_1")</f>
        <v>Contig17643_1</v>
      </c>
      <c r="BY83" s="6">
        <v>2E-3</v>
      </c>
      <c r="BZ83" t="s">
        <v>1009</v>
      </c>
      <c r="CA83">
        <v>44.1</v>
      </c>
      <c r="CB83">
        <v>41</v>
      </c>
      <c r="CC83">
        <v>288</v>
      </c>
      <c r="CD83">
        <v>88</v>
      </c>
      <c r="CE83">
        <v>15</v>
      </c>
      <c r="CF83">
        <v>5</v>
      </c>
      <c r="CG83">
        <v>0</v>
      </c>
      <c r="CH83">
        <v>69</v>
      </c>
      <c r="CI83">
        <v>522</v>
      </c>
      <c r="CJ83">
        <v>1</v>
      </c>
      <c r="CK83" t="s">
        <v>54</v>
      </c>
      <c r="CL83" t="s">
        <v>1010</v>
      </c>
      <c r="CM83">
        <f>HYPERLINK(".\links\GO\TI_asb-143-GO.txt",0.11)</f>
        <v>0.11</v>
      </c>
      <c r="CN83" t="s">
        <v>1011</v>
      </c>
      <c r="CO83" t="s">
        <v>1012</v>
      </c>
      <c r="CP83" t="s">
        <v>1013</v>
      </c>
      <c r="CQ83" t="s">
        <v>1014</v>
      </c>
      <c r="CR83">
        <v>0.11</v>
      </c>
      <c r="CS83" t="s">
        <v>224</v>
      </c>
      <c r="CT83" t="s">
        <v>75</v>
      </c>
      <c r="CU83" t="s">
        <v>76</v>
      </c>
      <c r="CV83" t="s">
        <v>225</v>
      </c>
      <c r="CW83">
        <v>0.11</v>
      </c>
      <c r="CX83" t="s">
        <v>1015</v>
      </c>
      <c r="CY83" t="s">
        <v>1012</v>
      </c>
      <c r="CZ83" t="s">
        <v>1013</v>
      </c>
      <c r="DA83" t="s">
        <v>1016</v>
      </c>
      <c r="DB83">
        <v>0.11</v>
      </c>
      <c r="DC83" t="str">
        <f>HYPERLINK(".\links\CDD\TI_asb-143-CDD.txt","RT_nLTR_like")</f>
        <v>RT_nLTR_like</v>
      </c>
      <c r="DD83" t="str">
        <f>HYPERLINK("http://www.ncbi.nlm.nih.gov/Structure/cdd/cddsrv.cgi?uid=cd01650&amp;version=v4.0","2E-007")</f>
        <v>2E-007</v>
      </c>
      <c r="DE83" t="s">
        <v>1017</v>
      </c>
      <c r="DF83" t="str">
        <f>HYPERLINK(".\links\PFAM\TI_asb-143-PFAM.txt","MIP-T3")</f>
        <v>MIP-T3</v>
      </c>
      <c r="DG83" t="str">
        <f>HYPERLINK("http://pfam.sanger.ac.uk/family?acc=PF10243","5E-005")</f>
        <v>5E-005</v>
      </c>
      <c r="DH83" t="str">
        <f>HYPERLINK(".\links\PRK\TI_asb-143-PRK.txt","NADH dehydrogenase subunit 5")</f>
        <v>NADH dehydrogenase subunit 5</v>
      </c>
      <c r="DI83" s="6">
        <v>2E-3</v>
      </c>
      <c r="DJ83" s="6" t="str">
        <f>HYPERLINK(".\links\KOG\TI_asb-143-KOG.txt","Translation initiation factor 5B (eIF-5B)")</f>
        <v>Translation initiation factor 5B (eIF-5B)</v>
      </c>
      <c r="DK83" s="6" t="str">
        <f>HYPERLINK("http://www.ncbi.nlm.nih.gov/COG/grace/shokog.cgi?KOG1144","0.005")</f>
        <v>0.005</v>
      </c>
      <c r="DL83" s="6" t="s">
        <v>4333</v>
      </c>
      <c r="DM83" s="6" t="str">
        <f>HYPERLINK(".\links\KOG\TI_asb-143-KOG.txt","KOG1144")</f>
        <v>KOG1144</v>
      </c>
      <c r="DN83" t="str">
        <f>HYPERLINK(".\links\SMART\TI_asb-143-SMART.txt","Agouti")</f>
        <v>Agouti</v>
      </c>
      <c r="DO83" t="str">
        <f>HYPERLINK("http://smart.embl-heidelberg.de/smart/do_annotation.pl?DOMAIN=Agouti&amp;BLAST=DUMMY","0.003")</f>
        <v>0.003</v>
      </c>
      <c r="DP83" s="3" t="s">
        <v>56</v>
      </c>
      <c r="ED83" s="3" t="s">
        <v>56</v>
      </c>
    </row>
    <row r="84" spans="1:134">
      <c r="A84" t="str">
        <f>HYPERLINK(".\links\seq\TI_asb-144-seq.txt","TI_asb-144")</f>
        <v>TI_asb-144</v>
      </c>
      <c r="B84">
        <v>144</v>
      </c>
      <c r="C84" t="str">
        <f>HYPERLINK(".\links\tsa\TI_asb-144-tsa.txt","5")</f>
        <v>5</v>
      </c>
      <c r="D84">
        <v>5</v>
      </c>
      <c r="E84">
        <v>685</v>
      </c>
      <c r="F84">
        <v>662</v>
      </c>
      <c r="G84" t="str">
        <f>HYPERLINK(".\links\qual\TI_asb-144-qual.txt","71")</f>
        <v>71</v>
      </c>
      <c r="H84">
        <v>2</v>
      </c>
      <c r="I84">
        <v>3</v>
      </c>
      <c r="J84">
        <f t="shared" si="4"/>
        <v>1</v>
      </c>
      <c r="K84" s="6">
        <f t="shared" si="5"/>
        <v>-1</v>
      </c>
      <c r="L84" s="6" t="s">
        <v>3916</v>
      </c>
      <c r="M84" s="6" t="s">
        <v>3917</v>
      </c>
      <c r="N84" s="6" t="s">
        <v>3902</v>
      </c>
      <c r="O84" s="6">
        <v>8.9999999999999996E-12</v>
      </c>
      <c r="P84" s="6">
        <v>100</v>
      </c>
      <c r="Q84" s="3">
        <v>685</v>
      </c>
      <c r="R84" s="3">
        <v>201</v>
      </c>
      <c r="S84" s="3" t="s">
        <v>3563</v>
      </c>
      <c r="T84" s="3">
        <v>3</v>
      </c>
      <c r="U84" t="str">
        <f>HYPERLINK(".\links\NR-LIGHT\TI_asb-144-NR-LIGHT.txt","peritrophin A, putative")</f>
        <v>peritrophin A, putative</v>
      </c>
      <c r="V84" t="str">
        <f>HYPERLINK("http://www.ncbi.nlm.nih.gov/sutils/blink.cgi?pid=241731250","0.005")</f>
        <v>0.005</v>
      </c>
      <c r="W84" t="str">
        <f>HYPERLINK(".\links\NR-LIGHT\TI_asb-144-NR-LIGHT.txt"," 10")</f>
        <v xml:space="preserve"> 10</v>
      </c>
      <c r="X84" t="str">
        <f>HYPERLINK("http://www.ncbi.nlm.nih.gov/protein/241731250","gi|241731250")</f>
        <v>gi|241731250</v>
      </c>
      <c r="Y84">
        <v>43.5</v>
      </c>
      <c r="Z84">
        <v>75</v>
      </c>
      <c r="AA84">
        <v>172</v>
      </c>
      <c r="AB84">
        <v>36</v>
      </c>
      <c r="AC84">
        <v>44</v>
      </c>
      <c r="AD84">
        <v>48</v>
      </c>
      <c r="AE84">
        <v>2</v>
      </c>
      <c r="AF84">
        <v>11</v>
      </c>
      <c r="AG84">
        <v>51</v>
      </c>
      <c r="AH84">
        <v>1</v>
      </c>
      <c r="AI84">
        <v>3</v>
      </c>
      <c r="AJ84" t="s">
        <v>53</v>
      </c>
      <c r="AK84" t="s">
        <v>54</v>
      </c>
      <c r="AL84" t="s">
        <v>1018</v>
      </c>
      <c r="AM84" t="str">
        <f>HYPERLINK(".\links\SWISSP\TI_asb-144-SWISSP.txt","Chondroitin proteoglycan-2 OS=Caenorhabditis elegans GN=cpg-2 PE=1 SV=3")</f>
        <v>Chondroitin proteoglycan-2 OS=Caenorhabditis elegans GN=cpg-2 PE=1 SV=3</v>
      </c>
      <c r="AN84" s="19" t="str">
        <f>HYPERLINK("http://www.uniprot.org/uniprot/P41996","6.5")</f>
        <v>6.5</v>
      </c>
      <c r="AO84" t="str">
        <f>HYPERLINK(".\links\SWISSP\TI_asb-144-SWISSP.txt"," 6")</f>
        <v xml:space="preserve"> 6</v>
      </c>
      <c r="AP84" t="s">
        <v>1019</v>
      </c>
      <c r="AQ84">
        <v>31.2</v>
      </c>
      <c r="AR84">
        <v>59</v>
      </c>
      <c r="AS84">
        <v>524</v>
      </c>
      <c r="AT84">
        <v>33</v>
      </c>
      <c r="AU84">
        <v>11</v>
      </c>
      <c r="AV84">
        <v>39</v>
      </c>
      <c r="AW84">
        <v>1</v>
      </c>
      <c r="AX84">
        <v>247</v>
      </c>
      <c r="AY84">
        <v>99</v>
      </c>
      <c r="AZ84">
        <v>1</v>
      </c>
      <c r="BA84">
        <v>3</v>
      </c>
      <c r="BB84" t="s">
        <v>53</v>
      </c>
      <c r="BC84" t="s">
        <v>54</v>
      </c>
      <c r="BD84" t="s">
        <v>385</v>
      </c>
      <c r="BE84" t="s">
        <v>1020</v>
      </c>
      <c r="BF84" t="s">
        <v>1021</v>
      </c>
      <c r="BG84" t="str">
        <f>HYPERLINK(".\links\PREV-RHOD-PEP\TI_asb-144-PREV-RHOD-PEP.txt","Contig2653_1")</f>
        <v>Contig2653_1</v>
      </c>
      <c r="BH84" s="7">
        <v>8.9999999999999997E-22</v>
      </c>
      <c r="BI84" t="str">
        <f>HYPERLINK(".\links\PREV-RHOD-PEP\TI_asb-144-PREV-RHOD-PEP.txt"," 10")</f>
        <v xml:space="preserve"> 10</v>
      </c>
      <c r="BJ84" t="s">
        <v>1022</v>
      </c>
      <c r="BK84">
        <v>99.8</v>
      </c>
      <c r="BL84">
        <v>86</v>
      </c>
      <c r="BM84">
        <v>231</v>
      </c>
      <c r="BN84">
        <v>52</v>
      </c>
      <c r="BO84">
        <v>37</v>
      </c>
      <c r="BP84">
        <v>41</v>
      </c>
      <c r="BQ84">
        <v>1</v>
      </c>
      <c r="BR84">
        <v>1</v>
      </c>
      <c r="BS84">
        <v>24</v>
      </c>
      <c r="BT84">
        <v>1</v>
      </c>
      <c r="BU84" t="s">
        <v>54</v>
      </c>
      <c r="BV84" t="s">
        <v>1023</v>
      </c>
      <c r="BW84" t="s">
        <v>56</v>
      </c>
      <c r="BX84" t="str">
        <f>HYPERLINK(".\links\PREV-RHOD-CDS\TI_asb-144-PREV-RHOD-CDS.txt","Contig17566_38")</f>
        <v>Contig17566_38</v>
      </c>
      <c r="BY84" s="7">
        <v>9.0000000000000006E-5</v>
      </c>
      <c r="BZ84" t="s">
        <v>1024</v>
      </c>
      <c r="CA84">
        <v>48.1</v>
      </c>
      <c r="CB84">
        <v>31</v>
      </c>
      <c r="CC84">
        <v>366</v>
      </c>
      <c r="CD84">
        <v>93</v>
      </c>
      <c r="CE84">
        <v>9</v>
      </c>
      <c r="CF84">
        <v>2</v>
      </c>
      <c r="CG84">
        <v>0</v>
      </c>
      <c r="CH84">
        <v>215</v>
      </c>
      <c r="CI84">
        <v>226</v>
      </c>
      <c r="CJ84">
        <v>1</v>
      </c>
      <c r="CK84" t="s">
        <v>54</v>
      </c>
      <c r="CL84" t="s">
        <v>1025</v>
      </c>
      <c r="CM84">
        <f>HYPERLINK(".\links\GO\TI_asb-144-GO.txt",0.001)</f>
        <v>1E-3</v>
      </c>
      <c r="CN84" t="s">
        <v>208</v>
      </c>
      <c r="CO84" t="s">
        <v>185</v>
      </c>
      <c r="CP84" t="s">
        <v>186</v>
      </c>
      <c r="CQ84" t="s">
        <v>209</v>
      </c>
      <c r="CR84" s="6">
        <v>2.4</v>
      </c>
      <c r="CS84" t="s">
        <v>246</v>
      </c>
      <c r="CT84" t="s">
        <v>247</v>
      </c>
      <c r="CU84" t="s">
        <v>247</v>
      </c>
      <c r="CV84" t="s">
        <v>248</v>
      </c>
      <c r="CW84" s="6">
        <v>2.4</v>
      </c>
      <c r="CX84" t="s">
        <v>56</v>
      </c>
      <c r="CY84" t="s">
        <v>56</v>
      </c>
      <c r="CZ84" t="s">
        <v>56</v>
      </c>
      <c r="DA84" t="s">
        <v>56</v>
      </c>
      <c r="DB84" s="6" t="s">
        <v>56</v>
      </c>
      <c r="DC84" t="str">
        <f>HYPERLINK(".\links\CDD\TI_asb-144-CDD.txt","CBM_14")</f>
        <v>CBM_14</v>
      </c>
      <c r="DD84" t="str">
        <f>HYPERLINK("http://www.ncbi.nlm.nih.gov/Structure/cdd/cddsrv.cgi?uid=pfam01607&amp;version=v4.0","2E-010")</f>
        <v>2E-010</v>
      </c>
      <c r="DE84" t="s">
        <v>1026</v>
      </c>
      <c r="DF84" t="str">
        <f>HYPERLINK(".\links\PFAM\TI_asb-144-PFAM.txt","CBM_14")</f>
        <v>CBM_14</v>
      </c>
      <c r="DG84" t="str">
        <f>HYPERLINK("http://pfam.sanger.ac.uk/family?acc=PF01607","5E-011")</f>
        <v>5E-011</v>
      </c>
      <c r="DH84" t="str">
        <f>HYPERLINK(".\links\PRK\TI_asb-144-PRK.txt","NADH dehydrogenase subunit 2")</f>
        <v>NADH dehydrogenase subunit 2</v>
      </c>
      <c r="DI84" s="6">
        <v>4.0000000000000001E-3</v>
      </c>
      <c r="DJ84" s="6" t="s">
        <v>56</v>
      </c>
      <c r="DN84" t="str">
        <f>HYPERLINK(".\links\SMART\TI_asb-144-SMART.txt","ChtBD2")</f>
        <v>ChtBD2</v>
      </c>
      <c r="DO84" t="str">
        <f>HYPERLINK("http://smart.embl-heidelberg.de/smart/do_annotation.pl?DOMAIN=ChtBD2&amp;BLAST=DUMMY","9E-012")</f>
        <v>9E-012</v>
      </c>
      <c r="DP84" s="3" t="s">
        <v>56</v>
      </c>
      <c r="ED84" s="3" t="s">
        <v>56</v>
      </c>
    </row>
    <row r="85" spans="1:134">
      <c r="A85" t="str">
        <f>HYPERLINK(".\links\seq\TI_asb-145-seq.txt","TI_asb-145")</f>
        <v>TI_asb-145</v>
      </c>
      <c r="B85">
        <v>145</v>
      </c>
      <c r="C85" t="str">
        <f>HYPERLINK(".\links\tsa\TI_asb-145-tsa.txt","3")</f>
        <v>3</v>
      </c>
      <c r="D85">
        <v>3</v>
      </c>
      <c r="E85">
        <v>542</v>
      </c>
      <c r="F85">
        <v>467</v>
      </c>
      <c r="G85" t="str">
        <f>HYPERLINK(".\links\qual\TI_asb-145-qual.txt","78")</f>
        <v>78</v>
      </c>
      <c r="H85">
        <v>3</v>
      </c>
      <c r="I85">
        <v>0</v>
      </c>
      <c r="J85">
        <f t="shared" si="4"/>
        <v>3</v>
      </c>
      <c r="K85" s="6">
        <f t="shared" si="5"/>
        <v>3</v>
      </c>
      <c r="L85" s="6" t="s">
        <v>3942</v>
      </c>
      <c r="M85" s="6" t="s">
        <v>3866</v>
      </c>
      <c r="N85" s="6" t="s">
        <v>3864</v>
      </c>
      <c r="O85" s="7">
        <v>3.9999999999999998E-57</v>
      </c>
      <c r="P85" s="6">
        <v>100.7</v>
      </c>
      <c r="Q85" s="3">
        <v>542</v>
      </c>
      <c r="R85" s="3">
        <v>426</v>
      </c>
      <c r="S85" s="3" t="s">
        <v>3564</v>
      </c>
      <c r="T85" s="3">
        <v>2</v>
      </c>
      <c r="U85" t="str">
        <f>HYPERLINK(".\links\NR-LIGHT\TI_asb-145-NR-LIGHT.txt","similar to Ribosomal protein L27 CG4759-PA")</f>
        <v>similar to Ribosomal protein L27 CG4759-PA</v>
      </c>
      <c r="V85" t="str">
        <f>HYPERLINK("http://www.ncbi.nlm.nih.gov/sutils/blink.cgi?pid=91092502","4E-057")</f>
        <v>4E-057</v>
      </c>
      <c r="W85" t="str">
        <f>HYPERLINK(".\links\NR-LIGHT\TI_asb-145-NR-LIGHT.txt"," 10")</f>
        <v xml:space="preserve"> 10</v>
      </c>
      <c r="X85" t="str">
        <f>HYPERLINK("http://www.ncbi.nlm.nih.gov/protein/91092502","gi|91092502")</f>
        <v>gi|91092502</v>
      </c>
      <c r="Y85">
        <v>222</v>
      </c>
      <c r="Z85">
        <v>136</v>
      </c>
      <c r="AA85">
        <v>135</v>
      </c>
      <c r="AB85">
        <v>77</v>
      </c>
      <c r="AC85">
        <v>101</v>
      </c>
      <c r="AD85">
        <v>31</v>
      </c>
      <c r="AE85">
        <v>0</v>
      </c>
      <c r="AF85">
        <v>1</v>
      </c>
      <c r="AG85">
        <v>20</v>
      </c>
      <c r="AH85">
        <v>1</v>
      </c>
      <c r="AI85">
        <v>2</v>
      </c>
      <c r="AJ85" t="s">
        <v>53</v>
      </c>
      <c r="AK85" t="s">
        <v>54</v>
      </c>
      <c r="AL85" t="s">
        <v>79</v>
      </c>
      <c r="AM85" t="str">
        <f>HYPERLINK(".\links\SWISSP\TI_asb-145-SWISSP.txt","60S ribosomal protein L27 OS=Danio rerio GN=rpl27 PE=2 SV=3")</f>
        <v>60S ribosomal protein L27 OS=Danio rerio GN=rpl27 PE=2 SV=3</v>
      </c>
      <c r="AN85" s="19" t="str">
        <f>HYPERLINK("http://www.uniprot.org/uniprot/Q7ZV82","1E-043")</f>
        <v>1E-043</v>
      </c>
      <c r="AO85" t="str">
        <f>HYPERLINK(".\links\SWISSP\TI_asb-145-SWISSP.txt"," 10")</f>
        <v xml:space="preserve"> 10</v>
      </c>
      <c r="AP85" t="s">
        <v>1027</v>
      </c>
      <c r="AQ85">
        <v>176</v>
      </c>
      <c r="AR85">
        <v>137</v>
      </c>
      <c r="AS85">
        <v>136</v>
      </c>
      <c r="AT85">
        <v>64</v>
      </c>
      <c r="AU85">
        <v>101</v>
      </c>
      <c r="AV85">
        <v>48</v>
      </c>
      <c r="AW85">
        <v>1</v>
      </c>
      <c r="AX85">
        <v>1</v>
      </c>
      <c r="AY85">
        <v>20</v>
      </c>
      <c r="AZ85">
        <v>1</v>
      </c>
      <c r="BA85">
        <v>2</v>
      </c>
      <c r="BB85" t="s">
        <v>53</v>
      </c>
      <c r="BC85" t="s">
        <v>54</v>
      </c>
      <c r="BD85" t="s">
        <v>202</v>
      </c>
      <c r="BE85" t="s">
        <v>1028</v>
      </c>
      <c r="BF85" t="s">
        <v>1029</v>
      </c>
      <c r="BG85" t="str">
        <f>HYPERLINK(".\links\PREV-RHOD-PEP\TI_asb-145-PREV-RHOD-PEP.txt","Contig17146_15")</f>
        <v>Contig17146_15</v>
      </c>
      <c r="BH85" s="7">
        <v>9.9999999999999997E-65</v>
      </c>
      <c r="BI85" t="str">
        <f>HYPERLINK(".\links\PREV-RHOD-PEP\TI_asb-145-PREV-RHOD-PEP.txt"," 10")</f>
        <v xml:space="preserve"> 10</v>
      </c>
      <c r="BJ85" t="s">
        <v>1030</v>
      </c>
      <c r="BK85">
        <v>241</v>
      </c>
      <c r="BL85">
        <v>126</v>
      </c>
      <c r="BM85">
        <v>405</v>
      </c>
      <c r="BN85">
        <v>95</v>
      </c>
      <c r="BO85">
        <v>31</v>
      </c>
      <c r="BP85">
        <v>6</v>
      </c>
      <c r="BQ85">
        <v>0</v>
      </c>
      <c r="BR85">
        <v>1</v>
      </c>
      <c r="BS85">
        <v>20</v>
      </c>
      <c r="BT85">
        <v>1</v>
      </c>
      <c r="BU85" t="s">
        <v>54</v>
      </c>
      <c r="BV85" t="s">
        <v>1031</v>
      </c>
      <c r="BW85" t="s">
        <v>56</v>
      </c>
      <c r="BX85" t="str">
        <f>HYPERLINK(".\links\PREV-RHOD-CDS\TI_asb-145-PREV-RHOD-CDS.txt","Contig17146_15")</f>
        <v>Contig17146_15</v>
      </c>
      <c r="BY85" s="7">
        <v>9.9999999999999998E-150</v>
      </c>
      <c r="BZ85" t="s">
        <v>1030</v>
      </c>
      <c r="CA85">
        <v>527</v>
      </c>
      <c r="CB85">
        <v>361</v>
      </c>
      <c r="CC85">
        <v>1218</v>
      </c>
      <c r="CD85">
        <v>93</v>
      </c>
      <c r="CE85">
        <v>30</v>
      </c>
      <c r="CF85">
        <v>24</v>
      </c>
      <c r="CG85">
        <v>0</v>
      </c>
      <c r="CH85">
        <v>1</v>
      </c>
      <c r="CI85">
        <v>20</v>
      </c>
      <c r="CJ85">
        <v>1</v>
      </c>
      <c r="CK85" t="s">
        <v>54</v>
      </c>
      <c r="CL85" t="s">
        <v>1032</v>
      </c>
      <c r="CM85">
        <f>HYPERLINK(".\links\GO\TI_asb-145-GO.txt",2E-50)</f>
        <v>2E-50</v>
      </c>
      <c r="CN85" t="s">
        <v>702</v>
      </c>
      <c r="CO85" t="s">
        <v>703</v>
      </c>
      <c r="CP85" t="s">
        <v>704</v>
      </c>
      <c r="CQ85" t="s">
        <v>705</v>
      </c>
      <c r="CR85" s="7">
        <v>2E-50</v>
      </c>
      <c r="CS85" t="s">
        <v>706</v>
      </c>
      <c r="CT85" t="s">
        <v>75</v>
      </c>
      <c r="CU85" t="s">
        <v>76</v>
      </c>
      <c r="CV85" t="s">
        <v>707</v>
      </c>
      <c r="CW85" s="7">
        <v>2E-50</v>
      </c>
      <c r="CX85" t="s">
        <v>708</v>
      </c>
      <c r="CY85" t="s">
        <v>703</v>
      </c>
      <c r="CZ85" t="s">
        <v>704</v>
      </c>
      <c r="DA85" t="s">
        <v>709</v>
      </c>
      <c r="DB85" s="7">
        <v>2E-50</v>
      </c>
      <c r="DC85" t="str">
        <f>HYPERLINK(".\links\CDD\TI_asb-145-CDD.txt","Ribosomal_L27e")</f>
        <v>Ribosomal_L27e</v>
      </c>
      <c r="DD85" t="str">
        <f>HYPERLINK("http://www.ncbi.nlm.nih.gov/Structure/cdd/cddsrv.cgi?uid=pfam01777&amp;version=v4.0","4E-026")</f>
        <v>4E-026</v>
      </c>
      <c r="DE85" t="s">
        <v>1033</v>
      </c>
      <c r="DF85" t="str">
        <f>HYPERLINK(".\links\PFAM\TI_asb-145-PFAM.txt","Ribosomal_L27e")</f>
        <v>Ribosomal_L27e</v>
      </c>
      <c r="DG85" t="str">
        <f>HYPERLINK("http://pfam.sanger.ac.uk/family?acc=PF01777","1E-028")</f>
        <v>1E-028</v>
      </c>
      <c r="DH85" t="str">
        <f>HYPERLINK(".\links\PRK\TI_asb-145-PRK.txt","60S ribosomal protein L27")</f>
        <v>60S ribosomal protein L27</v>
      </c>
      <c r="DI85" s="7">
        <v>6.0000000000000005E-42</v>
      </c>
      <c r="DJ85" s="6" t="str">
        <f>HYPERLINK(".\links\KOG\TI_asb-145-KOG.txt","60S ribosomal protein L27")</f>
        <v>60S ribosomal protein L27</v>
      </c>
      <c r="DK85" s="6" t="str">
        <f>HYPERLINK("http://www.ncbi.nlm.nih.gov/COG/grace/shokog.cgi?KOG3418","6E-050")</f>
        <v>6E-050</v>
      </c>
      <c r="DL85" s="6" t="s">
        <v>4333</v>
      </c>
      <c r="DM85" s="6" t="str">
        <f>HYPERLINK(".\links\KOG\TI_asb-145-KOG.txt","KOG3418")</f>
        <v>KOG3418</v>
      </c>
      <c r="DN85" t="str">
        <f>HYPERLINK(".\links\SMART\TI_asb-145-SMART.txt","TOPEUc")</f>
        <v>TOPEUc</v>
      </c>
      <c r="DO85" t="str">
        <f>HYPERLINK("http://smart.embl-heidelberg.de/smart/do_annotation.pl?DOMAIN=TOPEUc&amp;BLAST=DUMMY","0.001")</f>
        <v>0.001</v>
      </c>
      <c r="DP85" s="3" t="s">
        <v>56</v>
      </c>
      <c r="ED85" s="3" t="s">
        <v>56</v>
      </c>
    </row>
    <row r="86" spans="1:134">
      <c r="A86" t="str">
        <f>HYPERLINK(".\links\seq\TI_asb-146-seq.txt","TI_asb-146")</f>
        <v>TI_asb-146</v>
      </c>
      <c r="B86">
        <v>146</v>
      </c>
      <c r="C86" t="str">
        <f>HYPERLINK(".\links\tsa\TI_asb-146-tsa.txt","1")</f>
        <v>1</v>
      </c>
      <c r="D86">
        <v>1</v>
      </c>
      <c r="E86">
        <v>589</v>
      </c>
      <c r="F86">
        <v>560</v>
      </c>
      <c r="G86" t="str">
        <f>HYPERLINK(".\links\qual\TI_asb-146-qual.txt","51")</f>
        <v>51</v>
      </c>
      <c r="H86">
        <v>1</v>
      </c>
      <c r="I86">
        <v>0</v>
      </c>
      <c r="J86">
        <f t="shared" si="4"/>
        <v>1</v>
      </c>
      <c r="K86" s="6">
        <f t="shared" si="5"/>
        <v>1</v>
      </c>
      <c r="L86" s="6" t="s">
        <v>3916</v>
      </c>
      <c r="M86" s="6" t="s">
        <v>3917</v>
      </c>
      <c r="N86" s="6" t="s">
        <v>3902</v>
      </c>
      <c r="O86" s="6">
        <v>6.9999999999999999E-6</v>
      </c>
      <c r="P86" s="6">
        <v>98.2</v>
      </c>
      <c r="Q86" s="3">
        <v>589</v>
      </c>
      <c r="R86" s="3">
        <v>489</v>
      </c>
      <c r="S86" s="6" t="s">
        <v>3565</v>
      </c>
      <c r="T86" s="3">
        <v>3</v>
      </c>
      <c r="U86" t="str">
        <f>HYPERLINK(".\links\NR-LIGHT\TI_asb-146-NR-LIGHT.txt","RE46519p")</f>
        <v>RE46519p</v>
      </c>
      <c r="V86" t="str">
        <f>HYPERLINK("http://www.ncbi.nlm.nih.gov/sutils/blink.cgi?pid=39752609","5E-006")</f>
        <v>5E-006</v>
      </c>
      <c r="W86" t="str">
        <f>HYPERLINK(".\links\NR-LIGHT\TI_asb-146-NR-LIGHT.txt"," 10")</f>
        <v xml:space="preserve"> 10</v>
      </c>
      <c r="X86" t="str">
        <f>HYPERLINK("http://www.ncbi.nlm.nih.gov/protein/39752609","gi|39752609")</f>
        <v>gi|39752609</v>
      </c>
      <c r="Y86">
        <v>53.1</v>
      </c>
      <c r="Z86">
        <v>140</v>
      </c>
      <c r="AA86">
        <v>645</v>
      </c>
      <c r="AB86">
        <v>27</v>
      </c>
      <c r="AC86">
        <v>22</v>
      </c>
      <c r="AD86">
        <v>102</v>
      </c>
      <c r="AE86">
        <v>7</v>
      </c>
      <c r="AF86">
        <v>29</v>
      </c>
      <c r="AG86">
        <v>63</v>
      </c>
      <c r="AH86">
        <v>5</v>
      </c>
      <c r="AI86">
        <v>3</v>
      </c>
      <c r="AJ86" t="s">
        <v>53</v>
      </c>
      <c r="AK86" t="s">
        <v>54</v>
      </c>
      <c r="AL86" t="s">
        <v>143</v>
      </c>
      <c r="AM86" t="str">
        <f>HYPERLINK(".\links\SWISSP\TI_asb-146-SWISSP.txt","Peritrophin-48 OS=Lucilia cuprina PE=1 SV=1")</f>
        <v>Peritrophin-48 OS=Lucilia cuprina PE=1 SV=1</v>
      </c>
      <c r="AN86" s="19" t="str">
        <f>HYPERLINK("http://www.uniprot.org/uniprot/P91745","0.44")</f>
        <v>0.44</v>
      </c>
      <c r="AO86" t="str">
        <f>HYPERLINK(".\links\SWISSP\TI_asb-146-SWISSP.txt"," 10")</f>
        <v xml:space="preserve"> 10</v>
      </c>
      <c r="AP86" t="s">
        <v>1034</v>
      </c>
      <c r="AQ86">
        <v>34.700000000000003</v>
      </c>
      <c r="AR86">
        <v>119</v>
      </c>
      <c r="AS86">
        <v>375</v>
      </c>
      <c r="AT86">
        <v>26</v>
      </c>
      <c r="AU86">
        <v>32</v>
      </c>
      <c r="AV86">
        <v>88</v>
      </c>
      <c r="AW86">
        <v>19</v>
      </c>
      <c r="AX86">
        <v>241</v>
      </c>
      <c r="AY86">
        <v>48</v>
      </c>
      <c r="AZ86">
        <v>2</v>
      </c>
      <c r="BA86">
        <v>3</v>
      </c>
      <c r="BB86" t="s">
        <v>53</v>
      </c>
      <c r="BC86" t="s">
        <v>54</v>
      </c>
      <c r="BD86" t="s">
        <v>1035</v>
      </c>
      <c r="BE86" t="s">
        <v>1036</v>
      </c>
      <c r="BF86" t="s">
        <v>1037</v>
      </c>
      <c r="BG86" t="str">
        <f>HYPERLINK(".\links\PREV-RHOD-PEP\TI_asb-146-PREV-RHOD-PEP.txt","Contig17812_34")</f>
        <v>Contig17812_34</v>
      </c>
      <c r="BH86" s="7">
        <v>4E-50</v>
      </c>
      <c r="BI86" t="str">
        <f>HYPERLINK(".\links\PREV-RHOD-PEP\TI_asb-146-PREV-RHOD-PEP.txt"," 10")</f>
        <v xml:space="preserve"> 10</v>
      </c>
      <c r="BJ86" t="s">
        <v>1038</v>
      </c>
      <c r="BK86">
        <v>193</v>
      </c>
      <c r="BL86">
        <v>145</v>
      </c>
      <c r="BM86">
        <v>321</v>
      </c>
      <c r="BN86">
        <v>58</v>
      </c>
      <c r="BO86">
        <v>45</v>
      </c>
      <c r="BP86">
        <v>60</v>
      </c>
      <c r="BQ86">
        <v>0</v>
      </c>
      <c r="BR86">
        <v>19</v>
      </c>
      <c r="BS86">
        <v>48</v>
      </c>
      <c r="BT86">
        <v>3</v>
      </c>
      <c r="BU86" t="s">
        <v>54</v>
      </c>
      <c r="BV86" t="s">
        <v>1039</v>
      </c>
      <c r="BW86" t="s">
        <v>56</v>
      </c>
      <c r="BX86" t="str">
        <f>HYPERLINK(".\links\PREV-RHOD-CDS\TI_asb-146-PREV-RHOD-CDS.txt","Contig17812_34")</f>
        <v>Contig17812_34</v>
      </c>
      <c r="BY86" s="7">
        <v>8.0000000000000002E-8</v>
      </c>
      <c r="BZ86" t="s">
        <v>1038</v>
      </c>
      <c r="CA86">
        <v>58</v>
      </c>
      <c r="CB86">
        <v>100</v>
      </c>
      <c r="CC86">
        <v>966</v>
      </c>
      <c r="CD86">
        <v>82</v>
      </c>
      <c r="CE86">
        <v>10</v>
      </c>
      <c r="CF86">
        <v>18</v>
      </c>
      <c r="CG86">
        <v>0</v>
      </c>
      <c r="CH86">
        <v>715</v>
      </c>
      <c r="CI86">
        <v>339</v>
      </c>
      <c r="CJ86">
        <v>1</v>
      </c>
      <c r="CK86" t="s">
        <v>54</v>
      </c>
      <c r="CL86" t="s">
        <v>1040</v>
      </c>
      <c r="CM86">
        <f>HYPERLINK(".\links\GO\TI_asb-146-GO.txt",0.00004)</f>
        <v>4.0000000000000003E-5</v>
      </c>
      <c r="CN86" t="s">
        <v>1041</v>
      </c>
      <c r="CO86" t="s">
        <v>703</v>
      </c>
      <c r="CP86" t="s">
        <v>1042</v>
      </c>
      <c r="CQ86" t="s">
        <v>1043</v>
      </c>
      <c r="CR86" s="6">
        <v>1.9</v>
      </c>
      <c r="CS86" t="s">
        <v>56</v>
      </c>
      <c r="CT86" t="s">
        <v>56</v>
      </c>
      <c r="CU86" t="s">
        <v>56</v>
      </c>
      <c r="CV86" t="s">
        <v>56</v>
      </c>
      <c r="CW86" s="6" t="s">
        <v>56</v>
      </c>
      <c r="CX86" t="s">
        <v>56</v>
      </c>
      <c r="CY86" t="s">
        <v>56</v>
      </c>
      <c r="CZ86" t="s">
        <v>56</v>
      </c>
      <c r="DA86" t="s">
        <v>56</v>
      </c>
      <c r="DB86" s="6" t="s">
        <v>56</v>
      </c>
      <c r="DC86" t="str">
        <f>HYPERLINK(".\links\CDD\TI_asb-146-CDD.txt","ChtBD2")</f>
        <v>ChtBD2</v>
      </c>
      <c r="DD86" t="str">
        <f>HYPERLINK("http://www.ncbi.nlm.nih.gov/Structure/cdd/cddsrv.cgi?uid=smart00494&amp;version=v4.0","0.001")</f>
        <v>0.001</v>
      </c>
      <c r="DE86" t="s">
        <v>1044</v>
      </c>
      <c r="DF86" t="str">
        <f>HYPERLINK(".\links\PFAM\TI_asb-146-PFAM.txt","CBM_14")</f>
        <v>CBM_14</v>
      </c>
      <c r="DG86" t="str">
        <f>HYPERLINK("http://pfam.sanger.ac.uk/family?acc=PF01607","5E-004")</f>
        <v>5E-004</v>
      </c>
      <c r="DH86" t="str">
        <f>HYPERLINK(".\links\PRK\TI_asb-146-PRK.txt","NADH dehydrogenase subunit 2")</f>
        <v>NADH dehydrogenase subunit 2</v>
      </c>
      <c r="DI86" s="6">
        <v>8.9999999999999993E-3</v>
      </c>
      <c r="DJ86" s="6" t="str">
        <f>HYPERLINK(".\links\KOG\TI_asb-146-KOG.txt","Predicted acyltransferase")</f>
        <v>Predicted acyltransferase</v>
      </c>
      <c r="DK86" s="6" t="str">
        <f>HYPERLINK("http://www.ncbi.nlm.nih.gov/COG/grace/shokog.cgi?KOG3700","0.021")</f>
        <v>0.021</v>
      </c>
      <c r="DL86" s="6" t="s">
        <v>4337</v>
      </c>
      <c r="DM86" s="6" t="str">
        <f>HYPERLINK(".\links\KOG\TI_asb-146-KOG.txt","KOG3700")</f>
        <v>KOG3700</v>
      </c>
      <c r="DN86" t="str">
        <f>HYPERLINK(".\links\SMART\TI_asb-146-SMART.txt","ChtBD2")</f>
        <v>ChtBD2</v>
      </c>
      <c r="DO86" t="str">
        <f>HYPERLINK("http://smart.embl-heidelberg.de/smart/do_annotation.pl?DOMAIN=ChtBD2&amp;BLAST=DUMMY","7E-006")</f>
        <v>7E-006</v>
      </c>
      <c r="DP86" s="3" t="s">
        <v>56</v>
      </c>
      <c r="ED86" s="3" t="s">
        <v>56</v>
      </c>
    </row>
    <row r="87" spans="1:134">
      <c r="A87" t="str">
        <f>HYPERLINK(".\links\seq\TI_asb-147-seq.txt","TI_asb-147")</f>
        <v>TI_asb-147</v>
      </c>
      <c r="B87">
        <v>147</v>
      </c>
      <c r="C87" t="str">
        <f>HYPERLINK(".\links\tsa\TI_asb-147-tsa.txt","1")</f>
        <v>1</v>
      </c>
      <c r="D87">
        <v>1</v>
      </c>
      <c r="E87">
        <v>479</v>
      </c>
      <c r="F87">
        <v>445</v>
      </c>
      <c r="G87" t="str">
        <f>HYPERLINK(".\links\qual\TI_asb-147-qual.txt","39")</f>
        <v>39</v>
      </c>
      <c r="H87">
        <v>1</v>
      </c>
      <c r="I87">
        <v>0</v>
      </c>
      <c r="J87">
        <f t="shared" si="4"/>
        <v>1</v>
      </c>
      <c r="K87" s="6">
        <f t="shared" si="5"/>
        <v>1</v>
      </c>
      <c r="L87" s="6" t="s">
        <v>3868</v>
      </c>
      <c r="M87" s="6" t="s">
        <v>3869</v>
      </c>
      <c r="N87" s="6"/>
      <c r="O87" s="6"/>
      <c r="P87" s="6"/>
      <c r="Q87" s="3">
        <v>479</v>
      </c>
      <c r="R87" s="3">
        <v>159</v>
      </c>
      <c r="S87" s="6" t="s">
        <v>3566</v>
      </c>
      <c r="T87" s="3">
        <v>6</v>
      </c>
      <c r="U87" t="str">
        <f>HYPERLINK(".\links\NR-LIGHT\TI_asb-147-NR-LIGHT.txt","hypothetical protein TcasGA2_TC015145")</f>
        <v>hypothetical protein TcasGA2_TC015145</v>
      </c>
      <c r="V87" t="str">
        <f>HYPERLINK("http://www.ncbi.nlm.nih.gov/sutils/blink.cgi?pid=270008603","5.2")</f>
        <v>5.2</v>
      </c>
      <c r="W87" t="str">
        <f>HYPERLINK(".\links\NR-LIGHT\TI_asb-147-NR-LIGHT.txt"," 1")</f>
        <v xml:space="preserve"> 1</v>
      </c>
      <c r="X87" t="str">
        <f>HYPERLINK("http://www.ncbi.nlm.nih.gov/protein/270008603","gi|270008603")</f>
        <v>gi|270008603</v>
      </c>
      <c r="Y87">
        <v>32.299999999999997</v>
      </c>
      <c r="Z87">
        <v>31</v>
      </c>
      <c r="AA87">
        <v>235</v>
      </c>
      <c r="AB87">
        <v>48</v>
      </c>
      <c r="AC87">
        <v>13</v>
      </c>
      <c r="AD87">
        <v>16</v>
      </c>
      <c r="AE87">
        <v>0</v>
      </c>
      <c r="AF87">
        <v>129</v>
      </c>
      <c r="AG87">
        <v>89</v>
      </c>
      <c r="AH87">
        <v>1</v>
      </c>
      <c r="AI87">
        <v>-2</v>
      </c>
      <c r="AJ87" t="s">
        <v>53</v>
      </c>
      <c r="AK87" t="s">
        <v>64</v>
      </c>
      <c r="AL87" t="s">
        <v>79</v>
      </c>
      <c r="AM87" t="str">
        <f>HYPERLINK(".\links\SWISSP\TI_asb-147-SWISSP.txt","DNA ligase OS=Flavobacterium psychrophilum (strain JIP02/86 / ATCC 49511)")</f>
        <v>DNA ligase OS=Flavobacterium psychrophilum (strain JIP02/86 / ATCC 49511)</v>
      </c>
      <c r="AN87" s="19" t="str">
        <f>HYPERLINK("http://www.uniprot.org/uniprot/A6H0N9","8.6")</f>
        <v>8.6</v>
      </c>
      <c r="AO87" t="str">
        <f>HYPERLINK(".\links\SWISSP\TI_asb-147-SWISSP.txt"," 1")</f>
        <v xml:space="preserve"> 1</v>
      </c>
      <c r="AP87" t="s">
        <v>1045</v>
      </c>
      <c r="AQ87">
        <v>29.6</v>
      </c>
      <c r="AR87">
        <v>36</v>
      </c>
      <c r="AS87">
        <v>666</v>
      </c>
      <c r="AT87">
        <v>41</v>
      </c>
      <c r="AU87">
        <v>5</v>
      </c>
      <c r="AV87">
        <v>21</v>
      </c>
      <c r="AW87">
        <v>0</v>
      </c>
      <c r="AX87">
        <v>389</v>
      </c>
      <c r="AY87">
        <v>24</v>
      </c>
      <c r="AZ87">
        <v>1</v>
      </c>
      <c r="BA87">
        <v>3</v>
      </c>
      <c r="BB87" t="s">
        <v>53</v>
      </c>
      <c r="BC87" t="s">
        <v>54</v>
      </c>
      <c r="BD87" t="s">
        <v>1046</v>
      </c>
      <c r="BE87" t="s">
        <v>1047</v>
      </c>
      <c r="BF87" t="s">
        <v>1048</v>
      </c>
      <c r="BG87" t="str">
        <f>HYPERLINK(".\links\PREV-RHOD-PEP\TI_asb-147-PREV-RHOD-PEP.txt","Contig17881_78")</f>
        <v>Contig17881_78</v>
      </c>
      <c r="BH87" s="6">
        <v>0.38</v>
      </c>
      <c r="BI87" t="str">
        <f>HYPERLINK(".\links\PREV-RHOD-PEP\TI_asb-147-PREV-RHOD-PEP.txt"," 5")</f>
        <v xml:space="preserve"> 5</v>
      </c>
      <c r="BJ87" t="s">
        <v>1049</v>
      </c>
      <c r="BK87">
        <v>30.4</v>
      </c>
      <c r="BL87">
        <v>47</v>
      </c>
      <c r="BM87">
        <v>1573</v>
      </c>
      <c r="BN87">
        <v>36</v>
      </c>
      <c r="BO87">
        <v>3</v>
      </c>
      <c r="BP87">
        <v>30</v>
      </c>
      <c r="BQ87">
        <v>0</v>
      </c>
      <c r="BR87">
        <v>436</v>
      </c>
      <c r="BS87">
        <v>31</v>
      </c>
      <c r="BT87">
        <v>1</v>
      </c>
      <c r="BU87" t="s">
        <v>64</v>
      </c>
      <c r="BV87" t="s">
        <v>1050</v>
      </c>
      <c r="BW87" t="s">
        <v>56</v>
      </c>
      <c r="BX87" t="str">
        <f>HYPERLINK(".\links\PREV-RHOD-CDS\TI_asb-147-PREV-RHOD-CDS.txt","Contig18051_8")</f>
        <v>Contig18051_8</v>
      </c>
      <c r="BY87" s="6">
        <v>5.8999999999999997E-2</v>
      </c>
      <c r="BZ87" t="s">
        <v>1051</v>
      </c>
      <c r="CA87">
        <v>38.200000000000003</v>
      </c>
      <c r="CB87">
        <v>18</v>
      </c>
      <c r="CC87">
        <v>1056</v>
      </c>
      <c r="CD87">
        <v>100</v>
      </c>
      <c r="CE87">
        <v>2</v>
      </c>
      <c r="CF87">
        <v>0</v>
      </c>
      <c r="CG87">
        <v>0</v>
      </c>
      <c r="CH87">
        <v>603</v>
      </c>
      <c r="CI87">
        <v>247</v>
      </c>
      <c r="CJ87">
        <v>1</v>
      </c>
      <c r="CK87" t="s">
        <v>64</v>
      </c>
      <c r="CL87" t="s">
        <v>1052</v>
      </c>
      <c r="CM87">
        <f>HYPERLINK(".\links\GO\TI_asb-147-GO.txt",3.5)</f>
        <v>3.5</v>
      </c>
      <c r="CN87" t="s">
        <v>1053</v>
      </c>
      <c r="CO87" t="s">
        <v>129</v>
      </c>
      <c r="CP87" t="s">
        <v>151</v>
      </c>
      <c r="CQ87" t="s">
        <v>1054</v>
      </c>
      <c r="CR87">
        <v>3.5</v>
      </c>
      <c r="CS87" t="s">
        <v>1055</v>
      </c>
      <c r="CT87" t="s">
        <v>75</v>
      </c>
      <c r="CU87" t="s">
        <v>76</v>
      </c>
      <c r="CV87" t="s">
        <v>1056</v>
      </c>
      <c r="CW87">
        <v>3.5</v>
      </c>
      <c r="CX87" t="s">
        <v>1057</v>
      </c>
      <c r="CY87" t="s">
        <v>129</v>
      </c>
      <c r="CZ87" t="s">
        <v>151</v>
      </c>
      <c r="DA87" t="s">
        <v>1058</v>
      </c>
      <c r="DB87">
        <v>3.5</v>
      </c>
      <c r="DC87" t="s">
        <v>56</v>
      </c>
      <c r="DD87" t="s">
        <v>56</v>
      </c>
      <c r="DE87" t="s">
        <v>56</v>
      </c>
      <c r="DF87" t="str">
        <f>HYPERLINK(".\links\PFAM\TI_asb-147-PFAM.txt","7TMR-DISM_7TM")</f>
        <v>7TMR-DISM_7TM</v>
      </c>
      <c r="DG87" t="str">
        <f>HYPERLINK("http://pfam.sanger.ac.uk/family?acc=PF07695","0.069")</f>
        <v>0.069</v>
      </c>
      <c r="DH87" t="str">
        <f>HYPERLINK(".\links\PRK\TI_asb-147-PRK.txt","predicted protein")</f>
        <v>predicted protein</v>
      </c>
      <c r="DI87" s="6">
        <v>1.2E-2</v>
      </c>
      <c r="DJ87" s="6" t="s">
        <v>56</v>
      </c>
      <c r="DN87" t="str">
        <f>HYPERLINK(".\links\SMART\TI_asb-147-SMART.txt","eIF5C")</f>
        <v>eIF5C</v>
      </c>
      <c r="DO87" t="str">
        <f>HYPERLINK("http://smart.embl-heidelberg.de/smart/do_annotation.pl?DOMAIN=eIF5C&amp;BLAST=DUMMY","0.067")</f>
        <v>0.067</v>
      </c>
      <c r="DP87" s="3" t="s">
        <v>56</v>
      </c>
      <c r="ED87" s="3" t="s">
        <v>56</v>
      </c>
    </row>
    <row r="88" spans="1:134">
      <c r="A88" t="str">
        <f>HYPERLINK(".\links\seq\TI_asb-151-seq.txt","TI_asb-151")</f>
        <v>TI_asb-151</v>
      </c>
      <c r="B88">
        <v>151</v>
      </c>
      <c r="C88" t="str">
        <f>HYPERLINK(".\links\tsa\TI_asb-151-tsa.txt","6")</f>
        <v>6</v>
      </c>
      <c r="D88">
        <v>6</v>
      </c>
      <c r="E88">
        <v>712</v>
      </c>
      <c r="F88">
        <v>621</v>
      </c>
      <c r="G88" t="str">
        <f>HYPERLINK(".\links\qual\TI_asb-151-qual.txt","78")</f>
        <v>78</v>
      </c>
      <c r="H88">
        <v>1</v>
      </c>
      <c r="I88">
        <v>5</v>
      </c>
      <c r="J88">
        <f t="shared" si="4"/>
        <v>4</v>
      </c>
      <c r="K88" s="6">
        <f t="shared" si="5"/>
        <v>-4</v>
      </c>
      <c r="L88" s="6" t="s">
        <v>3862</v>
      </c>
      <c r="M88" s="6" t="s">
        <v>3863</v>
      </c>
      <c r="N88" s="6" t="s">
        <v>3864</v>
      </c>
      <c r="O88" s="7">
        <v>2E-41</v>
      </c>
      <c r="P88" s="6">
        <v>100</v>
      </c>
      <c r="Q88" s="3">
        <v>712</v>
      </c>
      <c r="R88" s="3">
        <v>393</v>
      </c>
      <c r="S88" s="3" t="s">
        <v>3567</v>
      </c>
      <c r="T88" s="3">
        <v>1</v>
      </c>
      <c r="U88" t="str">
        <f>HYPERLINK(".\links\NR-LIGHT\TI_asb-151-NR-LIGHT.txt","salivary secreted protein")</f>
        <v>salivary secreted protein</v>
      </c>
      <c r="V88" t="str">
        <f>HYPERLINK("http://www.ncbi.nlm.nih.gov/sutils/blink.cgi?pid=149689094","2E-041")</f>
        <v>2E-041</v>
      </c>
      <c r="W88" t="str">
        <f>HYPERLINK(".\links\NR-LIGHT\TI_asb-151-NR-LIGHT.txt"," 10")</f>
        <v xml:space="preserve"> 10</v>
      </c>
      <c r="X88" t="str">
        <f>HYPERLINK("http://www.ncbi.nlm.nih.gov/protein/149689094","gi|149689094")</f>
        <v>gi|149689094</v>
      </c>
      <c r="Y88">
        <v>171</v>
      </c>
      <c r="Z88">
        <v>129</v>
      </c>
      <c r="AA88">
        <v>129</v>
      </c>
      <c r="AB88">
        <v>65</v>
      </c>
      <c r="AC88">
        <v>100</v>
      </c>
      <c r="AD88">
        <v>44</v>
      </c>
      <c r="AE88">
        <v>1</v>
      </c>
      <c r="AF88">
        <v>1</v>
      </c>
      <c r="AG88">
        <v>151</v>
      </c>
      <c r="AH88">
        <v>1</v>
      </c>
      <c r="AI88">
        <v>1</v>
      </c>
      <c r="AJ88" t="s">
        <v>53</v>
      </c>
      <c r="AK88" t="s">
        <v>54</v>
      </c>
      <c r="AL88" t="s">
        <v>55</v>
      </c>
      <c r="AM88" t="str">
        <f>HYPERLINK(".\links\SWISSP\TI_asb-151-SWISSP.txt","Uncharacterized protein C27B12.07 OS=Schizosaccharomyces pombe GN=SPBC27B12.07")</f>
        <v>Uncharacterized protein C27B12.07 OS=Schizosaccharomyces pombe GN=SPBC27B12.07</v>
      </c>
      <c r="AN88" s="19" t="str">
        <f>HYPERLINK("http://www.uniprot.org/uniprot/O42997","1.1")</f>
        <v>1.1</v>
      </c>
      <c r="AO88" t="str">
        <f>HYPERLINK(".\links\SWISSP\TI_asb-151-SWISSP.txt"," 2")</f>
        <v xml:space="preserve"> 2</v>
      </c>
      <c r="AP88" t="s">
        <v>1063</v>
      </c>
      <c r="AQ88">
        <v>33.9</v>
      </c>
      <c r="AR88">
        <v>45</v>
      </c>
      <c r="AS88">
        <v>290</v>
      </c>
      <c r="AT88">
        <v>35</v>
      </c>
      <c r="AU88">
        <v>16</v>
      </c>
      <c r="AV88">
        <v>29</v>
      </c>
      <c r="AW88">
        <v>0</v>
      </c>
      <c r="AX88">
        <v>172</v>
      </c>
      <c r="AY88">
        <v>14</v>
      </c>
      <c r="AZ88">
        <v>1</v>
      </c>
      <c r="BA88">
        <v>-1</v>
      </c>
      <c r="BB88" t="s">
        <v>53</v>
      </c>
      <c r="BC88" t="s">
        <v>64</v>
      </c>
      <c r="BD88" t="s">
        <v>1064</v>
      </c>
      <c r="BE88" t="s">
        <v>1065</v>
      </c>
      <c r="BF88" t="s">
        <v>1066</v>
      </c>
      <c r="BG88" t="str">
        <f>HYPERLINK(".\links\PREV-RHOD-PEP\TI_asb-151-PREV-RHOD-PEP.txt","Contig17819_86")</f>
        <v>Contig17819_86</v>
      </c>
      <c r="BH88" s="7">
        <v>1.0000000000000001E-30</v>
      </c>
      <c r="BI88" t="str">
        <f>HYPERLINK(".\links\PREV-RHOD-PEP\TI_asb-151-PREV-RHOD-PEP.txt"," 10")</f>
        <v xml:space="preserve"> 10</v>
      </c>
      <c r="BJ88" t="s">
        <v>1067</v>
      </c>
      <c r="BK88">
        <v>129</v>
      </c>
      <c r="BL88">
        <v>129</v>
      </c>
      <c r="BM88">
        <v>126</v>
      </c>
      <c r="BN88">
        <v>52</v>
      </c>
      <c r="BO88">
        <v>102</v>
      </c>
      <c r="BP88">
        <v>61</v>
      </c>
      <c r="BQ88">
        <v>1</v>
      </c>
      <c r="BR88">
        <v>1</v>
      </c>
      <c r="BS88">
        <v>151</v>
      </c>
      <c r="BT88">
        <v>1</v>
      </c>
      <c r="BU88" t="s">
        <v>54</v>
      </c>
      <c r="BV88" t="s">
        <v>1068</v>
      </c>
      <c r="BW88" t="s">
        <v>56</v>
      </c>
      <c r="BX88" t="str">
        <f>HYPERLINK(".\links\PREV-RHOD-CDS\TI_asb-151-PREV-RHOD-CDS.txt","Contig17819_89")</f>
        <v>Contig17819_89</v>
      </c>
      <c r="BY88" s="7">
        <v>2E-8</v>
      </c>
      <c r="BZ88" t="s">
        <v>1069</v>
      </c>
      <c r="CA88">
        <v>60</v>
      </c>
      <c r="CB88">
        <v>211</v>
      </c>
      <c r="CC88">
        <v>384</v>
      </c>
      <c r="CD88">
        <v>87</v>
      </c>
      <c r="CE88">
        <v>55</v>
      </c>
      <c r="CF88">
        <v>7</v>
      </c>
      <c r="CG88">
        <v>0</v>
      </c>
      <c r="CH88">
        <v>127</v>
      </c>
      <c r="CI88">
        <v>283</v>
      </c>
      <c r="CJ88">
        <v>2</v>
      </c>
      <c r="CK88" t="s">
        <v>54</v>
      </c>
      <c r="CL88" t="s">
        <v>1070</v>
      </c>
      <c r="CM88">
        <f>HYPERLINK(".\links\GO\TI_asb-151-GO.txt",0.31)</f>
        <v>0.31</v>
      </c>
      <c r="CN88" t="s">
        <v>58</v>
      </c>
      <c r="CO88" t="s">
        <v>58</v>
      </c>
      <c r="CQ88" t="s">
        <v>59</v>
      </c>
      <c r="CR88" s="6">
        <v>0.31</v>
      </c>
      <c r="CS88" t="s">
        <v>241</v>
      </c>
      <c r="CT88" t="s">
        <v>75</v>
      </c>
      <c r="CU88" t="s">
        <v>76</v>
      </c>
      <c r="CV88" t="s">
        <v>242</v>
      </c>
      <c r="CW88" s="6">
        <v>0.31</v>
      </c>
      <c r="CX88" t="s">
        <v>62</v>
      </c>
      <c r="CY88" t="s">
        <v>58</v>
      </c>
      <c r="DA88" t="s">
        <v>63</v>
      </c>
      <c r="DB88" s="6">
        <v>0.31</v>
      </c>
      <c r="DC88" t="str">
        <f>HYPERLINK(".\links\CDD\TI_asb-151-CDD.txt","ND5")</f>
        <v>ND5</v>
      </c>
      <c r="DD88" t="str">
        <f>HYPERLINK("http://www.ncbi.nlm.nih.gov/Structure/cdd/cddsrv.cgi?uid=MTH00095&amp;version=v4.0","6E-009")</f>
        <v>6E-009</v>
      </c>
      <c r="DE88" t="s">
        <v>1071</v>
      </c>
      <c r="DF88" t="str">
        <f>HYPERLINK(".\links\PFAM\TI_asb-151-PFAM.txt","7TM_GPCR_Srz")</f>
        <v>7TM_GPCR_Srz</v>
      </c>
      <c r="DG88" t="str">
        <f>HYPERLINK("http://pfam.sanger.ac.uk/family?acc=PF10325","1E-007")</f>
        <v>1E-007</v>
      </c>
      <c r="DH88" t="str">
        <f>HYPERLINK(".\links\PRK\TI_asb-151-PRK.txt","ATP-dependent RNA helicase SrmB")</f>
        <v>ATP-dependent RNA helicase SrmB</v>
      </c>
      <c r="DI88" s="7">
        <v>4.0000000000000001E-8</v>
      </c>
      <c r="DJ88" s="6" t="str">
        <f>HYPERLINK(".\links\KOG\TI_asb-151-KOG.txt","CBF1-interacting corepressor CIR and related proteins")</f>
        <v>CBF1-interacting corepressor CIR and related proteins</v>
      </c>
      <c r="DK88" s="6" t="str">
        <f>HYPERLINK("http://www.ncbi.nlm.nih.gov/COG/grace/shokog.cgi?KOG3794","6E-006")</f>
        <v>6E-006</v>
      </c>
      <c r="DL88" s="6" t="s">
        <v>4343</v>
      </c>
      <c r="DM88" s="6" t="str">
        <f>HYPERLINK(".\links\KOG\TI_asb-151-KOG.txt","KOG3794")</f>
        <v>KOG3794</v>
      </c>
      <c r="DN88" t="str">
        <f>HYPERLINK(".\links\SMART\TI_asb-151-SMART.txt","TOPEUc")</f>
        <v>TOPEUc</v>
      </c>
      <c r="DO88" t="str">
        <f>HYPERLINK("http://smart.embl-heidelberg.de/smart/do_annotation.pl?DOMAIN=TOPEUc&amp;BLAST=DUMMY","7E-005")</f>
        <v>7E-005</v>
      </c>
      <c r="DP88" s="3" t="s">
        <v>56</v>
      </c>
      <c r="ED88" s="3" t="s">
        <v>56</v>
      </c>
    </row>
    <row r="89" spans="1:134">
      <c r="A89" t="str">
        <f>HYPERLINK(".\links\seq\TI_asb-152-seq.txt","TI_asb-152")</f>
        <v>TI_asb-152</v>
      </c>
      <c r="B89">
        <v>152</v>
      </c>
      <c r="C89" t="str">
        <f>HYPERLINK(".\links\tsa\TI_asb-152-tsa.txt","9")</f>
        <v>9</v>
      </c>
      <c r="D89">
        <v>9</v>
      </c>
      <c r="E89">
        <v>744</v>
      </c>
      <c r="G89" t="str">
        <f>HYPERLINK(".\links\qual\TI_asb-152-qual.txt","87")</f>
        <v>87</v>
      </c>
      <c r="H89">
        <v>0</v>
      </c>
      <c r="I89">
        <v>9</v>
      </c>
      <c r="J89">
        <f t="shared" si="4"/>
        <v>9</v>
      </c>
      <c r="K89" s="6">
        <f t="shared" si="5"/>
        <v>-9</v>
      </c>
      <c r="L89" s="6" t="s">
        <v>3943</v>
      </c>
      <c r="M89" s="6" t="s">
        <v>3912</v>
      </c>
      <c r="N89" s="6" t="s">
        <v>3867</v>
      </c>
      <c r="O89" s="6">
        <v>5.9999999999999997E-15</v>
      </c>
      <c r="P89" s="6">
        <v>65.400000000000006</v>
      </c>
      <c r="Q89" s="3">
        <v>744</v>
      </c>
      <c r="R89" s="3">
        <v>600</v>
      </c>
      <c r="S89" s="3" t="s">
        <v>3568</v>
      </c>
      <c r="T89" s="3">
        <v>3</v>
      </c>
      <c r="U89" t="str">
        <f>HYPERLINK(".\links\NR-LIGHT\TI_asb-152-NR-LIGHT.txt","hypothetical protein TcasGA2_TC011887")</f>
        <v>hypothetical protein TcasGA2_TC011887</v>
      </c>
      <c r="V89" t="str">
        <f>HYPERLINK("http://www.ncbi.nlm.nih.gov/sutils/blink.cgi?pid=270013300","6E-015")</f>
        <v>6E-015</v>
      </c>
      <c r="W89" t="str">
        <f>HYPERLINK(".\links\NR-LIGHT\TI_asb-152-NR-LIGHT.txt"," 10")</f>
        <v xml:space="preserve"> 10</v>
      </c>
      <c r="X89" t="str">
        <f>HYPERLINK("http://www.ncbi.nlm.nih.gov/protein/270013300","gi|270013300")</f>
        <v>gi|270013300</v>
      </c>
      <c r="Y89">
        <v>83.6</v>
      </c>
      <c r="Z89">
        <v>168</v>
      </c>
      <c r="AA89">
        <v>455</v>
      </c>
      <c r="AB89">
        <v>27</v>
      </c>
      <c r="AC89">
        <v>37</v>
      </c>
      <c r="AD89">
        <v>121</v>
      </c>
      <c r="AE89">
        <v>2</v>
      </c>
      <c r="AF89">
        <v>233</v>
      </c>
      <c r="AG89">
        <v>198</v>
      </c>
      <c r="AH89">
        <v>1</v>
      </c>
      <c r="AI89">
        <v>3</v>
      </c>
      <c r="AJ89" t="s">
        <v>53</v>
      </c>
      <c r="AK89" t="s">
        <v>54</v>
      </c>
      <c r="AL89" t="s">
        <v>79</v>
      </c>
      <c r="AM89" t="str">
        <f>HYPERLINK(".\links\SWISSP\TI_asb-152-SWISSP.txt","NMDA receptor-regulated protein 2 OS=Homo sapiens GN=NARG2 PE=1 SV=2")</f>
        <v>NMDA receptor-regulated protein 2 OS=Homo sapiens GN=NARG2 PE=1 SV=2</v>
      </c>
      <c r="AN89" s="19" t="str">
        <f>HYPERLINK("http://www.uniprot.org/uniprot/Q659A1","1E-007")</f>
        <v>1E-007</v>
      </c>
      <c r="AO89" t="str">
        <f>HYPERLINK(".\links\SWISSP\TI_asb-152-SWISSP.txt"," 10")</f>
        <v xml:space="preserve"> 10</v>
      </c>
      <c r="AP89" t="s">
        <v>1072</v>
      </c>
      <c r="AQ89">
        <v>57.4</v>
      </c>
      <c r="AR89">
        <v>138</v>
      </c>
      <c r="AS89">
        <v>982</v>
      </c>
      <c r="AT89">
        <v>23</v>
      </c>
      <c r="AU89">
        <v>14</v>
      </c>
      <c r="AV89">
        <v>105</v>
      </c>
      <c r="AW89">
        <v>2</v>
      </c>
      <c r="AX89">
        <v>738</v>
      </c>
      <c r="AY89">
        <v>249</v>
      </c>
      <c r="AZ89">
        <v>1</v>
      </c>
      <c r="BA89">
        <v>3</v>
      </c>
      <c r="BB89" t="s">
        <v>53</v>
      </c>
      <c r="BC89" t="s">
        <v>54</v>
      </c>
      <c r="BD89" t="s">
        <v>330</v>
      </c>
      <c r="BE89" t="s">
        <v>1073</v>
      </c>
      <c r="BF89" t="s">
        <v>1074</v>
      </c>
      <c r="BG89" t="str">
        <f>HYPERLINK(".\links\PREV-RHOD-PEP\TI_asb-152-PREV-RHOD-PEP.txt","Contig17567_10")</f>
        <v>Contig17567_10</v>
      </c>
      <c r="BH89" s="7">
        <v>1.9999999999999999E-81</v>
      </c>
      <c r="BI89" t="str">
        <f>HYPERLINK(".\links\PREV-RHOD-PEP\TI_asb-152-PREV-RHOD-PEP.txt"," 10")</f>
        <v xml:space="preserve"> 10</v>
      </c>
      <c r="BJ89" t="s">
        <v>1075</v>
      </c>
      <c r="BK89">
        <v>277</v>
      </c>
      <c r="BL89">
        <v>179</v>
      </c>
      <c r="BM89">
        <v>753</v>
      </c>
      <c r="BN89">
        <v>77</v>
      </c>
      <c r="BO89">
        <v>24</v>
      </c>
      <c r="BP89">
        <v>40</v>
      </c>
      <c r="BQ89">
        <v>0</v>
      </c>
      <c r="BR89">
        <v>492</v>
      </c>
      <c r="BS89">
        <v>141</v>
      </c>
      <c r="BT89">
        <v>2</v>
      </c>
      <c r="BU89" t="s">
        <v>54</v>
      </c>
      <c r="BV89" t="s">
        <v>1076</v>
      </c>
      <c r="BW89" t="s">
        <v>56</v>
      </c>
      <c r="BX89" t="str">
        <f>HYPERLINK(".\links\PREV-RHOD-CDS\TI_asb-152-PREV-RHOD-CDS.txt","Contig17567_10")</f>
        <v>Contig17567_10</v>
      </c>
      <c r="BY89" s="7">
        <v>9.0000000000000001E-76</v>
      </c>
      <c r="BZ89" t="s">
        <v>1075</v>
      </c>
      <c r="CA89">
        <v>283</v>
      </c>
      <c r="CB89">
        <v>637</v>
      </c>
      <c r="CC89">
        <v>2262</v>
      </c>
      <c r="CD89">
        <v>81</v>
      </c>
      <c r="CE89">
        <v>28</v>
      </c>
      <c r="CF89">
        <v>99</v>
      </c>
      <c r="CG89">
        <v>0</v>
      </c>
      <c r="CH89">
        <v>1474</v>
      </c>
      <c r="CI89">
        <v>141</v>
      </c>
      <c r="CJ89">
        <v>2</v>
      </c>
      <c r="CK89" t="s">
        <v>54</v>
      </c>
      <c r="CL89" t="s">
        <v>1077</v>
      </c>
      <c r="CM89">
        <f>HYPERLINK(".\links\GO\TI_asb-152-GO.txt",0.0000001)</f>
        <v>9.9999999999999995E-8</v>
      </c>
      <c r="CN89" t="s">
        <v>58</v>
      </c>
      <c r="CO89" t="s">
        <v>58</v>
      </c>
      <c r="CQ89" t="s">
        <v>59</v>
      </c>
      <c r="CR89" s="6">
        <v>2.1</v>
      </c>
      <c r="CS89" t="s">
        <v>91</v>
      </c>
      <c r="CT89" t="s">
        <v>75</v>
      </c>
      <c r="CU89" t="s">
        <v>92</v>
      </c>
      <c r="CV89" t="s">
        <v>93</v>
      </c>
      <c r="CW89" s="6">
        <v>2.1</v>
      </c>
      <c r="CX89" t="s">
        <v>62</v>
      </c>
      <c r="CY89" t="s">
        <v>58</v>
      </c>
      <c r="DA89" t="s">
        <v>63</v>
      </c>
      <c r="DB89" s="6">
        <v>2.1</v>
      </c>
      <c r="DC89" t="str">
        <f>HYPERLINK(".\links\CDD\TI_asb-152-CDD.txt","NARG2_C")</f>
        <v>NARG2_C</v>
      </c>
      <c r="DD89" t="str">
        <f>HYPERLINK("http://www.ncbi.nlm.nih.gov/Structure/cdd/cddsrv.cgi?uid=pfam10505&amp;version=v4.0","3E-014")</f>
        <v>3E-014</v>
      </c>
      <c r="DE89" t="s">
        <v>1078</v>
      </c>
      <c r="DF89" t="str">
        <f>HYPERLINK(".\links\PFAM\TI_asb-152-PFAM.txt","NARG2_C")</f>
        <v>NARG2_C</v>
      </c>
      <c r="DG89" t="str">
        <f>HYPERLINK("http://pfam.sanger.ac.uk/family?acc=PF10505","6E-015")</f>
        <v>6E-015</v>
      </c>
      <c r="DH89" t="s">
        <v>56</v>
      </c>
      <c r="DI89" s="6" t="s">
        <v>56</v>
      </c>
      <c r="DJ89" s="6" t="s">
        <v>56</v>
      </c>
      <c r="DN89" t="str">
        <f>HYPERLINK(".\links\SMART\TI_asb-152-SMART.txt","PSN")</f>
        <v>PSN</v>
      </c>
      <c r="DO89" t="str">
        <f>HYPERLINK("http://smart.embl-heidelberg.de/smart/do_annotation.pl?DOMAIN=PSN&amp;BLAST=DUMMY","2E-004")</f>
        <v>2E-004</v>
      </c>
      <c r="DP89" s="3" t="s">
        <v>56</v>
      </c>
      <c r="ED89" s="3" t="s">
        <v>56</v>
      </c>
    </row>
    <row r="90" spans="1:134">
      <c r="A90" t="str">
        <f>HYPERLINK(".\links\seq\TI_asb-153-seq.txt","TI_asb-153")</f>
        <v>TI_asb-153</v>
      </c>
      <c r="B90">
        <v>153</v>
      </c>
      <c r="C90" t="str">
        <f>HYPERLINK(".\links\tsa\TI_asb-153-tsa.txt","1")</f>
        <v>1</v>
      </c>
      <c r="D90">
        <v>1</v>
      </c>
      <c r="E90">
        <v>943</v>
      </c>
      <c r="F90">
        <v>913</v>
      </c>
      <c r="G90" t="str">
        <f>HYPERLINK(".\links\qual\TI_asb-153-qual.txt","31")</f>
        <v>31</v>
      </c>
      <c r="H90">
        <v>1</v>
      </c>
      <c r="I90">
        <v>0</v>
      </c>
      <c r="J90">
        <f t="shared" si="4"/>
        <v>1</v>
      </c>
      <c r="K90" s="6">
        <f t="shared" si="5"/>
        <v>1</v>
      </c>
      <c r="L90" s="6" t="s">
        <v>3944</v>
      </c>
      <c r="M90" s="6" t="s">
        <v>3871</v>
      </c>
      <c r="N90" s="6" t="s">
        <v>3872</v>
      </c>
      <c r="O90" s="7">
        <v>8.0000000000000006E-43</v>
      </c>
      <c r="P90" s="6">
        <v>73.099999999999994</v>
      </c>
      <c r="Q90" s="3">
        <v>943</v>
      </c>
      <c r="R90" s="3">
        <v>717</v>
      </c>
      <c r="S90" s="3" t="s">
        <v>3569</v>
      </c>
      <c r="T90" s="3">
        <v>3</v>
      </c>
      <c r="U90" t="str">
        <f>HYPERLINK(".\links\NR-LIGHT\TI_asb-153-NR-LIGHT.txt","Aquaporin AQPAe.a, putative")</f>
        <v>Aquaporin AQPAe.a, putative</v>
      </c>
      <c r="V90" t="str">
        <f>HYPERLINK("http://www.ncbi.nlm.nih.gov/sutils/blink.cgi?pid=242009228","3E-038")</f>
        <v>3E-038</v>
      </c>
      <c r="W90" t="str">
        <f>HYPERLINK(".\links\NR-LIGHT\TI_asb-153-NR-LIGHT.txt"," 10")</f>
        <v xml:space="preserve"> 10</v>
      </c>
      <c r="X90" t="str">
        <f>HYPERLINK("http://www.ncbi.nlm.nih.gov/protein/242009228","gi|242009228")</f>
        <v>gi|242009228</v>
      </c>
      <c r="Y90">
        <v>157</v>
      </c>
      <c r="Z90">
        <v>176</v>
      </c>
      <c r="AA90">
        <v>281</v>
      </c>
      <c r="AB90">
        <v>45</v>
      </c>
      <c r="AC90">
        <v>63</v>
      </c>
      <c r="AD90">
        <v>96</v>
      </c>
      <c r="AE90">
        <v>1</v>
      </c>
      <c r="AF90">
        <v>41</v>
      </c>
      <c r="AG90">
        <v>171</v>
      </c>
      <c r="AH90">
        <v>2</v>
      </c>
      <c r="AI90">
        <v>3</v>
      </c>
      <c r="AJ90" t="s">
        <v>65</v>
      </c>
      <c r="AK90" t="s">
        <v>54</v>
      </c>
      <c r="AL90" t="s">
        <v>141</v>
      </c>
      <c r="AM90" t="str">
        <f>HYPERLINK(".\links\SWISSP\TI_asb-153-SWISSP.txt","Aquaporin AQPcic OS=Cicadella viridis GN=AQP PE=1 SV=1")</f>
        <v>Aquaporin AQPcic OS=Cicadella viridis GN=AQP PE=1 SV=1</v>
      </c>
      <c r="AN90" s="19" t="str">
        <f>HYPERLINK("http://www.uniprot.org/uniprot/Q23808","4E-040")</f>
        <v>4E-040</v>
      </c>
      <c r="AO90" t="str">
        <f>HYPERLINK(".\links\SWISSP\TI_asb-153-SWISSP.txt"," 10")</f>
        <v xml:space="preserve"> 10</v>
      </c>
      <c r="AP90" t="s">
        <v>1079</v>
      </c>
      <c r="AQ90">
        <v>159</v>
      </c>
      <c r="AR90">
        <v>178</v>
      </c>
      <c r="AS90">
        <v>255</v>
      </c>
      <c r="AT90">
        <v>47</v>
      </c>
      <c r="AU90">
        <v>70</v>
      </c>
      <c r="AV90">
        <v>93</v>
      </c>
      <c r="AW90">
        <v>1</v>
      </c>
      <c r="AX90">
        <v>11</v>
      </c>
      <c r="AY90">
        <v>165</v>
      </c>
      <c r="AZ90">
        <v>2</v>
      </c>
      <c r="BA90">
        <v>3</v>
      </c>
      <c r="BB90" t="s">
        <v>65</v>
      </c>
      <c r="BC90" t="s">
        <v>54</v>
      </c>
      <c r="BD90" t="s">
        <v>1080</v>
      </c>
      <c r="BE90" t="s">
        <v>1081</v>
      </c>
      <c r="BF90" t="s">
        <v>1082</v>
      </c>
      <c r="BG90" t="str">
        <f>HYPERLINK(".\links\PREV-RHOD-PEP\TI_asb-153-PREV-RHOD-PEP.txt","Contig16870_3")</f>
        <v>Contig16870_3</v>
      </c>
      <c r="BH90" s="7">
        <v>8.0000000000000003E-89</v>
      </c>
      <c r="BI90" t="str">
        <f>HYPERLINK(".\links\PREV-RHOD-PEP\TI_asb-153-PREV-RHOD-PEP.txt"," 10")</f>
        <v xml:space="preserve"> 10</v>
      </c>
      <c r="BJ90" t="s">
        <v>1083</v>
      </c>
      <c r="BK90">
        <v>323</v>
      </c>
      <c r="BL90">
        <v>209</v>
      </c>
      <c r="BM90">
        <v>245</v>
      </c>
      <c r="BN90">
        <v>78</v>
      </c>
      <c r="BO90">
        <v>85</v>
      </c>
      <c r="BP90">
        <v>44</v>
      </c>
      <c r="BQ90">
        <v>0</v>
      </c>
      <c r="BR90">
        <v>4</v>
      </c>
      <c r="BS90">
        <v>159</v>
      </c>
      <c r="BT90">
        <v>1</v>
      </c>
      <c r="BU90" t="s">
        <v>54</v>
      </c>
      <c r="BV90" t="s">
        <v>1084</v>
      </c>
      <c r="BW90" t="s">
        <v>56</v>
      </c>
      <c r="BX90" t="str">
        <f>HYPERLINK(".\links\PREV-RHOD-CDS\TI_asb-153-PREV-RHOD-CDS.txt","Contig16870_3")</f>
        <v>Contig16870_3</v>
      </c>
      <c r="BY90" s="7">
        <v>1E-108</v>
      </c>
      <c r="BZ90" t="s">
        <v>1083</v>
      </c>
      <c r="CA90">
        <v>392</v>
      </c>
      <c r="CB90">
        <v>541</v>
      </c>
      <c r="CC90">
        <v>738</v>
      </c>
      <c r="CD90">
        <v>84</v>
      </c>
      <c r="CE90">
        <v>73</v>
      </c>
      <c r="CF90">
        <v>86</v>
      </c>
      <c r="CG90">
        <v>0</v>
      </c>
      <c r="CH90">
        <v>13</v>
      </c>
      <c r="CI90">
        <v>162</v>
      </c>
      <c r="CJ90">
        <v>1</v>
      </c>
      <c r="CK90" t="s">
        <v>54</v>
      </c>
      <c r="CL90" t="s">
        <v>1085</v>
      </c>
      <c r="CM90">
        <f>HYPERLINK(".\links\GO\TI_asb-153-GO.txt",3E-29)</f>
        <v>3.0000000000000003E-29</v>
      </c>
      <c r="CN90" t="s">
        <v>1086</v>
      </c>
      <c r="CO90" t="s">
        <v>88</v>
      </c>
      <c r="CP90" t="s">
        <v>89</v>
      </c>
      <c r="CQ90" t="s">
        <v>1087</v>
      </c>
      <c r="CR90" s="7">
        <v>3.0000000000000003E-29</v>
      </c>
      <c r="CS90" t="s">
        <v>91</v>
      </c>
      <c r="CT90" t="s">
        <v>75</v>
      </c>
      <c r="CU90" t="s">
        <v>92</v>
      </c>
      <c r="CV90" t="s">
        <v>93</v>
      </c>
      <c r="CW90" s="7">
        <v>3.0000000000000003E-29</v>
      </c>
      <c r="CX90" t="s">
        <v>1088</v>
      </c>
      <c r="CY90" t="s">
        <v>88</v>
      </c>
      <c r="CZ90" t="s">
        <v>89</v>
      </c>
      <c r="DA90" t="s">
        <v>1089</v>
      </c>
      <c r="DB90" s="7">
        <v>3.0000000000000003E-29</v>
      </c>
      <c r="DC90" t="str">
        <f>HYPERLINK(".\links\CDD\TI_asb-153-CDD.txt","MIP")</f>
        <v>MIP</v>
      </c>
      <c r="DD90" t="str">
        <f>HYPERLINK("http://www.ncbi.nlm.nih.gov/Structure/cdd/cddsrv.cgi?uid=pfam00230&amp;version=v4.0","4E-045")</f>
        <v>4E-045</v>
      </c>
      <c r="DE90" t="s">
        <v>1090</v>
      </c>
      <c r="DF90" t="str">
        <f>HYPERLINK(".\links\PFAM\TI_asb-153-PFAM.txt","MIP")</f>
        <v>MIP</v>
      </c>
      <c r="DG90" t="str">
        <f>HYPERLINK("http://pfam.sanger.ac.uk/family?acc=PF00230","8E-046")</f>
        <v>8E-046</v>
      </c>
      <c r="DH90" t="str">
        <f>HYPERLINK(".\links\PRK\TI_asb-153-PRK.txt","aquaporin Z")</f>
        <v>aquaporin Z</v>
      </c>
      <c r="DI90" s="7">
        <v>6.9999999999999997E-26</v>
      </c>
      <c r="DJ90" s="6" t="str">
        <f>HYPERLINK(".\links\KOG\TI_asb-153-KOG.txt","Aquaporin (major intrinsic protein family)")</f>
        <v>Aquaporin (major intrinsic protein family)</v>
      </c>
      <c r="DK90" s="6" t="str">
        <f>HYPERLINK("http://www.ncbi.nlm.nih.gov/COG/grace/shokog.cgi?KOG0223","8E-043")</f>
        <v>8E-043</v>
      </c>
      <c r="DL90" s="6" t="s">
        <v>4341</v>
      </c>
      <c r="DM90" s="6" t="str">
        <f>HYPERLINK(".\links\KOG\TI_asb-153-KOG.txt","KOG0223")</f>
        <v>KOG0223</v>
      </c>
      <c r="DN90" t="str">
        <f>HYPERLINK(".\links\SMART\TI_asb-153-SMART.txt","RINGv")</f>
        <v>RINGv</v>
      </c>
      <c r="DO90" t="str">
        <f>HYPERLINK("http://smart.embl-heidelberg.de/smart/do_annotation.pl?DOMAIN=RINGv&amp;BLAST=DUMMY","0.020")</f>
        <v>0.020</v>
      </c>
      <c r="DP90" s="3" t="s">
        <v>56</v>
      </c>
      <c r="ED90" s="3" t="s">
        <v>56</v>
      </c>
    </row>
    <row r="91" spans="1:134">
      <c r="A91" t="str">
        <f>HYPERLINK(".\links\seq\TI_asb-156-seq.txt","TI_asb-156")</f>
        <v>TI_asb-156</v>
      </c>
      <c r="B91">
        <v>156</v>
      </c>
      <c r="C91" t="str">
        <f>HYPERLINK(".\links\tsa\TI_asb-156-tsa.txt","1")</f>
        <v>1</v>
      </c>
      <c r="D91">
        <v>1</v>
      </c>
      <c r="E91">
        <v>190</v>
      </c>
      <c r="G91" t="str">
        <f>HYPERLINK(".\links\qual\TI_asb-156-qual.txt","24")</f>
        <v>24</v>
      </c>
      <c r="H91">
        <v>1</v>
      </c>
      <c r="I91">
        <v>0</v>
      </c>
      <c r="J91">
        <f t="shared" si="4"/>
        <v>1</v>
      </c>
      <c r="K91" s="6">
        <f t="shared" si="5"/>
        <v>1</v>
      </c>
      <c r="L91" s="6" t="s">
        <v>3868</v>
      </c>
      <c r="M91" s="6" t="s">
        <v>3869</v>
      </c>
      <c r="N91" s="6"/>
      <c r="O91" s="6"/>
      <c r="P91" s="6"/>
      <c r="Q91" s="3">
        <v>190</v>
      </c>
      <c r="R91" s="3">
        <v>147</v>
      </c>
      <c r="S91" s="3" t="s">
        <v>3570</v>
      </c>
      <c r="T91" s="3">
        <v>2</v>
      </c>
      <c r="U91" t="str">
        <f>HYPERLINK(".\links\NR-LIGHT\TI_asb-156-NR-LIGHT.txt","short trialysin 1")</f>
        <v>short trialysin 1</v>
      </c>
      <c r="V91" t="str">
        <f>HYPERLINK("http://www.ncbi.nlm.nih.gov/sutils/blink.cgi?pid=149689036","1E-007")</f>
        <v>1E-007</v>
      </c>
      <c r="W91" t="str">
        <f>HYPERLINK(".\links\NR-LIGHT\TI_asb-156-NR-LIGHT.txt"," 5")</f>
        <v xml:space="preserve"> 5</v>
      </c>
      <c r="X91" t="str">
        <f>HYPERLINK("http://www.ncbi.nlm.nih.gov/protein/149689036","gi|149689036")</f>
        <v>gi|149689036</v>
      </c>
      <c r="Y91">
        <v>57.8</v>
      </c>
      <c r="Z91">
        <v>49</v>
      </c>
      <c r="AA91">
        <v>76</v>
      </c>
      <c r="AB91">
        <v>63</v>
      </c>
      <c r="AC91">
        <v>64</v>
      </c>
      <c r="AD91">
        <v>18</v>
      </c>
      <c r="AE91">
        <v>0</v>
      </c>
      <c r="AF91">
        <v>28</v>
      </c>
      <c r="AG91">
        <v>2</v>
      </c>
      <c r="AH91">
        <v>1</v>
      </c>
      <c r="AI91">
        <v>2</v>
      </c>
      <c r="AJ91" t="s">
        <v>53</v>
      </c>
      <c r="AK91" t="s">
        <v>54</v>
      </c>
      <c r="AL91" t="s">
        <v>55</v>
      </c>
      <c r="AM91" t="s">
        <v>56</v>
      </c>
      <c r="AN91" s="19" t="s">
        <v>56</v>
      </c>
      <c r="AO91" t="s">
        <v>56</v>
      </c>
      <c r="AP91" t="s">
        <v>56</v>
      </c>
      <c r="AQ91" t="s">
        <v>56</v>
      </c>
      <c r="AR91" t="s">
        <v>56</v>
      </c>
      <c r="AS91" t="s">
        <v>56</v>
      </c>
      <c r="AT91" t="s">
        <v>56</v>
      </c>
      <c r="AU91" t="s">
        <v>56</v>
      </c>
      <c r="AV91" t="s">
        <v>56</v>
      </c>
      <c r="AW91" t="s">
        <v>56</v>
      </c>
      <c r="AX91" t="s">
        <v>56</v>
      </c>
      <c r="AY91" t="s">
        <v>56</v>
      </c>
      <c r="AZ91" t="s">
        <v>56</v>
      </c>
      <c r="BA91" t="s">
        <v>56</v>
      </c>
      <c r="BB91" t="s">
        <v>56</v>
      </c>
      <c r="BC91" t="s">
        <v>56</v>
      </c>
      <c r="BD91" t="s">
        <v>56</v>
      </c>
      <c r="BE91" t="s">
        <v>56</v>
      </c>
      <c r="BF91" t="s">
        <v>56</v>
      </c>
      <c r="BG91" t="s">
        <v>56</v>
      </c>
      <c r="BH91" s="6" t="s">
        <v>56</v>
      </c>
      <c r="BI91" t="s">
        <v>56</v>
      </c>
      <c r="BJ91" t="s">
        <v>56</v>
      </c>
      <c r="BK91" t="s">
        <v>56</v>
      </c>
      <c r="BL91" t="s">
        <v>56</v>
      </c>
      <c r="BM91" t="s">
        <v>56</v>
      </c>
      <c r="BN91" t="s">
        <v>56</v>
      </c>
      <c r="BO91" t="s">
        <v>56</v>
      </c>
      <c r="BP91" t="s">
        <v>56</v>
      </c>
      <c r="BQ91" t="s">
        <v>56</v>
      </c>
      <c r="BR91" t="s">
        <v>56</v>
      </c>
      <c r="BS91" t="s">
        <v>56</v>
      </c>
      <c r="BT91" t="s">
        <v>56</v>
      </c>
      <c r="BU91" t="s">
        <v>56</v>
      </c>
      <c r="BV91" t="s">
        <v>56</v>
      </c>
      <c r="BW91" t="s">
        <v>56</v>
      </c>
      <c r="BX91" t="str">
        <f>HYPERLINK(".\links\PREV-RHOD-CDS\TI_asb-156-PREV-RHOD-CDS.txt","Contig3414_1")</f>
        <v>Contig3414_1</v>
      </c>
      <c r="BY91" s="6">
        <v>8.7999999999999995E-2</v>
      </c>
      <c r="BZ91" t="s">
        <v>1091</v>
      </c>
      <c r="CA91">
        <v>36.200000000000003</v>
      </c>
      <c r="CB91">
        <v>17</v>
      </c>
      <c r="CC91">
        <v>105</v>
      </c>
      <c r="CD91">
        <v>100</v>
      </c>
      <c r="CE91">
        <v>17</v>
      </c>
      <c r="CF91">
        <v>0</v>
      </c>
      <c r="CG91">
        <v>0</v>
      </c>
      <c r="CH91">
        <v>75</v>
      </c>
      <c r="CI91">
        <v>129</v>
      </c>
      <c r="CJ91">
        <v>1</v>
      </c>
      <c r="CK91" t="s">
        <v>64</v>
      </c>
      <c r="CL91" t="s">
        <v>56</v>
      </c>
      <c r="CM91" t="s">
        <v>56</v>
      </c>
      <c r="CN91" t="s">
        <v>56</v>
      </c>
      <c r="CO91" t="s">
        <v>56</v>
      </c>
      <c r="CP91" t="s">
        <v>56</v>
      </c>
      <c r="CQ91" t="s">
        <v>56</v>
      </c>
      <c r="CR91" s="6" t="s">
        <v>56</v>
      </c>
      <c r="CS91" t="s">
        <v>56</v>
      </c>
      <c r="CT91" t="s">
        <v>56</v>
      </c>
      <c r="CU91" t="s">
        <v>56</v>
      </c>
      <c r="CV91" t="s">
        <v>56</v>
      </c>
      <c r="CW91" s="6" t="s">
        <v>56</v>
      </c>
      <c r="CX91" t="s">
        <v>56</v>
      </c>
      <c r="CY91" t="s">
        <v>56</v>
      </c>
      <c r="CZ91" t="s">
        <v>56</v>
      </c>
      <c r="DA91" t="s">
        <v>56</v>
      </c>
      <c r="DB91" s="6" t="s">
        <v>56</v>
      </c>
      <c r="DC91" t="str">
        <f>HYPERLINK(".\links\CDD\TI_asb-156-CDD.txt","ND2")</f>
        <v>ND2</v>
      </c>
      <c r="DD91" t="str">
        <f>HYPERLINK("http://www.ncbi.nlm.nih.gov/Structure/cdd/cddsrv.cgi?uid=MTH00160&amp;version=v4.0","0.082")</f>
        <v>0.082</v>
      </c>
      <c r="DE91" t="s">
        <v>1092</v>
      </c>
      <c r="DF91" t="str">
        <f>HYPERLINK(".\links\PFAM\TI_asb-156-PFAM.txt","DUF1157")</f>
        <v>DUF1157</v>
      </c>
      <c r="DG91" t="str">
        <f>HYPERLINK("http://pfam.sanger.ac.uk/family?acc=PF06636","0.032")</f>
        <v>0.032</v>
      </c>
      <c r="DH91" t="str">
        <f>HYPERLINK(".\links\PRK\TI_asb-156-PRK.txt","NADH dehydrogenase subunit 2")</f>
        <v>NADH dehydrogenase subunit 2</v>
      </c>
      <c r="DI91" s="6">
        <v>4.5999999999999999E-2</v>
      </c>
      <c r="DJ91" s="6" t="s">
        <v>56</v>
      </c>
      <c r="DN91" t="s">
        <v>56</v>
      </c>
      <c r="DO91" t="s">
        <v>56</v>
      </c>
      <c r="DP91" s="3" t="s">
        <v>56</v>
      </c>
      <c r="ED91" s="3" t="s">
        <v>56</v>
      </c>
    </row>
    <row r="92" spans="1:134">
      <c r="A92" t="str">
        <f>HYPERLINK(".\links\seq\TI_asb-158-seq.txt","TI_asb-158")</f>
        <v>TI_asb-158</v>
      </c>
      <c r="B92">
        <v>158</v>
      </c>
      <c r="C92" t="str">
        <f>HYPERLINK(".\links\tsa\TI_asb-158-tsa.txt","1")</f>
        <v>1</v>
      </c>
      <c r="D92">
        <v>1</v>
      </c>
      <c r="E92">
        <v>280</v>
      </c>
      <c r="F92">
        <v>254</v>
      </c>
      <c r="G92" t="str">
        <f>HYPERLINK(".\links\qual\TI_asb-158-qual.txt","40")</f>
        <v>40</v>
      </c>
      <c r="H92">
        <v>1</v>
      </c>
      <c r="I92">
        <v>0</v>
      </c>
      <c r="J92">
        <f t="shared" si="4"/>
        <v>1</v>
      </c>
      <c r="K92" s="6">
        <f t="shared" si="5"/>
        <v>1</v>
      </c>
      <c r="L92" s="6" t="s">
        <v>3868</v>
      </c>
      <c r="M92" s="6" t="s">
        <v>3869</v>
      </c>
      <c r="N92" s="6"/>
      <c r="O92" s="6"/>
      <c r="P92" s="6"/>
      <c r="Q92" s="3">
        <v>280</v>
      </c>
      <c r="R92" s="3">
        <v>180</v>
      </c>
      <c r="S92" s="6" t="s">
        <v>3571</v>
      </c>
      <c r="T92" s="3">
        <v>5</v>
      </c>
      <c r="U92" t="str">
        <f>HYPERLINK(".\links\NR-LIGHT\TI_asb-158-NR-LIGHT.txt","hu li tai shao")</f>
        <v>hu li tai shao</v>
      </c>
      <c r="V92" t="str">
        <f>HYPERLINK("http://www.ncbi.nlm.nih.gov/sutils/blink.cgi?pid=270002882","1E-006")</f>
        <v>1E-006</v>
      </c>
      <c r="W92" t="str">
        <f>HYPERLINK(".\links\NR-LIGHT\TI_asb-158-NR-LIGHT.txt"," 10")</f>
        <v xml:space="preserve"> 10</v>
      </c>
      <c r="X92" t="str">
        <f>HYPERLINK("http://www.ncbi.nlm.nih.gov/protein/270002882","gi|270002882")</f>
        <v>gi|270002882</v>
      </c>
      <c r="Y92">
        <v>53.9</v>
      </c>
      <c r="Z92">
        <v>39</v>
      </c>
      <c r="AA92">
        <v>1367</v>
      </c>
      <c r="AB92">
        <v>56</v>
      </c>
      <c r="AC92">
        <v>3</v>
      </c>
      <c r="AD92">
        <v>17</v>
      </c>
      <c r="AE92">
        <v>0</v>
      </c>
      <c r="AF92">
        <v>1</v>
      </c>
      <c r="AG92">
        <v>139</v>
      </c>
      <c r="AH92">
        <v>1</v>
      </c>
      <c r="AI92">
        <v>1</v>
      </c>
      <c r="AJ92" t="s">
        <v>53</v>
      </c>
      <c r="AK92" t="s">
        <v>54</v>
      </c>
      <c r="AL92" t="s">
        <v>79</v>
      </c>
      <c r="AM92" t="str">
        <f>HYPERLINK(".\links\SWISSP\TI_asb-158-SWISSP.txt","Protein hu-li tai shao OS=Drosophila melanogaster GN=hts PE=1 SV=2")</f>
        <v>Protein hu-li tai shao OS=Drosophila melanogaster GN=hts PE=1 SV=2</v>
      </c>
      <c r="AN92" s="19" t="str">
        <f>HYPERLINK("http://www.uniprot.org/uniprot/Q02645","9E-004")</f>
        <v>9E-004</v>
      </c>
      <c r="AO92" t="str">
        <f>HYPERLINK(".\links\SWISSP\TI_asb-158-SWISSP.txt"," 3")</f>
        <v xml:space="preserve"> 3</v>
      </c>
      <c r="AP92" t="s">
        <v>1093</v>
      </c>
      <c r="AQ92">
        <v>42.4</v>
      </c>
      <c r="AR92">
        <v>35</v>
      </c>
      <c r="AS92">
        <v>1156</v>
      </c>
      <c r="AT92">
        <v>54</v>
      </c>
      <c r="AU92">
        <v>3</v>
      </c>
      <c r="AV92">
        <v>16</v>
      </c>
      <c r="AW92">
        <v>0</v>
      </c>
      <c r="AX92">
        <v>2</v>
      </c>
      <c r="AY92">
        <v>151</v>
      </c>
      <c r="AZ92">
        <v>1</v>
      </c>
      <c r="BA92">
        <v>1</v>
      </c>
      <c r="BB92" t="s">
        <v>53</v>
      </c>
      <c r="BC92" t="s">
        <v>54</v>
      </c>
      <c r="BD92" t="s">
        <v>143</v>
      </c>
      <c r="BE92" t="s">
        <v>1094</v>
      </c>
      <c r="BF92" t="s">
        <v>1095</v>
      </c>
      <c r="BG92" t="str">
        <f>HYPERLINK(".\links\PREV-RHOD-PEP\TI_asb-158-PREV-RHOD-PEP.txt","Contig17403_16")</f>
        <v>Contig17403_16</v>
      </c>
      <c r="BH92" s="7">
        <v>3.9999999999999999E-16</v>
      </c>
      <c r="BI92" t="str">
        <f>HYPERLINK(".\links\PREV-RHOD-PEP\TI_asb-158-PREV-RHOD-PEP.txt"," 5")</f>
        <v xml:space="preserve"> 5</v>
      </c>
      <c r="BJ92" t="s">
        <v>1096</v>
      </c>
      <c r="BK92">
        <v>79.7</v>
      </c>
      <c r="BL92">
        <v>39</v>
      </c>
      <c r="BM92">
        <v>1686</v>
      </c>
      <c r="BN92">
        <v>92</v>
      </c>
      <c r="BO92">
        <v>2</v>
      </c>
      <c r="BP92">
        <v>3</v>
      </c>
      <c r="BQ92">
        <v>0</v>
      </c>
      <c r="BR92">
        <v>1</v>
      </c>
      <c r="BS92">
        <v>139</v>
      </c>
      <c r="BT92">
        <v>1</v>
      </c>
      <c r="BU92" t="s">
        <v>54</v>
      </c>
      <c r="BV92" t="s">
        <v>1097</v>
      </c>
      <c r="BW92" t="s">
        <v>56</v>
      </c>
      <c r="BX92" t="str">
        <f>HYPERLINK(".\links\PREV-RHOD-CDS\TI_asb-158-PREV-RHOD-CDS.txt","Contig17403_16")</f>
        <v>Contig17403_16</v>
      </c>
      <c r="BY92" s="7">
        <v>3.9999999999999999E-45</v>
      </c>
      <c r="BZ92" t="s">
        <v>1096</v>
      </c>
      <c r="CA92">
        <v>180</v>
      </c>
      <c r="CB92">
        <v>114</v>
      </c>
      <c r="CC92">
        <v>5061</v>
      </c>
      <c r="CD92">
        <v>94</v>
      </c>
      <c r="CE92">
        <v>2</v>
      </c>
      <c r="CF92">
        <v>6</v>
      </c>
      <c r="CG92">
        <v>0</v>
      </c>
      <c r="CH92">
        <v>1</v>
      </c>
      <c r="CI92">
        <v>139</v>
      </c>
      <c r="CJ92">
        <v>1</v>
      </c>
      <c r="CK92" t="s">
        <v>54</v>
      </c>
      <c r="CL92" t="s">
        <v>1098</v>
      </c>
      <c r="CM92">
        <f>HYPERLINK(".\links\GO\TI_asb-158-GO.txt",0.0002)</f>
        <v>2.0000000000000001E-4</v>
      </c>
      <c r="CN92" t="s">
        <v>474</v>
      </c>
      <c r="CO92" t="s">
        <v>185</v>
      </c>
      <c r="CP92" t="s">
        <v>186</v>
      </c>
      <c r="CQ92" t="s">
        <v>475</v>
      </c>
      <c r="CR92" s="6">
        <v>2.0000000000000001E-4</v>
      </c>
      <c r="CS92" t="s">
        <v>1099</v>
      </c>
      <c r="CT92" t="s">
        <v>75</v>
      </c>
      <c r="CU92" t="s">
        <v>76</v>
      </c>
      <c r="CV92" t="s">
        <v>1100</v>
      </c>
      <c r="CW92" s="6">
        <v>2.0000000000000001E-4</v>
      </c>
      <c r="CX92" t="s">
        <v>1101</v>
      </c>
      <c r="CY92" t="s">
        <v>185</v>
      </c>
      <c r="CZ92" t="s">
        <v>186</v>
      </c>
      <c r="DA92" t="s">
        <v>1102</v>
      </c>
      <c r="DB92" s="6">
        <v>2.0000000000000001E-4</v>
      </c>
      <c r="DC92" t="str">
        <f>HYPERLINK(".\links\CDD\TI_asb-158-CDD.txt","PRK06849")</f>
        <v>PRK06849</v>
      </c>
      <c r="DD92" t="str">
        <f>HYPERLINK("http://www.ncbi.nlm.nih.gov/Structure/cdd/cddsrv.cgi?uid=PRK06849&amp;version=v4.0","0.065")</f>
        <v>0.065</v>
      </c>
      <c r="DE92" t="s">
        <v>1103</v>
      </c>
      <c r="DF92" t="str">
        <f>HYPERLINK(".\links\PFAM\TI_asb-158-PFAM.txt","RNA_polI_A34")</f>
        <v>RNA_polI_A34</v>
      </c>
      <c r="DG92" t="str">
        <f>HYPERLINK("http://pfam.sanger.ac.uk/family?acc=PF08208","0.002")</f>
        <v>0.002</v>
      </c>
      <c r="DH92" t="str">
        <f>HYPERLINK(".\links\PRK\TI_asb-158-PRK.txt","NADH dehydrogenase subunit 5")</f>
        <v>NADH dehydrogenase subunit 5</v>
      </c>
      <c r="DI92" s="6">
        <v>1.7000000000000001E-2</v>
      </c>
      <c r="DJ92" s="6" t="str">
        <f>HYPERLINK(".\links\KOG\TI_asb-158-KOG.txt","Cytoskeletal protein Adducin")</f>
        <v>Cytoskeletal protein Adducin</v>
      </c>
      <c r="DK92" s="6" t="str">
        <f>HYPERLINK("http://www.ncbi.nlm.nih.gov/COG/grace/shokog.cgi?KOG3699","0.011")</f>
        <v>0.011</v>
      </c>
      <c r="DL92" s="6" t="s">
        <v>4353</v>
      </c>
      <c r="DM92" s="6" t="str">
        <f>HYPERLINK(".\links\KOG\TI_asb-158-KOG.txt","KOG3699")</f>
        <v>KOG3699</v>
      </c>
      <c r="DN92" t="str">
        <f>HYPERLINK(".\links\SMART\TI_asb-158-SMART.txt","CLb")</f>
        <v>CLb</v>
      </c>
      <c r="DO92" t="str">
        <f>HYPERLINK("http://smart.embl-heidelberg.de/smart/do_annotation.pl?DOMAIN=CLb&amp;BLAST=DUMMY","0.073")</f>
        <v>0.073</v>
      </c>
      <c r="DP92" s="3" t="s">
        <v>56</v>
      </c>
      <c r="ED92" s="3" t="s">
        <v>56</v>
      </c>
    </row>
    <row r="93" spans="1:134">
      <c r="A93" t="str">
        <f>HYPERLINK(".\links\seq\TI_asb-160-seq.txt","TI_asb-160")</f>
        <v>TI_asb-160</v>
      </c>
      <c r="B93">
        <v>160</v>
      </c>
      <c r="C93" t="str">
        <f>HYPERLINK(".\links\tsa\TI_asb-160-tsa.txt","1")</f>
        <v>1</v>
      </c>
      <c r="D93">
        <v>1</v>
      </c>
      <c r="E93">
        <v>638</v>
      </c>
      <c r="G93" t="str">
        <f>HYPERLINK(".\links\qual\TI_asb-160-qual.txt","55")</f>
        <v>55</v>
      </c>
      <c r="H93">
        <v>1</v>
      </c>
      <c r="I93">
        <v>0</v>
      </c>
      <c r="J93">
        <f t="shared" si="4"/>
        <v>1</v>
      </c>
      <c r="K93" s="6">
        <f t="shared" si="5"/>
        <v>1</v>
      </c>
      <c r="L93" s="6" t="s">
        <v>3945</v>
      </c>
      <c r="M93" s="6" t="s">
        <v>3906</v>
      </c>
      <c r="N93" s="6" t="s">
        <v>3872</v>
      </c>
      <c r="O93" s="7">
        <v>9.0000000000000002E-59</v>
      </c>
      <c r="P93" s="6">
        <v>50.7</v>
      </c>
      <c r="Q93" s="3">
        <v>638</v>
      </c>
      <c r="R93" s="3">
        <v>525</v>
      </c>
      <c r="S93" s="5" t="s">
        <v>3572</v>
      </c>
      <c r="T93" s="3">
        <v>2</v>
      </c>
      <c r="U93" t="str">
        <f>HYPERLINK(".\links\NR-LIGHT\TI_asb-160-NR-LIGHT.txt","similar to splicing factor pTSR1, putative")</f>
        <v>similar to splicing factor pTSR1, putative</v>
      </c>
      <c r="V93" t="str">
        <f>HYPERLINK("http://www.ncbi.nlm.nih.gov/sutils/blink.cgi?pid=91088003","3E-075")</f>
        <v>3E-075</v>
      </c>
      <c r="W93" t="str">
        <f>HYPERLINK(".\links\NR-LIGHT\TI_asb-160-NR-LIGHT.txt"," 10")</f>
        <v xml:space="preserve"> 10</v>
      </c>
      <c r="X93" t="str">
        <f>HYPERLINK("http://www.ncbi.nlm.nih.gov/protein/91088003","gi|91088003")</f>
        <v>gi|91088003</v>
      </c>
      <c r="Y93">
        <v>248</v>
      </c>
      <c r="Z93">
        <v>162</v>
      </c>
      <c r="AA93">
        <v>328</v>
      </c>
      <c r="AB93">
        <v>74</v>
      </c>
      <c r="AC93">
        <v>49</v>
      </c>
      <c r="AD93">
        <v>41</v>
      </c>
      <c r="AE93">
        <v>0</v>
      </c>
      <c r="AF93">
        <v>1</v>
      </c>
      <c r="AG93">
        <v>59</v>
      </c>
      <c r="AH93">
        <v>2</v>
      </c>
      <c r="AI93">
        <v>2</v>
      </c>
      <c r="AJ93" t="s">
        <v>65</v>
      </c>
      <c r="AK93" t="s">
        <v>54</v>
      </c>
      <c r="AL93" t="s">
        <v>79</v>
      </c>
      <c r="AM93" t="str">
        <f>HYPERLINK(".\links\SWISSP\TI_asb-160-SWISSP.txt","Putative RNA-binding protein Luc7-like 2 OS=Homo sapiens GN=LUC7L2 PE=1 SV=2")</f>
        <v>Putative RNA-binding protein Luc7-like 2 OS=Homo sapiens GN=LUC7L2 PE=1 SV=2</v>
      </c>
      <c r="AN93" s="19" t="str">
        <f>HYPERLINK("http://www.uniprot.org/uniprot/Q9Y383","2E-062")</f>
        <v>2E-062</v>
      </c>
      <c r="AO93" t="str">
        <f>HYPERLINK(".\links\SWISSP\TI_asb-160-SWISSP.txt"," 10")</f>
        <v xml:space="preserve"> 10</v>
      </c>
      <c r="AP93" t="s">
        <v>1108</v>
      </c>
      <c r="AQ93">
        <v>201</v>
      </c>
      <c r="AR93">
        <v>161</v>
      </c>
      <c r="AS93">
        <v>392</v>
      </c>
      <c r="AT93">
        <v>60</v>
      </c>
      <c r="AU93">
        <v>41</v>
      </c>
      <c r="AV93">
        <v>64</v>
      </c>
      <c r="AW93">
        <v>0</v>
      </c>
      <c r="AX93">
        <v>1</v>
      </c>
      <c r="AY93">
        <v>59</v>
      </c>
      <c r="AZ93">
        <v>2</v>
      </c>
      <c r="BA93">
        <v>2</v>
      </c>
      <c r="BB93" t="s">
        <v>65</v>
      </c>
      <c r="BC93" t="s">
        <v>54</v>
      </c>
      <c r="BD93" t="s">
        <v>330</v>
      </c>
      <c r="BE93" t="s">
        <v>1109</v>
      </c>
      <c r="BF93" t="s">
        <v>1110</v>
      </c>
      <c r="BG93" t="str">
        <f>HYPERLINK(".\links\PREV-RHOD-PEP\TI_asb-160-PREV-RHOD-PEP.txt","Contig17364_25")</f>
        <v>Contig17364_25</v>
      </c>
      <c r="BH93" s="7">
        <v>1E-89</v>
      </c>
      <c r="BI93" t="str">
        <f>HYPERLINK(".\links\PREV-RHOD-PEP\TI_asb-160-PREV-RHOD-PEP.txt"," 10")</f>
        <v xml:space="preserve"> 10</v>
      </c>
      <c r="BJ93" t="s">
        <v>1111</v>
      </c>
      <c r="BK93">
        <v>284</v>
      </c>
      <c r="BL93">
        <v>172</v>
      </c>
      <c r="BM93">
        <v>316</v>
      </c>
      <c r="BN93">
        <v>84</v>
      </c>
      <c r="BO93">
        <v>54</v>
      </c>
      <c r="BP93">
        <v>27</v>
      </c>
      <c r="BQ93">
        <v>10</v>
      </c>
      <c r="BR93">
        <v>1</v>
      </c>
      <c r="BS93">
        <v>59</v>
      </c>
      <c r="BT93">
        <v>2</v>
      </c>
      <c r="BU93" t="s">
        <v>54</v>
      </c>
      <c r="BV93" t="s">
        <v>1112</v>
      </c>
      <c r="BW93" t="s">
        <v>56</v>
      </c>
      <c r="BX93" t="str">
        <f>HYPERLINK(".\links\PREV-RHOD-CDS\TI_asb-160-PREV-RHOD-CDS.txt","Contig17364_25")</f>
        <v>Contig17364_25</v>
      </c>
      <c r="BY93" s="7">
        <v>9.9999999999999998E-171</v>
      </c>
      <c r="BZ93" t="s">
        <v>1111</v>
      </c>
      <c r="CA93">
        <v>599</v>
      </c>
      <c r="CB93">
        <v>607</v>
      </c>
      <c r="CC93">
        <v>951</v>
      </c>
      <c r="CD93">
        <v>92</v>
      </c>
      <c r="CE93">
        <v>64</v>
      </c>
      <c r="CF93">
        <v>31</v>
      </c>
      <c r="CG93">
        <v>1</v>
      </c>
      <c r="CH93">
        <v>1</v>
      </c>
      <c r="CI93">
        <v>59</v>
      </c>
      <c r="CJ93">
        <v>2</v>
      </c>
      <c r="CK93" t="s">
        <v>54</v>
      </c>
      <c r="CL93" t="s">
        <v>1113</v>
      </c>
      <c r="CM93">
        <f>HYPERLINK(".\links\GO\TI_asb-160-GO.txt",4E-65)</f>
        <v>3.9999999999999997E-65</v>
      </c>
      <c r="CN93" t="s">
        <v>208</v>
      </c>
      <c r="CO93" t="s">
        <v>185</v>
      </c>
      <c r="CP93" t="s">
        <v>186</v>
      </c>
      <c r="CQ93" t="s">
        <v>209</v>
      </c>
      <c r="CR93" s="7">
        <v>3.9999999999999999E-60</v>
      </c>
      <c r="CS93" t="s">
        <v>224</v>
      </c>
      <c r="CT93" t="s">
        <v>75</v>
      </c>
      <c r="CU93" t="s">
        <v>76</v>
      </c>
      <c r="CV93" t="s">
        <v>225</v>
      </c>
      <c r="CW93" s="7">
        <v>3.9999999999999999E-60</v>
      </c>
      <c r="CX93" t="s">
        <v>1114</v>
      </c>
      <c r="CY93" t="s">
        <v>185</v>
      </c>
      <c r="CZ93" t="s">
        <v>186</v>
      </c>
      <c r="DA93" t="s">
        <v>1115</v>
      </c>
      <c r="DB93" s="7">
        <v>3.9999999999999999E-60</v>
      </c>
      <c r="DC93" t="str">
        <f>HYPERLINK(".\links\CDD\TI_asb-160-CDD.txt","LUC7")</f>
        <v>LUC7</v>
      </c>
      <c r="DD93" t="str">
        <f>HYPERLINK("http://www.ncbi.nlm.nih.gov/Structure/cdd/cddsrv.cgi?uid=pfam03194&amp;version=v4.0","3E-060")</f>
        <v>3E-060</v>
      </c>
      <c r="DE93" t="s">
        <v>1116</v>
      </c>
      <c r="DF93" t="str">
        <f>HYPERLINK(".\links\PFAM\TI_asb-160-PFAM.txt","LUC7")</f>
        <v>LUC7</v>
      </c>
      <c r="DG93" t="str">
        <f>HYPERLINK("http://pfam.sanger.ac.uk/family?acc=PF03194","2E-065")</f>
        <v>2E-065</v>
      </c>
      <c r="DH93" t="str">
        <f>HYPERLINK(".\links\PRK\TI_asb-160-PRK.txt","DNA replication protein DnaC")</f>
        <v>DNA replication protein DnaC</v>
      </c>
      <c r="DI93" s="7">
        <v>4.0000000000000002E-4</v>
      </c>
      <c r="DJ93" s="6" t="str">
        <f>HYPERLINK(".\links\KOG\TI_asb-160-KOG.txt","Nuclear protein, contains WD40 repeats")</f>
        <v>Nuclear protein, contains WD40 repeats</v>
      </c>
      <c r="DK93" s="6" t="str">
        <f>HYPERLINK("http://www.ncbi.nlm.nih.gov/COG/grace/shokog.cgi?KOG1916","0.0")</f>
        <v>0.0</v>
      </c>
      <c r="DL93" s="6" t="s">
        <v>4337</v>
      </c>
      <c r="DM93" s="6" t="str">
        <f>HYPERLINK(".\links\KOG\TI_asb-160-KOG.txt","KOG1916")</f>
        <v>KOG1916</v>
      </c>
      <c r="DN93" t="str">
        <f>HYPERLINK(".\links\SMART\TI_asb-160-SMART.txt","MA")</f>
        <v>MA</v>
      </c>
      <c r="DO93" t="str">
        <f>HYPERLINK("http://smart.embl-heidelberg.de/smart/do_annotation.pl?DOMAIN=MA&amp;BLAST=DUMMY","0.025")</f>
        <v>0.025</v>
      </c>
      <c r="DP93" s="3" t="s">
        <v>56</v>
      </c>
      <c r="ED93" s="3" t="s">
        <v>56</v>
      </c>
    </row>
    <row r="94" spans="1:134">
      <c r="A94" t="str">
        <f>HYPERLINK(".\links\seq\TI_asb-162-seq.txt","TI_asb-162")</f>
        <v>TI_asb-162</v>
      </c>
      <c r="B94">
        <v>162</v>
      </c>
      <c r="C94" t="str">
        <f>HYPERLINK(".\links\tsa\TI_asb-162-tsa.txt","1")</f>
        <v>1</v>
      </c>
      <c r="D94">
        <v>1</v>
      </c>
      <c r="E94">
        <v>1006</v>
      </c>
      <c r="F94">
        <v>745</v>
      </c>
      <c r="G94" t="str">
        <f>HYPERLINK(".\links\qual\TI_asb-162-qual.txt","30")</f>
        <v>30</v>
      </c>
      <c r="H94">
        <v>1</v>
      </c>
      <c r="I94">
        <v>0</v>
      </c>
      <c r="J94">
        <f t="shared" si="4"/>
        <v>1</v>
      </c>
      <c r="K94" s="6">
        <f t="shared" si="5"/>
        <v>1</v>
      </c>
      <c r="L94" s="6" t="s">
        <v>3888</v>
      </c>
      <c r="M94" s="6" t="s">
        <v>3886</v>
      </c>
      <c r="N94" s="6" t="str">
        <f>HYPERLINK(".\links\KOG\TI_asb-162-KOG.txt","KOG")</f>
        <v>KOG</v>
      </c>
      <c r="O94" s="6">
        <v>0</v>
      </c>
      <c r="P94" s="6">
        <v>11</v>
      </c>
      <c r="Q94" s="3">
        <v>1006</v>
      </c>
      <c r="R94" s="3">
        <v>375</v>
      </c>
      <c r="S94" s="3" t="s">
        <v>3573</v>
      </c>
      <c r="T94" s="3">
        <v>4</v>
      </c>
      <c r="U94" t="str">
        <f>HYPERLINK(".\links\NR-LIGHT\TI_asb-162-NR-LIGHT.txt","trancription factor")</f>
        <v>trancription factor</v>
      </c>
      <c r="V94" t="str">
        <f>HYPERLINK("http://www.ncbi.nlm.nih.gov/sutils/blink.cgi?pid=68065598","2.9")</f>
        <v>2.9</v>
      </c>
      <c r="W94" t="str">
        <f>HYPERLINK(".\links\NR-LIGHT\TI_asb-162-NR-LIGHT.txt"," 3")</f>
        <v xml:space="preserve"> 3</v>
      </c>
      <c r="X94" t="str">
        <f>HYPERLINK("http://www.ncbi.nlm.nih.gov/protein/68065598","gi|68065598")</f>
        <v>gi|68065598</v>
      </c>
      <c r="Y94">
        <v>35.4</v>
      </c>
      <c r="Z94">
        <v>56</v>
      </c>
      <c r="AA94">
        <v>815</v>
      </c>
      <c r="AB94">
        <v>32</v>
      </c>
      <c r="AC94">
        <v>7</v>
      </c>
      <c r="AD94">
        <v>38</v>
      </c>
      <c r="AE94">
        <v>3</v>
      </c>
      <c r="AF94">
        <v>344</v>
      </c>
      <c r="AG94">
        <v>75</v>
      </c>
      <c r="AH94">
        <v>1</v>
      </c>
      <c r="AI94">
        <v>3</v>
      </c>
      <c r="AJ94" t="s">
        <v>53</v>
      </c>
      <c r="AK94" t="s">
        <v>54</v>
      </c>
      <c r="AL94" t="s">
        <v>1117</v>
      </c>
      <c r="AM94" t="str">
        <f>HYPERLINK(".\links\SWISSP\TI_asb-162-SWISSP.txt","Cytochrome c oxidase subunit 1 OS=Locusta migratoria GN=COI PE=3 SV=2")</f>
        <v>Cytochrome c oxidase subunit 1 OS=Locusta migratoria GN=COI PE=3 SV=2</v>
      </c>
      <c r="AN94" s="19" t="str">
        <f>HYPERLINK("http://www.uniprot.org/uniprot/Q36421","4.2")</f>
        <v>4.2</v>
      </c>
      <c r="AO94" t="str">
        <f>HYPERLINK(".\links\SWISSP\TI_asb-162-SWISSP.txt"," 1")</f>
        <v xml:space="preserve"> 1</v>
      </c>
      <c r="AP94" t="s">
        <v>1118</v>
      </c>
      <c r="AQ94">
        <v>32.700000000000003</v>
      </c>
      <c r="AR94">
        <v>35</v>
      </c>
      <c r="AS94">
        <v>512</v>
      </c>
      <c r="AT94">
        <v>42</v>
      </c>
      <c r="AU94">
        <v>7</v>
      </c>
      <c r="AV94">
        <v>20</v>
      </c>
      <c r="AW94">
        <v>0</v>
      </c>
      <c r="AX94">
        <v>445</v>
      </c>
      <c r="AY94">
        <v>152</v>
      </c>
      <c r="AZ94">
        <v>1</v>
      </c>
      <c r="BA94">
        <v>-1</v>
      </c>
      <c r="BB94" t="s">
        <v>53</v>
      </c>
      <c r="BC94" t="s">
        <v>64</v>
      </c>
      <c r="BD94" t="s">
        <v>1119</v>
      </c>
      <c r="BE94" t="s">
        <v>1120</v>
      </c>
      <c r="BF94" t="s">
        <v>1121</v>
      </c>
      <c r="BG94" t="str">
        <f>HYPERLINK(".\links\PREV-RHOD-PEP\TI_asb-162-PREV-RHOD-PEP.txt","Contig22896_1")</f>
        <v>Contig22896_1</v>
      </c>
      <c r="BH94" s="7">
        <v>3E-9</v>
      </c>
      <c r="BI94" t="str">
        <f>HYPERLINK(".\links\PREV-RHOD-PEP\TI_asb-162-PREV-RHOD-PEP.txt"," 10")</f>
        <v xml:space="preserve"> 10</v>
      </c>
      <c r="BJ94" t="s">
        <v>1122</v>
      </c>
      <c r="BK94">
        <v>58.9</v>
      </c>
      <c r="BL94">
        <v>38</v>
      </c>
      <c r="BM94">
        <v>75</v>
      </c>
      <c r="BN94">
        <v>60</v>
      </c>
      <c r="BO94">
        <v>51</v>
      </c>
      <c r="BP94">
        <v>15</v>
      </c>
      <c r="BQ94">
        <v>0</v>
      </c>
      <c r="BR94">
        <v>1</v>
      </c>
      <c r="BS94">
        <v>207</v>
      </c>
      <c r="BT94">
        <v>1</v>
      </c>
      <c r="BU94" t="s">
        <v>54</v>
      </c>
      <c r="BV94" t="s">
        <v>1123</v>
      </c>
      <c r="BW94" t="s">
        <v>56</v>
      </c>
      <c r="BX94" t="str">
        <f>HYPERLINK(".\links\PREV-RHOD-CDS\TI_asb-162-PREV-RHOD-CDS.txt","Contig18012_42")</f>
        <v>Contig18012_42</v>
      </c>
      <c r="BY94" s="6">
        <v>0.5</v>
      </c>
      <c r="BZ94" t="s">
        <v>1124</v>
      </c>
      <c r="CA94">
        <v>36.200000000000003</v>
      </c>
      <c r="CB94">
        <v>17</v>
      </c>
      <c r="CC94">
        <v>753</v>
      </c>
      <c r="CD94">
        <v>100</v>
      </c>
      <c r="CE94">
        <v>2</v>
      </c>
      <c r="CF94">
        <v>0</v>
      </c>
      <c r="CG94">
        <v>0</v>
      </c>
      <c r="CH94">
        <v>89</v>
      </c>
      <c r="CI94">
        <v>154</v>
      </c>
      <c r="CJ94">
        <v>1</v>
      </c>
      <c r="CK94" t="s">
        <v>64</v>
      </c>
      <c r="CL94" t="s">
        <v>1125</v>
      </c>
      <c r="CM94">
        <f>HYPERLINK(".\links\GO\TI_asb-162-GO.txt",7.5)</f>
        <v>7.5</v>
      </c>
      <c r="CN94" t="s">
        <v>58</v>
      </c>
      <c r="CO94" t="s">
        <v>58</v>
      </c>
      <c r="CQ94" t="s">
        <v>59</v>
      </c>
      <c r="CR94" s="6">
        <v>9.9</v>
      </c>
      <c r="CS94" t="s">
        <v>60</v>
      </c>
      <c r="CT94" t="s">
        <v>60</v>
      </c>
      <c r="CV94" t="s">
        <v>61</v>
      </c>
      <c r="CW94" s="6">
        <v>9.9</v>
      </c>
      <c r="CX94" t="s">
        <v>62</v>
      </c>
      <c r="CY94" t="s">
        <v>58</v>
      </c>
      <c r="DA94" t="s">
        <v>63</v>
      </c>
      <c r="DB94" s="6">
        <v>9.9</v>
      </c>
      <c r="DC94" t="str">
        <f>HYPERLINK(".\links\CDD\TI_asb-162-CDD.txt","MADF_DNA_bdg")</f>
        <v>MADF_DNA_bdg</v>
      </c>
      <c r="DD94" t="str">
        <f>HYPERLINK("http://www.ncbi.nlm.nih.gov/Structure/cdd/cddsrv.cgi?uid=pfam10545&amp;version=v4.0","0.013")</f>
        <v>0.013</v>
      </c>
      <c r="DE94" t="s">
        <v>1126</v>
      </c>
      <c r="DF94" t="str">
        <f>HYPERLINK(".\links\PFAM\TI_asb-162-PFAM.txt","MADF_DNA_bdg")</f>
        <v>MADF_DNA_bdg</v>
      </c>
      <c r="DG94" t="str">
        <f>HYPERLINK("http://pfam.sanger.ac.uk/family?acc=PF10545","0.003")</f>
        <v>0.003</v>
      </c>
      <c r="DH94" t="str">
        <f>HYPERLINK(".\links\PRK\TI_asb-162-PRK.txt","NADH dehydrogenase subunit 4")</f>
        <v>NADH dehydrogenase subunit 4</v>
      </c>
      <c r="DI94" s="6">
        <v>7.4999999999999997E-2</v>
      </c>
      <c r="DJ94" s="6" t="str">
        <f>HYPERLINK(".\links\KOG\TI_asb-162-KOG.txt","Nuclear protein, contains WD40 repeats")</f>
        <v>Nuclear protein, contains WD40 repeats</v>
      </c>
      <c r="DK94" s="6" t="str">
        <f>HYPERLINK("http://www.ncbi.nlm.nih.gov/COG/grace/shokog.cgi?KOG1916","0.0")</f>
        <v>0.0</v>
      </c>
      <c r="DL94" s="6" t="s">
        <v>4337</v>
      </c>
      <c r="DM94" s="6" t="str">
        <f>HYPERLINK(".\links\KOG\TI_asb-162-KOG.txt","KOG1916")</f>
        <v>KOG1916</v>
      </c>
      <c r="DN94" t="str">
        <f>HYPERLINK(".\links\SMART\TI_asb-162-SMART.txt","MADF")</f>
        <v>MADF</v>
      </c>
      <c r="DO94" t="str">
        <f>HYPERLINK("http://smart.embl-heidelberg.de/smart/do_annotation.pl?DOMAIN=MADF&amp;BLAST=DUMMY","5E-004")</f>
        <v>5E-004</v>
      </c>
      <c r="DP94" s="3" t="s">
        <v>56</v>
      </c>
      <c r="ED94" s="3" t="s">
        <v>56</v>
      </c>
    </row>
    <row r="95" spans="1:134" s="26" customFormat="1">
      <c r="A95" s="26" t="str">
        <f>HYPERLINK(".\links\seq\TI_asb-168-seq.txt","TI_asb-168")</f>
        <v>TI_asb-168</v>
      </c>
      <c r="B95" s="26">
        <v>168</v>
      </c>
      <c r="C95" s="27" t="str">
        <f>HYPERLINK(".\links\tsa\TI_asb-168-tsa.txt","4")</f>
        <v>4</v>
      </c>
      <c r="D95" s="26">
        <v>4</v>
      </c>
      <c r="E95" s="26">
        <v>810</v>
      </c>
      <c r="F95" s="26">
        <v>787</v>
      </c>
      <c r="G95" s="26" t="str">
        <f>HYPERLINK(".\links\qual\TI_asb-168-qual.txt","63")</f>
        <v>63</v>
      </c>
      <c r="H95" s="26">
        <v>3</v>
      </c>
      <c r="I95" s="26">
        <v>1</v>
      </c>
      <c r="J95" s="26">
        <f t="shared" si="4"/>
        <v>2</v>
      </c>
      <c r="K95" s="26">
        <f t="shared" si="5"/>
        <v>2</v>
      </c>
      <c r="L95" s="26" t="s">
        <v>3946</v>
      </c>
      <c r="M95" s="26" t="s">
        <v>3947</v>
      </c>
      <c r="N95" s="26" t="s">
        <v>3884</v>
      </c>
      <c r="O95" s="26">
        <v>2.9999999999999997E-8</v>
      </c>
      <c r="P95" s="26">
        <v>42</v>
      </c>
      <c r="Q95" s="26">
        <v>810</v>
      </c>
      <c r="R95" s="26">
        <v>447</v>
      </c>
      <c r="S95" s="26" t="s">
        <v>3574</v>
      </c>
      <c r="T95" s="26">
        <v>4</v>
      </c>
      <c r="U95" s="26" t="str">
        <f>HYPERLINK(".\links\NR-LIGHT\TI_asb-168-NR-LIGHT.txt","hypothetical protein TcasGA2_TC010626")</f>
        <v>hypothetical protein TcasGA2_TC010626</v>
      </c>
      <c r="V95" s="26" t="str">
        <f>HYPERLINK("http://www.ncbi.nlm.nih.gov/sutils/blink.cgi?pid=270015199","1E-020")</f>
        <v>1E-020</v>
      </c>
      <c r="W95" s="26" t="str">
        <f>HYPERLINK(".\links\NR-LIGHT\TI_asb-168-NR-LIGHT.txt"," 10")</f>
        <v xml:space="preserve"> 10</v>
      </c>
      <c r="X95" s="26" t="str">
        <f>HYPERLINK("http://www.ncbi.nlm.nih.gov/protein/270015199","gi|270015199")</f>
        <v>gi|270015199</v>
      </c>
      <c r="Y95" s="26">
        <v>102</v>
      </c>
      <c r="Z95" s="26">
        <v>124</v>
      </c>
      <c r="AA95" s="26">
        <v>2571</v>
      </c>
      <c r="AB95" s="26">
        <v>51</v>
      </c>
      <c r="AC95" s="26">
        <v>5</v>
      </c>
      <c r="AD95" s="26">
        <v>60</v>
      </c>
      <c r="AE95" s="26">
        <v>0</v>
      </c>
      <c r="AF95" s="26">
        <v>1340</v>
      </c>
      <c r="AG95" s="26">
        <v>148</v>
      </c>
      <c r="AH95" s="26">
        <v>2</v>
      </c>
      <c r="AI95" s="26">
        <v>1</v>
      </c>
      <c r="AJ95" s="26" t="s">
        <v>65</v>
      </c>
      <c r="AK95" s="26" t="s">
        <v>54</v>
      </c>
      <c r="AL95" s="26" t="s">
        <v>79</v>
      </c>
      <c r="AM95" s="26" t="str">
        <f>HYPERLINK(".\links\SWISSP\TI_asb-168-SWISSP.txt","Probable dipeptidyl-peptidase 5 OS=Aspergillus terreus (strain NIH 2624 / FGSC")</f>
        <v>Probable dipeptidyl-peptidase 5 OS=Aspergillus terreus (strain NIH 2624 / FGSC</v>
      </c>
      <c r="AN95" s="29" t="str">
        <f>HYPERLINK("http://www.uniprot.org/uniprot/Q0C8V9","1.3")</f>
        <v>1.3</v>
      </c>
      <c r="AO95" s="26" t="str">
        <f>HYPERLINK(".\links\SWISSP\TI_asb-168-SWISSP.txt"," 4")</f>
        <v xml:space="preserve"> 4</v>
      </c>
      <c r="AP95" s="26" t="s">
        <v>1129</v>
      </c>
      <c r="AQ95" s="26">
        <v>33.9</v>
      </c>
      <c r="AR95" s="26">
        <v>103</v>
      </c>
      <c r="AS95" s="26">
        <v>723</v>
      </c>
      <c r="AT95" s="26">
        <v>28</v>
      </c>
      <c r="AU95" s="26">
        <v>14</v>
      </c>
      <c r="AV95" s="26">
        <v>74</v>
      </c>
      <c r="AW95" s="26">
        <v>11</v>
      </c>
      <c r="AX95" s="26">
        <v>236</v>
      </c>
      <c r="AY95" s="26">
        <v>312</v>
      </c>
      <c r="AZ95" s="26">
        <v>1</v>
      </c>
      <c r="BA95" s="26">
        <v>-2</v>
      </c>
      <c r="BB95" s="26" t="s">
        <v>53</v>
      </c>
      <c r="BC95" s="26" t="s">
        <v>64</v>
      </c>
      <c r="BD95" s="26" t="s">
        <v>1130</v>
      </c>
      <c r="BE95" s="26" t="s">
        <v>1131</v>
      </c>
      <c r="BF95" s="26" t="s">
        <v>1132</v>
      </c>
      <c r="BG95" s="26" t="str">
        <f>HYPERLINK(".\links\PREV-RHOD-PEP\TI_asb-168-PREV-RHOD-PEP.txt","Contig8020_1")</f>
        <v>Contig8020_1</v>
      </c>
      <c r="BH95" s="28">
        <v>7.0000000000000002E-59</v>
      </c>
      <c r="BI95" s="26" t="str">
        <f>HYPERLINK(".\links\PREV-RHOD-PEP\TI_asb-168-PREV-RHOD-PEP.txt"," 10")</f>
        <v xml:space="preserve"> 10</v>
      </c>
      <c r="BJ95" s="26" t="s">
        <v>1133</v>
      </c>
      <c r="BK95" s="26">
        <v>185</v>
      </c>
      <c r="BL95" s="26">
        <v>96</v>
      </c>
      <c r="BM95" s="26">
        <v>126</v>
      </c>
      <c r="BN95" s="26">
        <v>93</v>
      </c>
      <c r="BO95" s="26">
        <v>76</v>
      </c>
      <c r="BP95" s="26">
        <v>6</v>
      </c>
      <c r="BQ95" s="26">
        <v>0</v>
      </c>
      <c r="BR95" s="26">
        <v>5</v>
      </c>
      <c r="BS95" s="26">
        <v>287</v>
      </c>
      <c r="BT95" s="26">
        <v>2</v>
      </c>
      <c r="BU95" s="26" t="s">
        <v>64</v>
      </c>
      <c r="BV95" s="26" t="s">
        <v>1134</v>
      </c>
      <c r="BW95" s="26" t="s">
        <v>56</v>
      </c>
      <c r="BX95" s="26" t="str">
        <f>HYPERLINK(".\links\PREV-RHOD-CDS\TI_asb-168-PREV-RHOD-CDS.txt","Contig8020_1")</f>
        <v>Contig8020_1</v>
      </c>
      <c r="BY95" s="26">
        <v>0</v>
      </c>
      <c r="BZ95" s="26" t="s">
        <v>1133</v>
      </c>
      <c r="CA95" s="26">
        <v>660</v>
      </c>
      <c r="CB95" s="26">
        <v>380</v>
      </c>
      <c r="CC95" s="26">
        <v>381</v>
      </c>
      <c r="CD95" s="26">
        <v>97</v>
      </c>
      <c r="CE95" s="26">
        <v>100</v>
      </c>
      <c r="CF95" s="26">
        <v>10</v>
      </c>
      <c r="CG95" s="26">
        <v>2</v>
      </c>
      <c r="CH95" s="26">
        <v>1</v>
      </c>
      <c r="CI95" s="26">
        <v>284</v>
      </c>
      <c r="CJ95" s="26">
        <v>1</v>
      </c>
      <c r="CK95" s="26" t="s">
        <v>64</v>
      </c>
      <c r="CL95" s="26" t="s">
        <v>1135</v>
      </c>
      <c r="CM95" s="26">
        <f>HYPERLINK(".\links\GO\TI_asb-168-GO.txt",0.00000003)</f>
        <v>2.9999999999999997E-8</v>
      </c>
      <c r="CN95" s="26" t="s">
        <v>58</v>
      </c>
      <c r="CO95" s="26" t="s">
        <v>58</v>
      </c>
      <c r="CQ95" s="26" t="s">
        <v>59</v>
      </c>
      <c r="CR95" s="26">
        <v>2.5</v>
      </c>
      <c r="CS95" s="26" t="s">
        <v>1136</v>
      </c>
      <c r="CT95" s="26" t="s">
        <v>540</v>
      </c>
      <c r="CU95" s="26" t="s">
        <v>1137</v>
      </c>
      <c r="CV95" s="26" t="s">
        <v>1138</v>
      </c>
      <c r="CW95" s="26">
        <v>2.5</v>
      </c>
      <c r="CX95" s="26" t="s">
        <v>62</v>
      </c>
      <c r="CY95" s="26" t="s">
        <v>58</v>
      </c>
      <c r="DA95" s="26" t="s">
        <v>63</v>
      </c>
      <c r="DB95" s="26">
        <v>2.5</v>
      </c>
      <c r="DC95" s="26" t="str">
        <f>HYPERLINK(".\links\CDD\TI_asb-168-CDD.txt","Filament_head")</f>
        <v>Filament_head</v>
      </c>
      <c r="DD95" s="26" t="str">
        <f>HYPERLINK("http://www.ncbi.nlm.nih.gov/Structure/cdd/cddsrv.cgi?uid=pfam04732&amp;version=v4.0","0.075")</f>
        <v>0.075</v>
      </c>
      <c r="DE95" s="26" t="s">
        <v>1139</v>
      </c>
      <c r="DF95" s="26" t="s">
        <v>56</v>
      </c>
      <c r="DG95" s="26" t="s">
        <v>56</v>
      </c>
      <c r="DH95" s="26" t="s">
        <v>56</v>
      </c>
      <c r="DI95" s="26" t="s">
        <v>56</v>
      </c>
      <c r="DJ95" s="26" t="s">
        <v>56</v>
      </c>
      <c r="DN95" s="26" t="s">
        <v>56</v>
      </c>
      <c r="DO95" s="26" t="s">
        <v>56</v>
      </c>
      <c r="DP95" s="26" t="str">
        <f>HYPERLINK(".\links\RRNA\TI_asb-168-RRNA.txt","Candida albicans internal transcribed spacer 1 (ITS1); 5.8S ribosomal RNA;")</f>
        <v>Candida albicans internal transcribed spacer 1 (ITS1); 5.8S ribosomal RNA;</v>
      </c>
      <c r="DQ95" s="26" t="str">
        <f>HYPERLINK("http://www.ncbi.nlm.nih.gov/entrez/viewer.fcgi?db=nucleotide&amp;val=454300","2E-038")</f>
        <v>2E-038</v>
      </c>
      <c r="DR95" s="26" t="str">
        <f>HYPERLINK("http://www.ncbi.nlm.nih.gov/entrez/viewer.fcgi?db=nucleotide&amp;val=454300","gi|454300")</f>
        <v>gi|454300</v>
      </c>
      <c r="DS95" s="26">
        <v>157</v>
      </c>
      <c r="DT95" s="26">
        <v>298</v>
      </c>
      <c r="DU95" s="26">
        <v>4025</v>
      </c>
      <c r="DV95" s="26">
        <v>91</v>
      </c>
      <c r="DW95" s="26">
        <v>7</v>
      </c>
      <c r="DX95" s="26">
        <v>10</v>
      </c>
      <c r="DY95" s="26">
        <v>0</v>
      </c>
      <c r="DZ95" s="26">
        <v>2497</v>
      </c>
      <c r="EA95" s="26">
        <v>334</v>
      </c>
      <c r="EB95" s="26">
        <v>2</v>
      </c>
      <c r="EC95" s="26" t="s">
        <v>54</v>
      </c>
      <c r="ED95" s="26" t="s">
        <v>56</v>
      </c>
    </row>
    <row r="96" spans="1:134">
      <c r="A96" t="str">
        <f>HYPERLINK(".\links\seq\TI_asb-170-seq.txt","TI_asb-170")</f>
        <v>TI_asb-170</v>
      </c>
      <c r="B96">
        <v>170</v>
      </c>
      <c r="C96" t="str">
        <f>HYPERLINK(".\links\tsa\TI_asb-170-tsa.txt","1")</f>
        <v>1</v>
      </c>
      <c r="D96">
        <v>1</v>
      </c>
      <c r="E96">
        <v>328</v>
      </c>
      <c r="G96" t="str">
        <f>HYPERLINK(".\links\qual\TI_asb-170-qual.txt","54")</f>
        <v>54</v>
      </c>
      <c r="H96">
        <v>1</v>
      </c>
      <c r="I96">
        <v>0</v>
      </c>
      <c r="J96">
        <f t="shared" si="4"/>
        <v>1</v>
      </c>
      <c r="K96" s="6">
        <f t="shared" si="5"/>
        <v>1</v>
      </c>
      <c r="L96" s="6" t="s">
        <v>3948</v>
      </c>
      <c r="M96" s="6" t="s">
        <v>3871</v>
      </c>
      <c r="N96" s="6" t="s">
        <v>3864</v>
      </c>
      <c r="O96" s="7">
        <v>5.9999999999999997E-18</v>
      </c>
      <c r="P96" s="6">
        <v>11.7</v>
      </c>
      <c r="Q96" s="3">
        <v>328</v>
      </c>
      <c r="R96" s="3">
        <v>288</v>
      </c>
      <c r="S96" s="3" t="s">
        <v>3575</v>
      </c>
      <c r="T96" s="3">
        <v>2</v>
      </c>
      <c r="U96" t="str">
        <f>HYPERLINK(".\links\NR-LIGHT\TI_asb-170-NR-LIGHT.txt","similar to organic anion transporter")</f>
        <v>similar to organic anion transporter</v>
      </c>
      <c r="V96" t="str">
        <f>HYPERLINK("http://www.ncbi.nlm.nih.gov/sutils/blink.cgi?pid=193669381","6E-018")</f>
        <v>6E-018</v>
      </c>
      <c r="W96" t="str">
        <f>HYPERLINK(".\links\NR-LIGHT\TI_asb-170-NR-LIGHT.txt"," 10")</f>
        <v xml:space="preserve"> 10</v>
      </c>
      <c r="X96" t="str">
        <f>HYPERLINK("http://www.ncbi.nlm.nih.gov/protein/193669381","gi|193669381")</f>
        <v>gi|193669381</v>
      </c>
      <c r="Y96">
        <v>91.7</v>
      </c>
      <c r="Z96">
        <v>74</v>
      </c>
      <c r="AA96">
        <v>632</v>
      </c>
      <c r="AB96">
        <v>50</v>
      </c>
      <c r="AC96">
        <v>12</v>
      </c>
      <c r="AD96">
        <v>37</v>
      </c>
      <c r="AE96">
        <v>0</v>
      </c>
      <c r="AF96">
        <v>559</v>
      </c>
      <c r="AG96">
        <v>8</v>
      </c>
      <c r="AH96">
        <v>1</v>
      </c>
      <c r="AI96">
        <v>2</v>
      </c>
      <c r="AJ96" t="s">
        <v>53</v>
      </c>
      <c r="AK96" t="s">
        <v>54</v>
      </c>
      <c r="AL96" t="s">
        <v>177</v>
      </c>
      <c r="AM96" t="str">
        <f>HYPERLINK(".\links\SWISSP\TI_asb-170-SWISSP.txt","Solute carrier organic anion transporter family member 5A1 OS=Homo sapiens")</f>
        <v>Solute carrier organic anion transporter family member 5A1 OS=Homo sapiens</v>
      </c>
      <c r="AN96" s="19" t="str">
        <f>HYPERLINK("http://www.uniprot.org/uniprot/Q9H2Y9","2E-004")</f>
        <v>2E-004</v>
      </c>
      <c r="AO96" t="str">
        <f>HYPERLINK(".\links\SWISSP\TI_asb-170-SWISSP.txt"," 10")</f>
        <v xml:space="preserve"> 10</v>
      </c>
      <c r="AP96" t="s">
        <v>1140</v>
      </c>
      <c r="AQ96">
        <v>44.3</v>
      </c>
      <c r="AR96">
        <v>45</v>
      </c>
      <c r="AS96">
        <v>848</v>
      </c>
      <c r="AT96">
        <v>37</v>
      </c>
      <c r="AU96">
        <v>5</v>
      </c>
      <c r="AV96">
        <v>28</v>
      </c>
      <c r="AW96">
        <v>0</v>
      </c>
      <c r="AX96">
        <v>704</v>
      </c>
      <c r="AY96">
        <v>5</v>
      </c>
      <c r="AZ96">
        <v>1</v>
      </c>
      <c r="BA96">
        <v>2</v>
      </c>
      <c r="BB96" t="s">
        <v>53</v>
      </c>
      <c r="BC96" t="s">
        <v>54</v>
      </c>
      <c r="BD96" t="s">
        <v>330</v>
      </c>
      <c r="BE96" t="s">
        <v>1141</v>
      </c>
      <c r="BF96" t="s">
        <v>1142</v>
      </c>
      <c r="BG96" t="str">
        <f>HYPERLINK(".\links\PREV-RHOD-PEP\TI_asb-170-PREV-RHOD-PEP.txt","Contig17959_89")</f>
        <v>Contig17959_89</v>
      </c>
      <c r="BH96" s="7">
        <v>6.0000000000000003E-33</v>
      </c>
      <c r="BI96" t="str">
        <f>HYPERLINK(".\links\PREV-RHOD-PEP\TI_asb-170-PREV-RHOD-PEP.txt"," 10")</f>
        <v xml:space="preserve"> 10</v>
      </c>
      <c r="BJ96" t="s">
        <v>1143</v>
      </c>
      <c r="BK96">
        <v>135</v>
      </c>
      <c r="BL96">
        <v>79</v>
      </c>
      <c r="BM96">
        <v>224</v>
      </c>
      <c r="BN96">
        <v>82</v>
      </c>
      <c r="BO96">
        <v>35</v>
      </c>
      <c r="BP96">
        <v>14</v>
      </c>
      <c r="BQ96">
        <v>0</v>
      </c>
      <c r="BR96">
        <v>137</v>
      </c>
      <c r="BS96">
        <v>23</v>
      </c>
      <c r="BT96">
        <v>1</v>
      </c>
      <c r="BU96" t="s">
        <v>54</v>
      </c>
      <c r="BV96" t="s">
        <v>1144</v>
      </c>
      <c r="BW96" t="s">
        <v>56</v>
      </c>
      <c r="BX96" t="str">
        <f>HYPERLINK(".\links\PREV-RHOD-CDS\TI_asb-170-PREV-RHOD-CDS.txt","Contig17959_89")</f>
        <v>Contig17959_89</v>
      </c>
      <c r="BY96" s="7">
        <v>6.9999999999999999E-41</v>
      </c>
      <c r="BZ96" t="s">
        <v>1143</v>
      </c>
      <c r="CA96">
        <v>167</v>
      </c>
      <c r="CB96">
        <v>179</v>
      </c>
      <c r="CC96">
        <v>675</v>
      </c>
      <c r="CD96">
        <v>86</v>
      </c>
      <c r="CE96">
        <v>27</v>
      </c>
      <c r="CF96">
        <v>24</v>
      </c>
      <c r="CG96">
        <v>0</v>
      </c>
      <c r="CH96">
        <v>410</v>
      </c>
      <c r="CI96">
        <v>24</v>
      </c>
      <c r="CJ96">
        <v>1</v>
      </c>
      <c r="CK96" t="s">
        <v>54</v>
      </c>
      <c r="CL96" t="s">
        <v>1145</v>
      </c>
      <c r="CM96">
        <f>HYPERLINK(".\links\GO\TI_asb-170-GO.txt",0.000000000000005)</f>
        <v>5E-15</v>
      </c>
      <c r="CN96" t="s">
        <v>1146</v>
      </c>
      <c r="CO96" t="s">
        <v>88</v>
      </c>
      <c r="CP96" t="s">
        <v>89</v>
      </c>
      <c r="CQ96" t="s">
        <v>1147</v>
      </c>
      <c r="CR96" s="6">
        <v>5E-15</v>
      </c>
      <c r="CS96" t="s">
        <v>91</v>
      </c>
      <c r="CT96" t="s">
        <v>75</v>
      </c>
      <c r="CU96" t="s">
        <v>92</v>
      </c>
      <c r="CV96" t="s">
        <v>93</v>
      </c>
      <c r="CW96" s="6">
        <v>5E-15</v>
      </c>
      <c r="CX96" t="s">
        <v>1148</v>
      </c>
      <c r="CY96" t="s">
        <v>88</v>
      </c>
      <c r="CZ96" t="s">
        <v>89</v>
      </c>
      <c r="DA96" t="s">
        <v>1149</v>
      </c>
      <c r="DB96" s="6">
        <v>5E-15</v>
      </c>
      <c r="DC96" t="str">
        <f>HYPERLINK(".\links\CDD\TI_asb-170-CDD.txt","OATP")</f>
        <v>OATP</v>
      </c>
      <c r="DD96" t="str">
        <f>HYPERLINK("http://www.ncbi.nlm.nih.gov/Structure/cdd/cddsrv.cgi?uid=pfam03137&amp;version=v4.0","2E-007")</f>
        <v>2E-007</v>
      </c>
      <c r="DE96" t="s">
        <v>1150</v>
      </c>
      <c r="DF96" t="str">
        <f>HYPERLINK(".\links\PFAM\TI_asb-170-PFAM.txt","OATP")</f>
        <v>OATP</v>
      </c>
      <c r="DG96" t="str">
        <f>HYPERLINK("http://pfam.sanger.ac.uk/family?acc=PF03137","4E-008")</f>
        <v>4E-008</v>
      </c>
      <c r="DH96" t="str">
        <f>HYPERLINK(".\links\PRK\TI_asb-170-PRK.txt","NADH dehydrogenase subunit 5")</f>
        <v>NADH dehydrogenase subunit 5</v>
      </c>
      <c r="DI96" s="7">
        <v>1E-4</v>
      </c>
      <c r="DJ96" s="6" t="str">
        <f>HYPERLINK(".\links\KOG\TI_asb-170-KOG.txt","Organic anion transporter")</f>
        <v>Organic anion transporter</v>
      </c>
      <c r="DK96" s="6" t="str">
        <f>HYPERLINK("http://www.ncbi.nlm.nih.gov/COG/grace/shokog.cgi?KOG3626","8E-014")</f>
        <v>8E-014</v>
      </c>
      <c r="DL96" s="6" t="s">
        <v>4346</v>
      </c>
      <c r="DM96" s="6" t="str">
        <f>HYPERLINK(".\links\KOG\TI_asb-170-KOG.txt","KOG3626")</f>
        <v>KOG3626</v>
      </c>
      <c r="DN96" t="str">
        <f>HYPERLINK(".\links\SMART\TI_asb-170-SMART.txt","PSN")</f>
        <v>PSN</v>
      </c>
      <c r="DO96" t="str">
        <f>HYPERLINK("http://smart.embl-heidelberg.de/smart/do_annotation.pl?DOMAIN=PSN&amp;BLAST=DUMMY","0.002")</f>
        <v>0.002</v>
      </c>
      <c r="DP96" s="3" t="s">
        <v>56</v>
      </c>
      <c r="ED96" s="3" t="s">
        <v>56</v>
      </c>
    </row>
    <row r="97" spans="1:147">
      <c r="A97" t="str">
        <f>HYPERLINK(".\links\seq\TI_asb-171-seq.txt","TI_asb-171")</f>
        <v>TI_asb-171</v>
      </c>
      <c r="B97">
        <v>171</v>
      </c>
      <c r="C97" t="str">
        <f>HYPERLINK(".\links\tsa\TI_asb-171-tsa.txt","1")</f>
        <v>1</v>
      </c>
      <c r="D97">
        <v>1</v>
      </c>
      <c r="E97">
        <v>258</v>
      </c>
      <c r="G97" t="str">
        <f>HYPERLINK(".\links\qual\TI_asb-171-qual.txt","27")</f>
        <v>27</v>
      </c>
      <c r="H97">
        <v>1</v>
      </c>
      <c r="I97">
        <v>0</v>
      </c>
      <c r="J97">
        <f t="shared" si="4"/>
        <v>1</v>
      </c>
      <c r="K97" s="6">
        <f t="shared" si="5"/>
        <v>1</v>
      </c>
      <c r="L97" s="6" t="s">
        <v>3868</v>
      </c>
      <c r="M97" s="6" t="s">
        <v>3869</v>
      </c>
      <c r="N97" s="6"/>
      <c r="O97" s="6"/>
      <c r="P97" s="6"/>
      <c r="Q97" s="3">
        <v>258</v>
      </c>
      <c r="R97" s="3">
        <v>111</v>
      </c>
      <c r="S97" s="6" t="s">
        <v>3576</v>
      </c>
      <c r="T97" s="3">
        <v>6</v>
      </c>
      <c r="U97" t="str">
        <f>HYPERLINK(".\links\NR-LIGHT\TI_asb-171-NR-LIGHT.txt","hypothetical protein")</f>
        <v>hypothetical protein</v>
      </c>
      <c r="V97" t="str">
        <f>HYPERLINK("http://www.ncbi.nlm.nih.gov/sutils/blink.cgi?pid=156103015","9.9")</f>
        <v>9.9</v>
      </c>
      <c r="W97" t="str">
        <f>HYPERLINK(".\links\NR-LIGHT\TI_asb-171-NR-LIGHT.txt"," 1")</f>
        <v xml:space="preserve"> 1</v>
      </c>
      <c r="X97" t="str">
        <f>HYPERLINK("http://www.ncbi.nlm.nih.gov/protein/156103015","gi|156103015")</f>
        <v>gi|156103015</v>
      </c>
      <c r="Y97">
        <v>31.2</v>
      </c>
      <c r="Z97">
        <v>41</v>
      </c>
      <c r="AA97">
        <v>1102</v>
      </c>
      <c r="AB97">
        <v>43</v>
      </c>
      <c r="AC97">
        <v>4</v>
      </c>
      <c r="AD97">
        <v>23</v>
      </c>
      <c r="AE97">
        <v>2</v>
      </c>
      <c r="AF97">
        <v>1011</v>
      </c>
      <c r="AG97">
        <v>60</v>
      </c>
      <c r="AH97">
        <v>1</v>
      </c>
      <c r="AI97">
        <v>-2</v>
      </c>
      <c r="AJ97" t="s">
        <v>53</v>
      </c>
      <c r="AK97" t="s">
        <v>64</v>
      </c>
      <c r="AL97" t="s">
        <v>1151</v>
      </c>
      <c r="AM97" t="s">
        <v>56</v>
      </c>
      <c r="AN97" s="19" t="s">
        <v>56</v>
      </c>
      <c r="AO97" t="s">
        <v>56</v>
      </c>
      <c r="AP97" t="s">
        <v>56</v>
      </c>
      <c r="AQ97" t="s">
        <v>56</v>
      </c>
      <c r="AR97" t="s">
        <v>56</v>
      </c>
      <c r="AS97" t="s">
        <v>56</v>
      </c>
      <c r="AT97" t="s">
        <v>56</v>
      </c>
      <c r="AU97" t="s">
        <v>56</v>
      </c>
      <c r="AV97" t="s">
        <v>56</v>
      </c>
      <c r="AW97" t="s">
        <v>56</v>
      </c>
      <c r="AX97" t="s">
        <v>56</v>
      </c>
      <c r="AY97" t="s">
        <v>56</v>
      </c>
      <c r="AZ97" t="s">
        <v>56</v>
      </c>
      <c r="BA97" t="s">
        <v>56</v>
      </c>
      <c r="BB97" t="s">
        <v>56</v>
      </c>
      <c r="BC97" t="s">
        <v>56</v>
      </c>
      <c r="BD97" t="s">
        <v>56</v>
      </c>
      <c r="BE97" t="s">
        <v>56</v>
      </c>
      <c r="BF97" t="s">
        <v>56</v>
      </c>
      <c r="BG97" t="s">
        <v>56</v>
      </c>
      <c r="BH97" s="6" t="s">
        <v>56</v>
      </c>
      <c r="BI97" t="s">
        <v>56</v>
      </c>
      <c r="BJ97" t="s">
        <v>56</v>
      </c>
      <c r="BK97" t="s">
        <v>56</v>
      </c>
      <c r="BL97" t="s">
        <v>56</v>
      </c>
      <c r="BM97" t="s">
        <v>56</v>
      </c>
      <c r="BN97" t="s">
        <v>56</v>
      </c>
      <c r="BO97" t="s">
        <v>56</v>
      </c>
      <c r="BP97" t="s">
        <v>56</v>
      </c>
      <c r="BQ97" t="s">
        <v>56</v>
      </c>
      <c r="BR97" t="s">
        <v>56</v>
      </c>
      <c r="BS97" t="s">
        <v>56</v>
      </c>
      <c r="BT97" t="s">
        <v>56</v>
      </c>
      <c r="BU97" t="s">
        <v>56</v>
      </c>
      <c r="BV97" t="s">
        <v>56</v>
      </c>
      <c r="BW97" t="s">
        <v>56</v>
      </c>
      <c r="BX97" t="str">
        <f>HYPERLINK(".\links\PREV-RHOD-CDS\TI_asb-171-PREV-RHOD-CDS.txt","Contig18058_41")</f>
        <v>Contig18058_41</v>
      </c>
      <c r="BY97" s="6">
        <v>3.1E-2</v>
      </c>
      <c r="BZ97" t="s">
        <v>1152</v>
      </c>
      <c r="CA97">
        <v>38.200000000000003</v>
      </c>
      <c r="CB97">
        <v>18</v>
      </c>
      <c r="CC97">
        <v>3165</v>
      </c>
      <c r="CD97">
        <v>100</v>
      </c>
      <c r="CE97">
        <v>1</v>
      </c>
      <c r="CF97">
        <v>0</v>
      </c>
      <c r="CG97">
        <v>0</v>
      </c>
      <c r="CH97">
        <v>338</v>
      </c>
      <c r="CI97">
        <v>111</v>
      </c>
      <c r="CJ97">
        <v>1</v>
      </c>
      <c r="CK97" t="s">
        <v>64</v>
      </c>
      <c r="CL97" t="s">
        <v>56</v>
      </c>
      <c r="CM97" t="s">
        <v>56</v>
      </c>
      <c r="CN97" t="s">
        <v>56</v>
      </c>
      <c r="CO97" t="s">
        <v>56</v>
      </c>
      <c r="CP97" t="s">
        <v>56</v>
      </c>
      <c r="CQ97" t="s">
        <v>56</v>
      </c>
      <c r="CR97" s="5" t="s">
        <v>56</v>
      </c>
      <c r="CS97" t="s">
        <v>56</v>
      </c>
      <c r="CT97" t="s">
        <v>56</v>
      </c>
      <c r="CU97" t="s">
        <v>56</v>
      </c>
      <c r="CV97" t="s">
        <v>56</v>
      </c>
      <c r="CW97" s="5" t="s">
        <v>56</v>
      </c>
      <c r="CX97" t="s">
        <v>56</v>
      </c>
      <c r="CY97" t="s">
        <v>56</v>
      </c>
      <c r="CZ97" t="s">
        <v>56</v>
      </c>
      <c r="DA97" t="s">
        <v>56</v>
      </c>
      <c r="DB97" s="5" t="s">
        <v>56</v>
      </c>
      <c r="DC97" t="s">
        <v>56</v>
      </c>
      <c r="DD97" t="s">
        <v>56</v>
      </c>
      <c r="DE97" t="s">
        <v>56</v>
      </c>
      <c r="DF97" t="s">
        <v>56</v>
      </c>
      <c r="DG97" t="s">
        <v>56</v>
      </c>
      <c r="DH97" t="s">
        <v>56</v>
      </c>
      <c r="DI97" s="6" t="s">
        <v>56</v>
      </c>
      <c r="DJ97" s="6" t="s">
        <v>56</v>
      </c>
      <c r="DN97" t="str">
        <f>HYPERLINK(".\links\SMART\TI_asb-171-SMART.txt","RasGEF")</f>
        <v>RasGEF</v>
      </c>
      <c r="DO97" t="str">
        <f>HYPERLINK("http://smart.embl-heidelberg.de/smart/do_annotation.pl?DOMAIN=RasGEF&amp;BLAST=DUMMY","0.071")</f>
        <v>0.071</v>
      </c>
      <c r="DP97" s="3" t="s">
        <v>56</v>
      </c>
      <c r="ED97" s="3" t="s">
        <v>56</v>
      </c>
    </row>
    <row r="98" spans="1:147">
      <c r="A98" t="str">
        <f>HYPERLINK(".\links\seq\TI_asb-172-seq.txt","TI_asb-172")</f>
        <v>TI_asb-172</v>
      </c>
      <c r="B98">
        <v>172</v>
      </c>
      <c r="C98" t="str">
        <f>HYPERLINK(".\links\tsa\TI_asb-172-tsa.txt","1")</f>
        <v>1</v>
      </c>
      <c r="D98">
        <v>1</v>
      </c>
      <c r="E98">
        <v>504</v>
      </c>
      <c r="F98">
        <v>430</v>
      </c>
      <c r="G98" t="str">
        <f>HYPERLINK(".\links\qual\TI_asb-172-qual.txt","55")</f>
        <v>55</v>
      </c>
      <c r="H98">
        <v>0</v>
      </c>
      <c r="I98">
        <v>1</v>
      </c>
      <c r="J98">
        <f t="shared" si="4"/>
        <v>1</v>
      </c>
      <c r="K98" s="6">
        <f t="shared" si="5"/>
        <v>-1</v>
      </c>
      <c r="L98" s="6" t="s">
        <v>3949</v>
      </c>
      <c r="M98" s="6" t="s">
        <v>3871</v>
      </c>
      <c r="N98" s="6" t="s">
        <v>3872</v>
      </c>
      <c r="O98" s="7">
        <v>3E-32</v>
      </c>
      <c r="P98" s="6">
        <v>100</v>
      </c>
      <c r="Q98" s="3">
        <v>504</v>
      </c>
      <c r="R98" s="3">
        <v>285</v>
      </c>
      <c r="S98" s="3" t="s">
        <v>3577</v>
      </c>
      <c r="T98" s="3">
        <v>1</v>
      </c>
      <c r="U98" t="str">
        <f>HYPERLINK(".\links\NR-LIGHT\TI_asb-172-NR-LIGHT.txt","similar to Sec61p gamma subunit")</f>
        <v>similar to Sec61p gamma subunit</v>
      </c>
      <c r="V98" t="str">
        <f>HYPERLINK("http://www.ncbi.nlm.nih.gov/sutils/blink.cgi?pid=156536879","4E-020")</f>
        <v>4E-020</v>
      </c>
      <c r="W98" t="str">
        <f>HYPERLINK(".\links\NR-LIGHT\TI_asb-172-NR-LIGHT.txt"," 10")</f>
        <v xml:space="preserve"> 10</v>
      </c>
      <c r="X98" t="str">
        <f>HYPERLINK("http://www.ncbi.nlm.nih.gov/protein/156536879","gi|156536879")</f>
        <v>gi|156536879</v>
      </c>
      <c r="Y98">
        <v>99.4</v>
      </c>
      <c r="Z98">
        <v>68</v>
      </c>
      <c r="AA98">
        <v>68</v>
      </c>
      <c r="AB98">
        <v>73</v>
      </c>
      <c r="AC98">
        <v>100</v>
      </c>
      <c r="AD98">
        <v>18</v>
      </c>
      <c r="AE98">
        <v>0</v>
      </c>
      <c r="AF98">
        <v>1</v>
      </c>
      <c r="AG98">
        <v>100</v>
      </c>
      <c r="AH98">
        <v>1</v>
      </c>
      <c r="AI98">
        <v>1</v>
      </c>
      <c r="AJ98" t="s">
        <v>53</v>
      </c>
      <c r="AK98" t="s">
        <v>54</v>
      </c>
      <c r="AL98" t="s">
        <v>66</v>
      </c>
      <c r="AM98" t="str">
        <f>HYPERLINK(".\links\SWISSP\TI_asb-172-SWISSP.txt","Protein transport protein Sec61 subunit gamma OS=Gryllotalpa orientalis")</f>
        <v>Protein transport protein Sec61 subunit gamma OS=Gryllotalpa orientalis</v>
      </c>
      <c r="AN98" s="19" t="str">
        <f>HYPERLINK("http://www.uniprot.org/uniprot/Q7Z1B8","8E-021")</f>
        <v>8E-021</v>
      </c>
      <c r="AO98" t="str">
        <f>HYPERLINK(".\links\SWISSP\TI_asb-172-SWISSP.txt"," 10")</f>
        <v xml:space="preserve"> 10</v>
      </c>
      <c r="AP98" t="s">
        <v>1153</v>
      </c>
      <c r="AQ98">
        <v>99.8</v>
      </c>
      <c r="AR98">
        <v>68</v>
      </c>
      <c r="AS98">
        <v>68</v>
      </c>
      <c r="AT98">
        <v>73</v>
      </c>
      <c r="AU98">
        <v>100</v>
      </c>
      <c r="AV98">
        <v>18</v>
      </c>
      <c r="AW98">
        <v>0</v>
      </c>
      <c r="AX98">
        <v>1</v>
      </c>
      <c r="AY98">
        <v>100</v>
      </c>
      <c r="AZ98">
        <v>1</v>
      </c>
      <c r="BA98">
        <v>1</v>
      </c>
      <c r="BB98" t="s">
        <v>53</v>
      </c>
      <c r="BC98" t="s">
        <v>54</v>
      </c>
      <c r="BD98" t="s">
        <v>1154</v>
      </c>
      <c r="BE98" t="s">
        <v>1155</v>
      </c>
      <c r="BF98" t="s">
        <v>1156</v>
      </c>
      <c r="BG98" t="str">
        <f>HYPERLINK(".\links\PREV-RHOD-PEP\TI_asb-172-PREV-RHOD-PEP.txt","Contig17891_121")</f>
        <v>Contig17891_121</v>
      </c>
      <c r="BH98" s="7">
        <v>1E-22</v>
      </c>
      <c r="BI98" t="str">
        <f>HYPERLINK(".\links\PREV-RHOD-PEP\TI_asb-172-PREV-RHOD-PEP.txt"," 10")</f>
        <v xml:space="preserve"> 10</v>
      </c>
      <c r="BJ98" t="s">
        <v>1157</v>
      </c>
      <c r="BK98">
        <v>101</v>
      </c>
      <c r="BL98">
        <v>66</v>
      </c>
      <c r="BM98">
        <v>66</v>
      </c>
      <c r="BN98">
        <v>80</v>
      </c>
      <c r="BO98">
        <v>100</v>
      </c>
      <c r="BP98">
        <v>13</v>
      </c>
      <c r="BQ98">
        <v>0</v>
      </c>
      <c r="BR98">
        <v>1</v>
      </c>
      <c r="BS98">
        <v>100</v>
      </c>
      <c r="BT98">
        <v>1</v>
      </c>
      <c r="BU98" t="s">
        <v>54</v>
      </c>
      <c r="BV98" t="s">
        <v>1158</v>
      </c>
      <c r="BW98" t="s">
        <v>56</v>
      </c>
      <c r="BX98" t="str">
        <f>HYPERLINK(".\links\PREV-RHOD-CDS\TI_asb-172-PREV-RHOD-CDS.txt","Contig17891_121")</f>
        <v>Contig17891_121</v>
      </c>
      <c r="BY98" s="7">
        <v>4.9999999999999999E-61</v>
      </c>
      <c r="BZ98" t="s">
        <v>1157</v>
      </c>
      <c r="CA98">
        <v>234</v>
      </c>
      <c r="CB98">
        <v>193</v>
      </c>
      <c r="CC98">
        <v>198</v>
      </c>
      <c r="CD98">
        <v>90</v>
      </c>
      <c r="CE98">
        <v>98</v>
      </c>
      <c r="CF98">
        <v>19</v>
      </c>
      <c r="CG98">
        <v>0</v>
      </c>
      <c r="CH98">
        <v>1</v>
      </c>
      <c r="CI98">
        <v>100</v>
      </c>
      <c r="CJ98">
        <v>1</v>
      </c>
      <c r="CK98" t="s">
        <v>54</v>
      </c>
      <c r="CL98" t="s">
        <v>1159</v>
      </c>
      <c r="CM98">
        <f>HYPERLINK(".\links\GO\TI_asb-172-GO.txt",0.0000000000000000004)</f>
        <v>3.9999999999999999E-19</v>
      </c>
      <c r="CN98" t="s">
        <v>898</v>
      </c>
      <c r="CO98" t="s">
        <v>88</v>
      </c>
      <c r="CP98" t="s">
        <v>89</v>
      </c>
      <c r="CQ98" t="s">
        <v>899</v>
      </c>
      <c r="CR98" s="7">
        <v>3.9999999999999999E-19</v>
      </c>
      <c r="CS98" t="s">
        <v>900</v>
      </c>
      <c r="CT98" t="s">
        <v>247</v>
      </c>
      <c r="CU98" t="s">
        <v>247</v>
      </c>
      <c r="CV98" t="s">
        <v>901</v>
      </c>
      <c r="CW98" s="7">
        <v>3.9999999999999999E-19</v>
      </c>
      <c r="CX98" t="s">
        <v>902</v>
      </c>
      <c r="CY98" t="s">
        <v>88</v>
      </c>
      <c r="CZ98" t="s">
        <v>89</v>
      </c>
      <c r="DA98" t="s">
        <v>903</v>
      </c>
      <c r="DB98" s="7">
        <v>3.9999999999999999E-19</v>
      </c>
      <c r="DC98" t="str">
        <f>HYPERLINK(".\links\CDD\TI_asb-172-CDD.txt","Sss1")</f>
        <v>Sss1</v>
      </c>
      <c r="DD98" t="str">
        <f>HYPERLINK("http://www.ncbi.nlm.nih.gov/Structure/cdd/cddsrv.cgi?uid=COG2443&amp;version=v4.0","1E-015")</f>
        <v>1E-015</v>
      </c>
      <c r="DE98" t="s">
        <v>1160</v>
      </c>
      <c r="DF98" t="str">
        <f>HYPERLINK(".\links\PFAM\TI_asb-172-PFAM.txt","SecE")</f>
        <v>SecE</v>
      </c>
      <c r="DG98" t="str">
        <f>HYPERLINK("http://pfam.sanger.ac.uk/family?acc=PF00584","3E-017")</f>
        <v>3E-017</v>
      </c>
      <c r="DH98" t="str">
        <f>HYPERLINK(".\links\PRK\TI_asb-172-PRK.txt","Sec superfamily")</f>
        <v>Sec superfamily</v>
      </c>
      <c r="DI98" s="7">
        <v>9.0000000000000002E-25</v>
      </c>
      <c r="DJ98" s="6" t="str">
        <f>HYPERLINK(".\links\KOG\TI_asb-172-KOG.txt","Nuclear protein, contains WD40 repeats")</f>
        <v>Nuclear protein, contains WD40 repeats</v>
      </c>
      <c r="DK98" s="6" t="str">
        <f>HYPERLINK("http://www.ncbi.nlm.nih.gov/COG/grace/shokog.cgi?KOG1916","0.0")</f>
        <v>0.0</v>
      </c>
      <c r="DL98" s="6" t="s">
        <v>4337</v>
      </c>
      <c r="DM98" s="6" t="str">
        <f>HYPERLINK(".\links\KOG\TI_asb-172-KOG.txt","KOG1916")</f>
        <v>KOG1916</v>
      </c>
      <c r="DN98" t="str">
        <f>HYPERLINK(".\links\SMART\TI_asb-172-SMART.txt","PSN")</f>
        <v>PSN</v>
      </c>
      <c r="DO98" t="str">
        <f>HYPERLINK("http://smart.embl-heidelberg.de/smart/do_annotation.pl?DOMAIN=PSN&amp;BLAST=DUMMY","0.002")</f>
        <v>0.002</v>
      </c>
      <c r="DP98" s="3" t="s">
        <v>56</v>
      </c>
      <c r="ED98" s="3" t="s">
        <v>56</v>
      </c>
    </row>
    <row r="99" spans="1:147">
      <c r="A99" t="str">
        <f>HYPERLINK(".\links\seq\TI_asb-173-seq.txt","TI_asb-173")</f>
        <v>TI_asb-173</v>
      </c>
      <c r="B99">
        <v>173</v>
      </c>
      <c r="C99" t="str">
        <f>HYPERLINK(".\links\tsa\TI_asb-173-tsa.txt","1")</f>
        <v>1</v>
      </c>
      <c r="D99">
        <v>1</v>
      </c>
      <c r="E99">
        <v>927</v>
      </c>
      <c r="F99">
        <v>875</v>
      </c>
      <c r="G99" t="str">
        <f>HYPERLINK(".\links\qual\TI_asb-173-qual.txt","25")</f>
        <v>25</v>
      </c>
      <c r="H99">
        <v>0</v>
      </c>
      <c r="I99">
        <v>1</v>
      </c>
      <c r="J99">
        <f t="shared" si="4"/>
        <v>1</v>
      </c>
      <c r="K99" s="6">
        <f t="shared" si="5"/>
        <v>-1</v>
      </c>
      <c r="L99" s="6" t="s">
        <v>3950</v>
      </c>
      <c r="M99" s="6" t="s">
        <v>3904</v>
      </c>
      <c r="N99" s="6" t="s">
        <v>3872</v>
      </c>
      <c r="O99" s="7">
        <v>1.0000000000000001E-37</v>
      </c>
      <c r="P99" s="6">
        <v>89.5</v>
      </c>
      <c r="Q99" s="3">
        <v>927</v>
      </c>
      <c r="R99" s="3">
        <v>414</v>
      </c>
      <c r="S99" s="3" t="s">
        <v>3578</v>
      </c>
      <c r="T99" s="3">
        <v>3</v>
      </c>
      <c r="U99" t="str">
        <f>HYPERLINK(".\links\NR-LIGHT\TI_asb-173-NR-LIGHT.txt","AGAP003599-PA")</f>
        <v>AGAP003599-PA</v>
      </c>
      <c r="V99" t="str">
        <f>HYPERLINK("http://www.ncbi.nlm.nih.gov/sutils/blink.cgi?pid=118783961","1E-033")</f>
        <v>1E-033</v>
      </c>
      <c r="W99" t="str">
        <f>HYPERLINK(".\links\NR-LIGHT\TI_asb-173-NR-LIGHT.txt"," 10")</f>
        <v xml:space="preserve"> 10</v>
      </c>
      <c r="X99" t="str">
        <f>HYPERLINK("http://www.ncbi.nlm.nih.gov/protein/118783961","gi|118783961")</f>
        <v>gi|118783961</v>
      </c>
      <c r="Y99">
        <v>146</v>
      </c>
      <c r="Z99">
        <v>179</v>
      </c>
      <c r="AA99">
        <v>210</v>
      </c>
      <c r="AB99">
        <v>45</v>
      </c>
      <c r="AC99">
        <v>85</v>
      </c>
      <c r="AD99">
        <v>98</v>
      </c>
      <c r="AE99">
        <v>0</v>
      </c>
      <c r="AF99">
        <v>17</v>
      </c>
      <c r="AG99">
        <v>57</v>
      </c>
      <c r="AH99">
        <v>1</v>
      </c>
      <c r="AI99">
        <v>3</v>
      </c>
      <c r="AJ99" t="s">
        <v>53</v>
      </c>
      <c r="AK99" t="s">
        <v>54</v>
      </c>
      <c r="AL99" t="s">
        <v>1161</v>
      </c>
      <c r="AM99" t="str">
        <f>HYPERLINK(".\links\SWISSP\TI_asb-173-SWISSP.txt","ATP synthase subunit O, mitochondrial OS=Drosophila melanogaster GN=Oscp PE=2")</f>
        <v>ATP synthase subunit O, mitochondrial OS=Drosophila melanogaster GN=Oscp PE=2</v>
      </c>
      <c r="AN99" s="19" t="str">
        <f>HYPERLINK("http://www.uniprot.org/uniprot/Q24439","4E-034")</f>
        <v>4E-034</v>
      </c>
      <c r="AO99" t="str">
        <f>HYPERLINK(".\links\SWISSP\TI_asb-173-SWISSP.txt"," 10")</f>
        <v xml:space="preserve"> 10</v>
      </c>
      <c r="AP99" t="s">
        <v>1162</v>
      </c>
      <c r="AQ99">
        <v>145</v>
      </c>
      <c r="AR99">
        <v>180</v>
      </c>
      <c r="AS99">
        <v>209</v>
      </c>
      <c r="AT99">
        <v>46</v>
      </c>
      <c r="AU99">
        <v>86</v>
      </c>
      <c r="AV99">
        <v>97</v>
      </c>
      <c r="AW99">
        <v>0</v>
      </c>
      <c r="AX99">
        <v>15</v>
      </c>
      <c r="AY99">
        <v>54</v>
      </c>
      <c r="AZ99">
        <v>1</v>
      </c>
      <c r="BA99">
        <v>3</v>
      </c>
      <c r="BB99" t="s">
        <v>53</v>
      </c>
      <c r="BC99" t="s">
        <v>54</v>
      </c>
      <c r="BD99" t="s">
        <v>143</v>
      </c>
      <c r="BE99" t="s">
        <v>1163</v>
      </c>
      <c r="BF99" t="s">
        <v>1164</v>
      </c>
      <c r="BG99" t="str">
        <f>HYPERLINK(".\links\PREV-RHOD-PEP\TI_asb-173-PREV-RHOD-PEP.txt","Contig17635_30")</f>
        <v>Contig17635_30</v>
      </c>
      <c r="BH99" s="7">
        <v>2.0000000000000001E-58</v>
      </c>
      <c r="BI99" t="str">
        <f>HYPERLINK(".\links\PREV-RHOD-PEP\TI_asb-173-PREV-RHOD-PEP.txt"," 9")</f>
        <v xml:space="preserve"> 9</v>
      </c>
      <c r="BJ99" t="s">
        <v>1165</v>
      </c>
      <c r="BK99">
        <v>221</v>
      </c>
      <c r="BL99">
        <v>190</v>
      </c>
      <c r="BM99">
        <v>208</v>
      </c>
      <c r="BN99">
        <v>64</v>
      </c>
      <c r="BO99">
        <v>91</v>
      </c>
      <c r="BP99">
        <v>67</v>
      </c>
      <c r="BQ99">
        <v>0</v>
      </c>
      <c r="BR99">
        <v>4</v>
      </c>
      <c r="BS99">
        <v>24</v>
      </c>
      <c r="BT99">
        <v>1</v>
      </c>
      <c r="BU99" t="s">
        <v>54</v>
      </c>
      <c r="BV99" t="s">
        <v>1166</v>
      </c>
      <c r="BW99" t="s">
        <v>56</v>
      </c>
      <c r="BX99" t="str">
        <f>HYPERLINK(".\links\PREV-RHOD-CDS\TI_asb-173-PREV-RHOD-CDS.txt","Contig17635_30")</f>
        <v>Contig17635_30</v>
      </c>
      <c r="BY99" s="7">
        <v>7.0000000000000003E-74</v>
      </c>
      <c r="BZ99" t="s">
        <v>1165</v>
      </c>
      <c r="CA99">
        <v>278</v>
      </c>
      <c r="CB99">
        <v>335</v>
      </c>
      <c r="CC99">
        <v>627</v>
      </c>
      <c r="CD99">
        <v>85</v>
      </c>
      <c r="CE99">
        <v>54</v>
      </c>
      <c r="CF99">
        <v>49</v>
      </c>
      <c r="CG99">
        <v>0</v>
      </c>
      <c r="CH99">
        <v>47</v>
      </c>
      <c r="CI99">
        <v>61</v>
      </c>
      <c r="CJ99">
        <v>1</v>
      </c>
      <c r="CK99" t="s">
        <v>54</v>
      </c>
      <c r="CL99" t="s">
        <v>1167</v>
      </c>
      <c r="CM99">
        <f>HYPERLINK(".\links\GO\TI_asb-173-GO.txt",1E-34)</f>
        <v>9.9999999999999993E-35</v>
      </c>
      <c r="CN99" t="s">
        <v>375</v>
      </c>
      <c r="CO99" t="s">
        <v>129</v>
      </c>
      <c r="CP99" t="s">
        <v>166</v>
      </c>
      <c r="CQ99" t="s">
        <v>376</v>
      </c>
      <c r="CR99" s="7">
        <v>9.9999999999999993E-35</v>
      </c>
      <c r="CS99" t="s">
        <v>1168</v>
      </c>
      <c r="CT99" t="s">
        <v>75</v>
      </c>
      <c r="CU99" t="s">
        <v>378</v>
      </c>
      <c r="CV99" t="s">
        <v>1169</v>
      </c>
      <c r="CW99" s="7">
        <v>9.9999999999999993E-35</v>
      </c>
      <c r="CX99" t="s">
        <v>380</v>
      </c>
      <c r="CY99" t="s">
        <v>129</v>
      </c>
      <c r="CZ99" t="s">
        <v>166</v>
      </c>
      <c r="DA99" t="s">
        <v>381</v>
      </c>
      <c r="DB99" s="7">
        <v>9.9999999999999993E-35</v>
      </c>
      <c r="DC99" t="str">
        <f>HYPERLINK(".\links\CDD\TI_asb-173-CDD.txt","OSCP")</f>
        <v>OSCP</v>
      </c>
      <c r="DD99" t="str">
        <f>HYPERLINK("http://www.ncbi.nlm.nih.gov/Structure/cdd/cddsrv.cgi?uid=pfam00213&amp;version=v4.0","3E-022")</f>
        <v>3E-022</v>
      </c>
      <c r="DE99" t="s">
        <v>1170</v>
      </c>
      <c r="DF99" t="str">
        <f>HYPERLINK(".\links\PFAM\TI_asb-173-PFAM.txt","OSCP")</f>
        <v>OSCP</v>
      </c>
      <c r="DG99" t="str">
        <f>HYPERLINK("http://pfam.sanger.ac.uk/family?acc=PF00213","6E-023")</f>
        <v>6E-023</v>
      </c>
      <c r="DH99" t="str">
        <f>HYPERLINK(".\links\PRK\TI_asb-173-PRK.txt","F0F1 ATP synthase subunit delta")</f>
        <v>F0F1 ATP synthase subunit delta</v>
      </c>
      <c r="DI99" s="7">
        <v>1E-14</v>
      </c>
      <c r="DJ99" s="6" t="str">
        <f>HYPERLINK(".\links\KOG\TI_asb-173-KOG.txt","Nuclear protein, contains WD40 repeats")</f>
        <v>Nuclear protein, contains WD40 repeats</v>
      </c>
      <c r="DK99" s="6" t="str">
        <f>HYPERLINK("http://www.ncbi.nlm.nih.gov/COG/grace/shokog.cgi?KOG1916","0.0")</f>
        <v>0.0</v>
      </c>
      <c r="DL99" s="6" t="s">
        <v>4337</v>
      </c>
      <c r="DM99" s="6" t="str">
        <f>HYPERLINK(".\links\KOG\TI_asb-173-KOG.txt","KOG1916")</f>
        <v>KOG1916</v>
      </c>
      <c r="DN99" t="str">
        <f>HYPERLINK(".\links\SMART\TI_asb-173-SMART.txt","dDENN")</f>
        <v>dDENN</v>
      </c>
      <c r="DO99" t="str">
        <f>HYPERLINK("http://smart.embl-heidelberg.de/smart/do_annotation.pl?DOMAIN=dDENN&amp;BLAST=DUMMY","0.004")</f>
        <v>0.004</v>
      </c>
      <c r="DP99" s="3" t="s">
        <v>56</v>
      </c>
      <c r="ED99" s="3" t="s">
        <v>56</v>
      </c>
    </row>
    <row r="100" spans="1:147">
      <c r="A100" t="str">
        <f>HYPERLINK(".\links\seq\TI_asb-175-seq.txt","TI_asb-175")</f>
        <v>TI_asb-175</v>
      </c>
      <c r="B100">
        <v>175</v>
      </c>
      <c r="C100" t="str">
        <f>HYPERLINK(".\links\tsa\TI_asb-175-tsa.txt","5")</f>
        <v>5</v>
      </c>
      <c r="D100">
        <v>5</v>
      </c>
      <c r="E100">
        <v>915</v>
      </c>
      <c r="F100">
        <v>888</v>
      </c>
      <c r="G100" t="str">
        <f>HYPERLINK(".\links\qual\TI_asb-175-qual.txt","70")</f>
        <v>70</v>
      </c>
      <c r="H100">
        <v>0</v>
      </c>
      <c r="I100">
        <v>2</v>
      </c>
      <c r="J100">
        <f t="shared" si="4"/>
        <v>2</v>
      </c>
      <c r="K100" s="6">
        <f t="shared" si="5"/>
        <v>-2</v>
      </c>
      <c r="L100" s="6" t="s">
        <v>3952</v>
      </c>
      <c r="M100" s="6" t="s">
        <v>3863</v>
      </c>
      <c r="N100" s="6" t="s">
        <v>3902</v>
      </c>
      <c r="O100" s="6">
        <v>2E-12</v>
      </c>
      <c r="P100" s="6">
        <v>67.099999999999994</v>
      </c>
      <c r="Q100" s="3">
        <v>915</v>
      </c>
      <c r="R100" s="3">
        <v>750</v>
      </c>
      <c r="S100" s="3" t="s">
        <v>3579</v>
      </c>
      <c r="T100" s="3">
        <v>2</v>
      </c>
      <c r="U100" t="str">
        <f>HYPERLINK(".\links\NR-LIGHT\TI_asb-175-NR-LIGHT.txt","hypothetical protein DAPPUDRAFT_308200")</f>
        <v>hypothetical protein DAPPUDRAFT_308200</v>
      </c>
      <c r="V100" t="str">
        <f>HYPERLINK("http://www.ncbi.nlm.nih.gov/sutils/blink.cgi?pid=321461569","2E-005")</f>
        <v>2E-005</v>
      </c>
      <c r="W100" t="str">
        <f>HYPERLINK(".\links\NR-LIGHT\TI_asb-175-NR-LIGHT.txt"," 10")</f>
        <v xml:space="preserve"> 10</v>
      </c>
      <c r="X100" t="str">
        <f>HYPERLINK("http://www.ncbi.nlm.nih.gov/protein/321461569","gi|321461569")</f>
        <v>gi|321461569</v>
      </c>
      <c r="Y100">
        <v>52.4</v>
      </c>
      <c r="Z100">
        <v>157</v>
      </c>
      <c r="AA100">
        <v>450</v>
      </c>
      <c r="AB100">
        <v>22</v>
      </c>
      <c r="AC100">
        <v>35</v>
      </c>
      <c r="AD100">
        <v>121</v>
      </c>
      <c r="AE100">
        <v>9</v>
      </c>
      <c r="AF100">
        <v>36</v>
      </c>
      <c r="AG100">
        <v>113</v>
      </c>
      <c r="AH100">
        <v>1</v>
      </c>
      <c r="AI100">
        <v>2</v>
      </c>
      <c r="AJ100" t="s">
        <v>53</v>
      </c>
      <c r="AK100" t="s">
        <v>54</v>
      </c>
      <c r="AL100" t="s">
        <v>193</v>
      </c>
      <c r="AM100" t="str">
        <f>HYPERLINK(".\links\SWISSP\TI_asb-175-SWISSP.txt","Arginyl-tRNA synthetase OS=Mycoplasma hyopneumoniae (strain 7448) GN=argS PE=3")</f>
        <v>Arginyl-tRNA synthetase OS=Mycoplasma hyopneumoniae (strain 7448) GN=argS PE=3</v>
      </c>
      <c r="AN100" s="19" t="str">
        <f>HYPERLINK("http://www.uniprot.org/uniprot/Q4A900","3.6")</f>
        <v>3.6</v>
      </c>
      <c r="AO100" t="str">
        <f>HYPERLINK(".\links\SWISSP\TI_asb-175-SWISSP.txt"," 4")</f>
        <v xml:space="preserve"> 4</v>
      </c>
      <c r="AP100" t="s">
        <v>1175</v>
      </c>
      <c r="AQ100">
        <v>32.700000000000003</v>
      </c>
      <c r="AR100">
        <v>61</v>
      </c>
      <c r="AS100">
        <v>534</v>
      </c>
      <c r="AT100">
        <v>32</v>
      </c>
      <c r="AU100">
        <v>11</v>
      </c>
      <c r="AV100">
        <v>41</v>
      </c>
      <c r="AW100">
        <v>1</v>
      </c>
      <c r="AX100">
        <v>164</v>
      </c>
      <c r="AY100">
        <v>128</v>
      </c>
      <c r="AZ100">
        <v>1</v>
      </c>
      <c r="BA100">
        <v>2</v>
      </c>
      <c r="BB100" t="s">
        <v>53</v>
      </c>
      <c r="BC100" t="s">
        <v>54</v>
      </c>
      <c r="BD100" t="s">
        <v>1176</v>
      </c>
      <c r="BE100" t="s">
        <v>1177</v>
      </c>
      <c r="BF100" t="s">
        <v>1178</v>
      </c>
      <c r="BG100" t="str">
        <f>HYPERLINK(".\links\PREV-RHOD-PEP\TI_asb-175-PREV-RHOD-PEP.txt","Contig17963_37")</f>
        <v>Contig17963_37</v>
      </c>
      <c r="BH100" s="7">
        <v>9.9999999999999996E-104</v>
      </c>
      <c r="BI100" t="str">
        <f>HYPERLINK(".\links\PREV-RHOD-PEP\TI_asb-175-PREV-RHOD-PEP.txt"," 10")</f>
        <v xml:space="preserve"> 10</v>
      </c>
      <c r="BJ100" t="s">
        <v>1179</v>
      </c>
      <c r="BK100">
        <v>370</v>
      </c>
      <c r="BL100">
        <v>233</v>
      </c>
      <c r="BM100">
        <v>233</v>
      </c>
      <c r="BN100">
        <v>75</v>
      </c>
      <c r="BO100">
        <v>100</v>
      </c>
      <c r="BP100">
        <v>57</v>
      </c>
      <c r="BQ100">
        <v>0</v>
      </c>
      <c r="BR100">
        <v>1</v>
      </c>
      <c r="BS100">
        <v>53</v>
      </c>
      <c r="BT100">
        <v>1</v>
      </c>
      <c r="BU100" t="s">
        <v>54</v>
      </c>
      <c r="BV100" t="s">
        <v>1180</v>
      </c>
      <c r="BW100" t="s">
        <v>56</v>
      </c>
      <c r="BX100" t="str">
        <f>HYPERLINK(".\links\PREV-RHOD-CDS\TI_asb-175-PREV-RHOD-CDS.txt","Contig17963_37")</f>
        <v>Contig17963_37</v>
      </c>
      <c r="BY100" s="7">
        <v>2.0000000000000001E-58</v>
      </c>
      <c r="BZ100" t="s">
        <v>1179</v>
      </c>
      <c r="CA100">
        <v>226</v>
      </c>
      <c r="CB100">
        <v>364</v>
      </c>
      <c r="CC100">
        <v>702</v>
      </c>
      <c r="CD100">
        <v>83</v>
      </c>
      <c r="CE100">
        <v>52</v>
      </c>
      <c r="CF100">
        <v>61</v>
      </c>
      <c r="CG100">
        <v>2</v>
      </c>
      <c r="CH100">
        <v>1</v>
      </c>
      <c r="CI100">
        <v>53</v>
      </c>
      <c r="CJ100">
        <v>1</v>
      </c>
      <c r="CK100" t="s">
        <v>54</v>
      </c>
      <c r="CL100" t="s">
        <v>1181</v>
      </c>
      <c r="CM100">
        <f>HYPERLINK(".\links\GO\TI_asb-175-GO.txt",0.35)</f>
        <v>0.35</v>
      </c>
      <c r="CN100" t="s">
        <v>58</v>
      </c>
      <c r="CO100" t="s">
        <v>58</v>
      </c>
      <c r="CQ100" t="s">
        <v>59</v>
      </c>
      <c r="CR100" s="6">
        <v>5</v>
      </c>
      <c r="CS100" t="s">
        <v>60</v>
      </c>
      <c r="CT100" t="s">
        <v>60</v>
      </c>
      <c r="CV100" t="s">
        <v>61</v>
      </c>
      <c r="CW100" s="6">
        <v>5</v>
      </c>
      <c r="CX100" t="s">
        <v>62</v>
      </c>
      <c r="CY100" t="s">
        <v>58</v>
      </c>
      <c r="DA100" t="s">
        <v>63</v>
      </c>
      <c r="DB100" s="6">
        <v>5</v>
      </c>
      <c r="DC100" t="str">
        <f>HYPERLINK(".\links\CDD\TI_asb-175-CDD.txt","JHBP")</f>
        <v>JHBP</v>
      </c>
      <c r="DD100" t="str">
        <f>HYPERLINK("http://www.ncbi.nlm.nih.gov/Structure/cdd/cddsrv.cgi?uid=smart00700&amp;version=v4.0","2E-010")</f>
        <v>2E-010</v>
      </c>
      <c r="DE100" t="s">
        <v>1182</v>
      </c>
      <c r="DF100" t="str">
        <f>HYPERLINK(".\links\PFAM\TI_asb-175-PFAM.txt","DUF233")</f>
        <v>DUF233</v>
      </c>
      <c r="DG100" t="str">
        <f>HYPERLINK("http://pfam.sanger.ac.uk/family?acc=PF03027","0.003")</f>
        <v>0.003</v>
      </c>
      <c r="DH100" t="str">
        <f>HYPERLINK(".\links\PRK\TI_asb-175-PRK.txt","flagellar biosynthesis protein FliZ")</f>
        <v>flagellar biosynthesis protein FliZ</v>
      </c>
      <c r="DI100" s="6">
        <v>1.4E-2</v>
      </c>
      <c r="DJ100" s="6" t="str">
        <f>HYPERLINK(".\links\KOG\TI_asb-175-KOG.txt","Uncharacterized conserved protein")</f>
        <v>Uncharacterized conserved protein</v>
      </c>
      <c r="DK100" s="6" t="str">
        <f>HYPERLINK("http://www.ncbi.nlm.nih.gov/COG/grace/shokog.cgi?KOG3852","0.065")</f>
        <v>0.065</v>
      </c>
      <c r="DL100" s="6" t="s">
        <v>4347</v>
      </c>
      <c r="DM100" s="6" t="str">
        <f>HYPERLINK(".\links\KOG\TI_asb-175-KOG.txt","KOG3852")</f>
        <v>KOG3852</v>
      </c>
      <c r="DN100" t="str">
        <f>HYPERLINK(".\links\SMART\TI_asb-175-SMART.txt","JHBP")</f>
        <v>JHBP</v>
      </c>
      <c r="DO100" t="str">
        <f>HYPERLINK("http://smart.embl-heidelberg.de/smart/do_annotation.pl?DOMAIN=JHBP&amp;BLAST=DUMMY","2E-012")</f>
        <v>2E-012</v>
      </c>
      <c r="DP100" s="3" t="s">
        <v>56</v>
      </c>
      <c r="ED100" s="3" t="s">
        <v>56</v>
      </c>
    </row>
    <row r="101" spans="1:147">
      <c r="A101" t="str">
        <f>HYPERLINK(".\links\seq\TI_asb-178-seq.txt","TI_asb-178")</f>
        <v>TI_asb-178</v>
      </c>
      <c r="B101">
        <v>178</v>
      </c>
      <c r="C101" t="str">
        <f>HYPERLINK(".\links\tsa\TI_asb-178-tsa.txt","1")</f>
        <v>1</v>
      </c>
      <c r="D101">
        <v>1</v>
      </c>
      <c r="E101">
        <v>497</v>
      </c>
      <c r="G101" t="str">
        <f>HYPERLINK(".\links\qual\TI_asb-178-qual.txt","47")</f>
        <v>47</v>
      </c>
      <c r="H101">
        <v>1</v>
      </c>
      <c r="I101">
        <v>0</v>
      </c>
      <c r="J101">
        <f t="shared" si="4"/>
        <v>1</v>
      </c>
      <c r="K101" s="6">
        <f t="shared" si="5"/>
        <v>1</v>
      </c>
      <c r="L101" s="6" t="s">
        <v>3868</v>
      </c>
      <c r="M101" s="6" t="s">
        <v>3869</v>
      </c>
      <c r="N101" s="6"/>
      <c r="O101" s="6"/>
      <c r="P101" s="6"/>
      <c r="Q101" s="3">
        <v>497</v>
      </c>
      <c r="R101" s="3">
        <v>468</v>
      </c>
      <c r="S101" s="6" t="s">
        <v>3580</v>
      </c>
      <c r="T101" s="3">
        <v>3</v>
      </c>
      <c r="U101" t="str">
        <f>HYPERLINK(".\links\NR-LIGHT\TI_asb-178-NR-LIGHT.txt","chromosome partitioning protein ParB")</f>
        <v>chromosome partitioning protein ParB</v>
      </c>
      <c r="V101" t="str">
        <f>HYPERLINK("http://www.ncbi.nlm.nih.gov/sutils/blink.cgi?pid=270265402","2.6")</f>
        <v>2.6</v>
      </c>
      <c r="W101" t="str">
        <f>HYPERLINK(".\links\NR-LIGHT\TI_asb-178-NR-LIGHT.txt"," 10")</f>
        <v xml:space="preserve"> 10</v>
      </c>
      <c r="X101" t="str">
        <f>HYPERLINK("http://www.ncbi.nlm.nih.gov/protein/270265402","gi|270265402")</f>
        <v>gi|270265402</v>
      </c>
      <c r="Y101">
        <v>33.5</v>
      </c>
      <c r="Z101">
        <v>72</v>
      </c>
      <c r="AA101">
        <v>385</v>
      </c>
      <c r="AB101">
        <v>31</v>
      </c>
      <c r="AC101">
        <v>19</v>
      </c>
      <c r="AD101">
        <v>49</v>
      </c>
      <c r="AE101">
        <v>8</v>
      </c>
      <c r="AF101">
        <v>129</v>
      </c>
      <c r="AG101">
        <v>93</v>
      </c>
      <c r="AH101">
        <v>1</v>
      </c>
      <c r="AI101">
        <v>3</v>
      </c>
      <c r="AJ101" t="s">
        <v>53</v>
      </c>
      <c r="AK101" t="s">
        <v>54</v>
      </c>
      <c r="AL101" t="s">
        <v>1183</v>
      </c>
      <c r="AM101" t="str">
        <f>HYPERLINK(".\links\SWISSP\TI_asb-178-SWISSP.txt","50S ribosomal protein L25 OS=Clostridium phytofermentans (strain ATCC 700394 /")</f>
        <v>50S ribosomal protein L25 OS=Clostridium phytofermentans (strain ATCC 700394 /</v>
      </c>
      <c r="AN101" s="19" t="str">
        <f>HYPERLINK("http://www.uniprot.org/uniprot/A9KSE6","1.1")</f>
        <v>1.1</v>
      </c>
      <c r="AO101" t="str">
        <f>HYPERLINK(".\links\SWISSP\TI_asb-178-SWISSP.txt"," 10")</f>
        <v xml:space="preserve"> 10</v>
      </c>
      <c r="AP101" t="s">
        <v>1184</v>
      </c>
      <c r="AQ101">
        <v>32.700000000000003</v>
      </c>
      <c r="AR101">
        <v>77</v>
      </c>
      <c r="AS101">
        <v>193</v>
      </c>
      <c r="AT101">
        <v>33</v>
      </c>
      <c r="AU101">
        <v>40</v>
      </c>
      <c r="AV101">
        <v>51</v>
      </c>
      <c r="AW101">
        <v>7</v>
      </c>
      <c r="AX101">
        <v>94</v>
      </c>
      <c r="AY101">
        <v>162</v>
      </c>
      <c r="AZ101">
        <v>1</v>
      </c>
      <c r="BA101">
        <v>3</v>
      </c>
      <c r="BB101" t="s">
        <v>53</v>
      </c>
      <c r="BC101" t="s">
        <v>54</v>
      </c>
      <c r="BD101" t="s">
        <v>1185</v>
      </c>
      <c r="BE101" t="s">
        <v>1186</v>
      </c>
      <c r="BF101" t="s">
        <v>1187</v>
      </c>
      <c r="BG101" t="str">
        <f>HYPERLINK(".\links\PREV-RHOD-PEP\TI_asb-178-PREV-RHOD-PEP.txt","Contig7471_2")</f>
        <v>Contig7471_2</v>
      </c>
      <c r="BH101" s="7">
        <v>2.0000000000000001E-33</v>
      </c>
      <c r="BI101" t="str">
        <f>HYPERLINK(".\links\PREV-RHOD-PEP\TI_asb-178-PREV-RHOD-PEP.txt"," 10")</f>
        <v xml:space="preserve"> 10</v>
      </c>
      <c r="BJ101" t="s">
        <v>1188</v>
      </c>
      <c r="BK101">
        <v>134</v>
      </c>
      <c r="BL101">
        <v>140</v>
      </c>
      <c r="BM101">
        <v>410</v>
      </c>
      <c r="BN101">
        <v>50</v>
      </c>
      <c r="BO101">
        <v>34</v>
      </c>
      <c r="BP101">
        <v>69</v>
      </c>
      <c r="BQ101">
        <v>1</v>
      </c>
      <c r="BR101">
        <v>149</v>
      </c>
      <c r="BS101">
        <v>45</v>
      </c>
      <c r="BT101">
        <v>2</v>
      </c>
      <c r="BU101" t="s">
        <v>54</v>
      </c>
      <c r="BV101" t="s">
        <v>1189</v>
      </c>
      <c r="BW101" t="s">
        <v>439</v>
      </c>
      <c r="BX101" t="str">
        <f>HYPERLINK(".\links\PREV-RHOD-CDS\TI_asb-178-PREV-RHOD-CDS.txt","Contig17651_7")</f>
        <v>Contig17651_7</v>
      </c>
      <c r="BY101" s="6">
        <v>1.6E-2</v>
      </c>
      <c r="BZ101" t="s">
        <v>1190</v>
      </c>
      <c r="CA101">
        <v>40.1</v>
      </c>
      <c r="CB101">
        <v>19</v>
      </c>
      <c r="CC101">
        <v>632</v>
      </c>
      <c r="CD101">
        <v>100</v>
      </c>
      <c r="CE101">
        <v>3</v>
      </c>
      <c r="CF101">
        <v>0</v>
      </c>
      <c r="CG101">
        <v>0</v>
      </c>
      <c r="CH101">
        <v>147</v>
      </c>
      <c r="CI101">
        <v>474</v>
      </c>
      <c r="CJ101">
        <v>1</v>
      </c>
      <c r="CK101" t="s">
        <v>54</v>
      </c>
      <c r="CL101" t="s">
        <v>1191</v>
      </c>
      <c r="CM101">
        <f>HYPERLINK(".\links\GO\TI_asb-178-GO.txt",0.76)</f>
        <v>0.76</v>
      </c>
      <c r="CN101" t="s">
        <v>1011</v>
      </c>
      <c r="CO101" t="s">
        <v>1012</v>
      </c>
      <c r="CP101" t="s">
        <v>1013</v>
      </c>
      <c r="CQ101" t="s">
        <v>1014</v>
      </c>
      <c r="CR101" s="6">
        <v>1.3</v>
      </c>
      <c r="CS101" t="s">
        <v>74</v>
      </c>
      <c r="CT101" t="s">
        <v>75</v>
      </c>
      <c r="CU101" t="s">
        <v>76</v>
      </c>
      <c r="CV101" t="s">
        <v>77</v>
      </c>
      <c r="CW101" s="6">
        <v>1.3</v>
      </c>
      <c r="CX101" t="s">
        <v>1192</v>
      </c>
      <c r="CY101" t="s">
        <v>1012</v>
      </c>
      <c r="CZ101" t="s">
        <v>1013</v>
      </c>
      <c r="DA101" t="s">
        <v>1193</v>
      </c>
      <c r="DB101" s="6">
        <v>1.3</v>
      </c>
      <c r="DC101" t="s">
        <v>56</v>
      </c>
      <c r="DD101" t="s">
        <v>56</v>
      </c>
      <c r="DE101" t="s">
        <v>56</v>
      </c>
      <c r="DF101" t="s">
        <v>56</v>
      </c>
      <c r="DG101" t="s">
        <v>56</v>
      </c>
      <c r="DH101" t="s">
        <v>56</v>
      </c>
      <c r="DI101" s="6" t="s">
        <v>56</v>
      </c>
      <c r="DJ101" s="6" t="s">
        <v>56</v>
      </c>
      <c r="DN101" t="str">
        <f>HYPERLINK(".\links\SMART\TI_asb-178-SMART.txt","PLCXc")</f>
        <v>PLCXc</v>
      </c>
      <c r="DO101" t="str">
        <f>HYPERLINK("http://smart.embl-heidelberg.de/smart/do_annotation.pl?DOMAIN=PLCXc&amp;BLAST=DUMMY","0.053")</f>
        <v>0.053</v>
      </c>
      <c r="DP101" s="3" t="s">
        <v>56</v>
      </c>
      <c r="ED101" s="3" t="s">
        <v>56</v>
      </c>
    </row>
    <row r="102" spans="1:147">
      <c r="A102" t="str">
        <f>HYPERLINK(".\links\seq\TI_asb-180-seq.txt","TI_asb-180")</f>
        <v>TI_asb-180</v>
      </c>
      <c r="B102">
        <v>180</v>
      </c>
      <c r="C102" t="str">
        <f>HYPERLINK(".\links\tsa\TI_asb-180-tsa.txt","1")</f>
        <v>1</v>
      </c>
      <c r="D102">
        <v>1</v>
      </c>
      <c r="E102">
        <v>645</v>
      </c>
      <c r="G102" t="str">
        <f>HYPERLINK(".\links\qual\TI_asb-180-qual.txt","46")</f>
        <v>46</v>
      </c>
      <c r="H102">
        <v>1</v>
      </c>
      <c r="I102">
        <v>0</v>
      </c>
      <c r="J102">
        <f t="shared" si="4"/>
        <v>1</v>
      </c>
      <c r="K102" s="6">
        <f t="shared" si="5"/>
        <v>1</v>
      </c>
      <c r="L102" s="6" t="s">
        <v>3953</v>
      </c>
      <c r="M102" s="6" t="s">
        <v>3886</v>
      </c>
      <c r="N102" s="6" t="s">
        <v>3864</v>
      </c>
      <c r="O102" s="7">
        <v>9.9999999999999998E-67</v>
      </c>
      <c r="P102" s="6">
        <v>73.8</v>
      </c>
      <c r="Q102" s="3">
        <v>645</v>
      </c>
      <c r="R102" s="3">
        <v>639</v>
      </c>
      <c r="S102" s="6" t="s">
        <v>3581</v>
      </c>
      <c r="T102" s="3">
        <v>1</v>
      </c>
      <c r="U102" t="str">
        <f>HYPERLINK(".\links\NR-LIGHT\TI_asb-180-NR-LIGHT.txt","hypothetical protein TcasGA2_TC000274")</f>
        <v>hypothetical protein TcasGA2_TC000274</v>
      </c>
      <c r="V102" t="str">
        <f>HYPERLINK("http://www.ncbi.nlm.nih.gov/sutils/blink.cgi?pid=270001445","1E-066")</f>
        <v>1E-066</v>
      </c>
      <c r="W102" t="str">
        <f>HYPERLINK(".\links\NR-LIGHT\TI_asb-180-NR-LIGHT.txt"," 10")</f>
        <v xml:space="preserve"> 10</v>
      </c>
      <c r="X102" t="str">
        <f>HYPERLINK("http://www.ncbi.nlm.nih.gov/protein/270001445","gi|270001445")</f>
        <v>gi|270001445</v>
      </c>
      <c r="Y102">
        <v>254</v>
      </c>
      <c r="Z102">
        <v>223</v>
      </c>
      <c r="AA102">
        <v>302</v>
      </c>
      <c r="AB102">
        <v>59</v>
      </c>
      <c r="AC102">
        <v>74</v>
      </c>
      <c r="AD102">
        <v>90</v>
      </c>
      <c r="AE102">
        <v>12</v>
      </c>
      <c r="AF102">
        <v>54</v>
      </c>
      <c r="AG102">
        <v>10</v>
      </c>
      <c r="AH102">
        <v>1</v>
      </c>
      <c r="AI102">
        <v>1</v>
      </c>
      <c r="AJ102" t="s">
        <v>53</v>
      </c>
      <c r="AK102" t="s">
        <v>54</v>
      </c>
      <c r="AL102" t="s">
        <v>79</v>
      </c>
      <c r="AM102" t="str">
        <f>HYPERLINK(".\links\SWISSP\TI_asb-180-SWISSP.txt","Glycine N-acyltransferase-like protein 3 OS=Homo sapiens GN=GLYATL3 PE=2 SV=3")</f>
        <v>Glycine N-acyltransferase-like protein 3 OS=Homo sapiens GN=GLYATL3 PE=2 SV=3</v>
      </c>
      <c r="AN102" s="19" t="str">
        <f>HYPERLINK("http://www.uniprot.org/uniprot/Q5SZD4","0.003")</f>
        <v>0.003</v>
      </c>
      <c r="AO102" t="str">
        <f>HYPERLINK(".\links\SWISSP\TI_asb-180-SWISSP.txt"," 10")</f>
        <v xml:space="preserve"> 10</v>
      </c>
      <c r="AP102" t="s">
        <v>1194</v>
      </c>
      <c r="AQ102">
        <v>42.4</v>
      </c>
      <c r="AR102">
        <v>66</v>
      </c>
      <c r="AS102">
        <v>288</v>
      </c>
      <c r="AT102">
        <v>34</v>
      </c>
      <c r="AU102">
        <v>23</v>
      </c>
      <c r="AV102">
        <v>43</v>
      </c>
      <c r="AW102">
        <v>0</v>
      </c>
      <c r="AX102">
        <v>198</v>
      </c>
      <c r="AY102">
        <v>433</v>
      </c>
      <c r="AZ102">
        <v>1</v>
      </c>
      <c r="BA102">
        <v>1</v>
      </c>
      <c r="BB102" t="s">
        <v>53</v>
      </c>
      <c r="BC102" t="s">
        <v>54</v>
      </c>
      <c r="BD102" t="s">
        <v>330</v>
      </c>
      <c r="BE102" t="s">
        <v>1195</v>
      </c>
      <c r="BF102" t="s">
        <v>1196</v>
      </c>
      <c r="BG102" t="str">
        <f>HYPERLINK(".\links\PREV-RHOD-PEP\TI_asb-180-PREV-RHOD-PEP.txt","Contig17089_5")</f>
        <v>Contig17089_5</v>
      </c>
      <c r="BH102" s="7">
        <v>2E-85</v>
      </c>
      <c r="BI102" t="str">
        <f>HYPERLINK(".\links\PREV-RHOD-PEP\TI_asb-180-PREV-RHOD-PEP.txt"," 10")</f>
        <v xml:space="preserve"> 10</v>
      </c>
      <c r="BJ102" t="s">
        <v>1197</v>
      </c>
      <c r="BK102">
        <v>311</v>
      </c>
      <c r="BL102">
        <v>194</v>
      </c>
      <c r="BM102">
        <v>866</v>
      </c>
      <c r="BN102">
        <v>80</v>
      </c>
      <c r="BO102">
        <v>22</v>
      </c>
      <c r="BP102">
        <v>37</v>
      </c>
      <c r="BQ102">
        <v>0</v>
      </c>
      <c r="BR102">
        <v>128</v>
      </c>
      <c r="BS102">
        <v>40</v>
      </c>
      <c r="BT102">
        <v>1</v>
      </c>
      <c r="BU102" t="s">
        <v>54</v>
      </c>
      <c r="BV102" t="s">
        <v>1198</v>
      </c>
      <c r="BW102" t="s">
        <v>56</v>
      </c>
      <c r="BX102" t="str">
        <f>HYPERLINK(".\links\PREV-RHOD-CDS\TI_asb-180-PREV-RHOD-CDS.txt","Contig17089_5")</f>
        <v>Contig17089_5</v>
      </c>
      <c r="BY102" s="6">
        <v>0</v>
      </c>
      <c r="BZ102" t="s">
        <v>1197</v>
      </c>
      <c r="CA102">
        <v>652</v>
      </c>
      <c r="CB102">
        <v>568</v>
      </c>
      <c r="CC102">
        <v>2601</v>
      </c>
      <c r="CD102">
        <v>89</v>
      </c>
      <c r="CE102">
        <v>22</v>
      </c>
      <c r="CF102">
        <v>60</v>
      </c>
      <c r="CG102">
        <v>0</v>
      </c>
      <c r="CH102">
        <v>391</v>
      </c>
      <c r="CI102">
        <v>49</v>
      </c>
      <c r="CJ102">
        <v>1</v>
      </c>
      <c r="CK102" t="s">
        <v>54</v>
      </c>
      <c r="CL102" t="s">
        <v>1199</v>
      </c>
      <c r="CM102">
        <f>HYPERLINK(".\links\GO\TI_asb-180-GO.txt",0.0003)</f>
        <v>2.9999999999999997E-4</v>
      </c>
      <c r="CN102" t="s">
        <v>1200</v>
      </c>
      <c r="CO102" t="s">
        <v>129</v>
      </c>
      <c r="CP102" t="s">
        <v>151</v>
      </c>
      <c r="CQ102" t="s">
        <v>1201</v>
      </c>
      <c r="CR102" s="6">
        <v>5.1999999999999998E-2</v>
      </c>
      <c r="CS102" t="s">
        <v>224</v>
      </c>
      <c r="CT102" t="s">
        <v>75</v>
      </c>
      <c r="CU102" t="s">
        <v>76</v>
      </c>
      <c r="CV102" t="s">
        <v>225</v>
      </c>
      <c r="CW102" s="6">
        <v>5.1999999999999998E-2</v>
      </c>
      <c r="CX102" t="s">
        <v>1202</v>
      </c>
      <c r="CY102" t="s">
        <v>129</v>
      </c>
      <c r="CZ102" t="s">
        <v>151</v>
      </c>
      <c r="DA102" t="s">
        <v>1203</v>
      </c>
      <c r="DB102" s="6">
        <v>5.1999999999999998E-2</v>
      </c>
      <c r="DC102" t="str">
        <f>HYPERLINK(".\links\CDD\TI_asb-180-CDD.txt","FR47")</f>
        <v>FR47</v>
      </c>
      <c r="DD102" t="str">
        <f>HYPERLINK("http://www.ncbi.nlm.nih.gov/Structure/cdd/cddsrv.cgi?uid=pfam08445&amp;version=v4.0","7E-020")</f>
        <v>7E-020</v>
      </c>
      <c r="DE102" t="s">
        <v>1204</v>
      </c>
      <c r="DF102" t="str">
        <f>HYPERLINK(".\links\PFAM\TI_asb-180-PFAM.txt","FR47")</f>
        <v>FR47</v>
      </c>
      <c r="DG102" t="str">
        <f>HYPERLINK("http://pfam.sanger.ac.uk/family?acc=PF08445","8E-022")</f>
        <v>8E-022</v>
      </c>
      <c r="DH102" t="str">
        <f>HYPERLINK(".\links\PRK\TI_asb-180-PRK.txt","putative acetyltransferase")</f>
        <v>putative acetyltransferase</v>
      </c>
      <c r="DI102" s="7">
        <v>6.9999999999999999E-6</v>
      </c>
      <c r="DJ102" s="6" t="str">
        <f>HYPERLINK(".\links\KOG\TI_asb-180-KOG.txt","N-acetyltransferase")</f>
        <v>N-acetyltransferase</v>
      </c>
      <c r="DK102" s="6" t="str">
        <f>HYPERLINK("http://www.ncbi.nlm.nih.gov/COG/grace/shokog.cgi?KOG3139","2E-005")</f>
        <v>2E-005</v>
      </c>
      <c r="DL102" s="6" t="s">
        <v>4337</v>
      </c>
      <c r="DM102" s="6" t="str">
        <f>HYPERLINK(".\links\KOG\TI_asb-180-KOG.txt","KOG3139")</f>
        <v>KOG3139</v>
      </c>
      <c r="DN102" t="str">
        <f>HYPERLINK(".\links\SMART\TI_asb-180-SMART.txt","SEC63")</f>
        <v>SEC63</v>
      </c>
      <c r="DO102" t="str">
        <f>HYPERLINK("http://smart.embl-heidelberg.de/smart/do_annotation.pl?DOMAIN=SEC63&amp;BLAST=DUMMY","0.033")</f>
        <v>0.033</v>
      </c>
      <c r="DP102" s="3" t="s">
        <v>56</v>
      </c>
      <c r="ED102" s="3" t="s">
        <v>56</v>
      </c>
    </row>
    <row r="103" spans="1:147">
      <c r="A103" t="str">
        <f>HYPERLINK(".\links\seq\TI_asb-181-seq.txt","TI_asb-181")</f>
        <v>TI_asb-181</v>
      </c>
      <c r="B103">
        <v>181</v>
      </c>
      <c r="C103" t="str">
        <f>HYPERLINK(".\links\tsa\TI_asb-181-tsa.txt","1")</f>
        <v>1</v>
      </c>
      <c r="D103">
        <v>1</v>
      </c>
      <c r="E103">
        <v>650</v>
      </c>
      <c r="G103" t="str">
        <f>HYPERLINK(".\links\qual\TI_asb-181-qual.txt","59")</f>
        <v>59</v>
      </c>
      <c r="H103">
        <v>1</v>
      </c>
      <c r="I103">
        <v>0</v>
      </c>
      <c r="J103">
        <f t="shared" si="4"/>
        <v>1</v>
      </c>
      <c r="K103" s="6">
        <f t="shared" si="5"/>
        <v>1</v>
      </c>
      <c r="L103" s="6" t="s">
        <v>3954</v>
      </c>
      <c r="M103" s="6" t="s">
        <v>3886</v>
      </c>
      <c r="N103" s="6" t="s">
        <v>3867</v>
      </c>
      <c r="O103" s="7">
        <v>1.9999999999999999E-28</v>
      </c>
      <c r="P103" s="6">
        <v>56.9</v>
      </c>
      <c r="Q103" s="3">
        <v>650</v>
      </c>
      <c r="R103" s="3">
        <v>333</v>
      </c>
      <c r="S103" s="3" t="s">
        <v>3582</v>
      </c>
      <c r="T103" s="3">
        <v>3</v>
      </c>
      <c r="U103" t="str">
        <f>HYPERLINK(".\links\NR-LIGHT\TI_asb-181-NR-LIGHT.txt","similar to mitochondrial NADH:ubiquinone oxidoreductase ESSS subunit, putative")</f>
        <v>similar to mitochondrial NADH:ubiquinone oxidoreductase ESSS subunit, putative</v>
      </c>
      <c r="V103" t="str">
        <f>HYPERLINK("http://www.ncbi.nlm.nih.gov/sutils/blink.cgi?pid=91090522","4E-022")</f>
        <v>4E-022</v>
      </c>
      <c r="W103" t="str">
        <f>HYPERLINK(".\links\NR-LIGHT\TI_asb-181-NR-LIGHT.txt"," 10")</f>
        <v xml:space="preserve"> 10</v>
      </c>
      <c r="X103" t="str">
        <f>HYPERLINK("http://www.ncbi.nlm.nih.gov/protein/91090522","gi|91090522")</f>
        <v>gi|91090522</v>
      </c>
      <c r="Y103">
        <v>103</v>
      </c>
      <c r="Z103">
        <v>97</v>
      </c>
      <c r="AA103">
        <v>140</v>
      </c>
      <c r="AB103">
        <v>51</v>
      </c>
      <c r="AC103">
        <v>69</v>
      </c>
      <c r="AD103">
        <v>47</v>
      </c>
      <c r="AE103">
        <v>0</v>
      </c>
      <c r="AF103">
        <v>21</v>
      </c>
      <c r="AG103">
        <v>134</v>
      </c>
      <c r="AH103">
        <v>2</v>
      </c>
      <c r="AI103">
        <v>3</v>
      </c>
      <c r="AJ103" t="s">
        <v>65</v>
      </c>
      <c r="AK103" t="s">
        <v>54</v>
      </c>
      <c r="AL103" t="s">
        <v>79</v>
      </c>
      <c r="AM103" t="str">
        <f>HYPERLINK(".\links\SWISSP\TI_asb-181-SWISSP.txt","NADH dehydrogenase")</f>
        <v>NADH dehydrogenase</v>
      </c>
      <c r="AN103" s="19" t="str">
        <f>HYPERLINK("http://www.uniprot.org/uniprot/O09111","0.037")</f>
        <v>0.037</v>
      </c>
      <c r="AO103" t="str">
        <f>HYPERLINK(".\links\SWISSP\TI_asb-181-SWISSP.txt"," 10")</f>
        <v xml:space="preserve"> 10</v>
      </c>
      <c r="AP103" t="s">
        <v>1205</v>
      </c>
      <c r="AQ103">
        <v>38.5</v>
      </c>
      <c r="AR103">
        <v>48</v>
      </c>
      <c r="AS103">
        <v>151</v>
      </c>
      <c r="AT103">
        <v>37</v>
      </c>
      <c r="AU103">
        <v>32</v>
      </c>
      <c r="AV103">
        <v>30</v>
      </c>
      <c r="AW103">
        <v>0</v>
      </c>
      <c r="AX103">
        <v>104</v>
      </c>
      <c r="AY103">
        <v>345</v>
      </c>
      <c r="AZ103">
        <v>1</v>
      </c>
      <c r="BA103">
        <v>3</v>
      </c>
      <c r="BB103" t="s">
        <v>53</v>
      </c>
      <c r="BC103" t="s">
        <v>54</v>
      </c>
      <c r="BD103" t="s">
        <v>214</v>
      </c>
      <c r="BE103" t="s">
        <v>1206</v>
      </c>
      <c r="BF103" t="s">
        <v>1207</v>
      </c>
      <c r="BG103" t="str">
        <f>HYPERLINK(".\links\PREV-RHOD-PEP\TI_asb-181-PREV-RHOD-PEP.txt","Contig16086_9")</f>
        <v>Contig16086_9</v>
      </c>
      <c r="BH103" s="7">
        <v>3E-52</v>
      </c>
      <c r="BI103" t="str">
        <f>HYPERLINK(".\links\PREV-RHOD-PEP\TI_asb-181-PREV-RHOD-PEP.txt"," 6")</f>
        <v xml:space="preserve"> 6</v>
      </c>
      <c r="BJ103" t="s">
        <v>1208</v>
      </c>
      <c r="BK103">
        <v>154</v>
      </c>
      <c r="BL103">
        <v>97</v>
      </c>
      <c r="BM103">
        <v>149</v>
      </c>
      <c r="BN103">
        <v>74</v>
      </c>
      <c r="BO103">
        <v>65</v>
      </c>
      <c r="BP103">
        <v>25</v>
      </c>
      <c r="BQ103">
        <v>0</v>
      </c>
      <c r="BR103">
        <v>1</v>
      </c>
      <c r="BS103">
        <v>61</v>
      </c>
      <c r="BT103">
        <v>3</v>
      </c>
      <c r="BU103" t="s">
        <v>54</v>
      </c>
      <c r="BV103" t="s">
        <v>1209</v>
      </c>
      <c r="BW103" t="s">
        <v>56</v>
      </c>
      <c r="BX103" t="str">
        <f>HYPERLINK(".\links\PREV-RHOD-CDS\TI_asb-181-PREV-RHOD-CDS.txt","Contig16086_9")</f>
        <v>Contig16086_9</v>
      </c>
      <c r="BY103" s="7">
        <v>4.0000000000000002E-56</v>
      </c>
      <c r="BZ103" t="s">
        <v>1208</v>
      </c>
      <c r="CA103">
        <v>218</v>
      </c>
      <c r="CB103">
        <v>387</v>
      </c>
      <c r="CC103">
        <v>450</v>
      </c>
      <c r="CD103">
        <v>81</v>
      </c>
      <c r="CE103">
        <v>86</v>
      </c>
      <c r="CF103">
        <v>72</v>
      </c>
      <c r="CG103">
        <v>7</v>
      </c>
      <c r="CH103">
        <v>59</v>
      </c>
      <c r="CI103">
        <v>120</v>
      </c>
      <c r="CJ103">
        <v>1</v>
      </c>
      <c r="CK103" t="s">
        <v>54</v>
      </c>
      <c r="CL103" t="s">
        <v>1210</v>
      </c>
      <c r="CM103">
        <f>HYPERLINK(".\links\GO\TI_asb-181-GO.txt",0.0000000000000000006)</f>
        <v>5.9999999999999999E-19</v>
      </c>
      <c r="CN103" t="s">
        <v>58</v>
      </c>
      <c r="CO103" t="s">
        <v>58</v>
      </c>
      <c r="CQ103" t="s">
        <v>59</v>
      </c>
      <c r="CR103" s="7">
        <v>5.9999999999999999E-19</v>
      </c>
      <c r="CS103" t="s">
        <v>60</v>
      </c>
      <c r="CT103" t="s">
        <v>60</v>
      </c>
      <c r="CV103" t="s">
        <v>61</v>
      </c>
      <c r="CW103" s="7">
        <v>5.9999999999999999E-19</v>
      </c>
      <c r="CX103" t="s">
        <v>62</v>
      </c>
      <c r="CY103" t="s">
        <v>58</v>
      </c>
      <c r="DA103" t="s">
        <v>63</v>
      </c>
      <c r="DB103" s="7">
        <v>5.9999999999999999E-19</v>
      </c>
      <c r="DC103" t="s">
        <v>56</v>
      </c>
      <c r="DD103" t="s">
        <v>56</v>
      </c>
      <c r="DE103" t="s">
        <v>56</v>
      </c>
      <c r="DF103" t="str">
        <f>HYPERLINK(".\links\PFAM\TI_asb-181-PFAM.txt","ESSS")</f>
        <v>ESSS</v>
      </c>
      <c r="DG103" t="str">
        <f>HYPERLINK("http://pfam.sanger.ac.uk/family?acc=PF10183","2E-028")</f>
        <v>2E-028</v>
      </c>
      <c r="DH103" t="str">
        <f>HYPERLINK(".\links\PRK\TI_asb-181-PRK.txt","hypothetical protein")</f>
        <v>hypothetical protein</v>
      </c>
      <c r="DI103" s="6">
        <v>7.9000000000000001E-2</v>
      </c>
      <c r="DJ103" s="6" t="str">
        <f>HYPERLINK(".\links\KOG\TI_asb-181-KOG.txt","Uncharacterized conserved protein")</f>
        <v>Uncharacterized conserved protein</v>
      </c>
      <c r="DK103" s="6" t="str">
        <f>HYPERLINK("http://www.ncbi.nlm.nih.gov/COG/grace/shokog.cgi?KOG4808","7E-022")</f>
        <v>7E-022</v>
      </c>
      <c r="DL103" s="6" t="s">
        <v>4347</v>
      </c>
      <c r="DM103" s="6" t="str">
        <f>HYPERLINK(".\links\KOG\TI_asb-181-KOG.txt","KOG4808")</f>
        <v>KOG4808</v>
      </c>
      <c r="DN103" t="str">
        <f>HYPERLINK(".\links\SMART\TI_asb-181-SMART.txt","Sec7")</f>
        <v>Sec7</v>
      </c>
      <c r="DO103" t="str">
        <f>HYPERLINK("http://smart.embl-heidelberg.de/smart/do_annotation.pl?DOMAIN=Sec7&amp;BLAST=DUMMY","0.095")</f>
        <v>0.095</v>
      </c>
      <c r="DP103" s="3" t="s">
        <v>56</v>
      </c>
      <c r="ED103" s="3" t="s">
        <v>56</v>
      </c>
    </row>
    <row r="104" spans="1:147">
      <c r="A104" t="str">
        <f>HYPERLINK(".\links\seq\TI_asb-182-seq.txt","TI_asb-182")</f>
        <v>TI_asb-182</v>
      </c>
      <c r="B104">
        <v>182</v>
      </c>
      <c r="C104" t="str">
        <f>HYPERLINK(".\links\tsa\TI_asb-182-tsa.txt","2")</f>
        <v>2</v>
      </c>
      <c r="D104">
        <v>2</v>
      </c>
      <c r="E104">
        <v>695</v>
      </c>
      <c r="G104" t="str">
        <f>HYPERLINK(".\links\qual\TI_asb-182-qual.txt","73")</f>
        <v>73</v>
      </c>
      <c r="H104">
        <v>2</v>
      </c>
      <c r="I104">
        <v>0</v>
      </c>
      <c r="J104">
        <f t="shared" si="4"/>
        <v>2</v>
      </c>
      <c r="K104" s="6">
        <f t="shared" si="5"/>
        <v>2</v>
      </c>
      <c r="L104" s="6" t="s">
        <v>3955</v>
      </c>
      <c r="M104" s="6" t="s">
        <v>3894</v>
      </c>
      <c r="N104" s="6" t="s">
        <v>3864</v>
      </c>
      <c r="O104" s="7">
        <v>9.9999999999999996E-82</v>
      </c>
      <c r="P104" s="6">
        <v>100</v>
      </c>
      <c r="Q104" s="3">
        <v>695</v>
      </c>
      <c r="R104" s="3">
        <v>516</v>
      </c>
      <c r="S104" s="3" t="s">
        <v>3583</v>
      </c>
      <c r="T104" s="3">
        <v>2</v>
      </c>
      <c r="U104" t="str">
        <f>HYPERLINK(".\links\NR-LIGHT\TI_asb-182-NR-LIGHT.txt","tubulin polymerization promoting protein")</f>
        <v>tubulin polymerization promoting protein</v>
      </c>
      <c r="V104" t="str">
        <f>HYPERLINK("http://www.ncbi.nlm.nih.gov/sutils/blink.cgi?pid=307095196","1E-081")</f>
        <v>1E-081</v>
      </c>
      <c r="W104" t="str">
        <f>HYPERLINK(".\links\NR-LIGHT\TI_asb-182-NR-LIGHT.txt"," 10")</f>
        <v xml:space="preserve"> 10</v>
      </c>
      <c r="X104" t="str">
        <f>HYPERLINK("http://www.ncbi.nlm.nih.gov/protein/307095196","gi|307095196")</f>
        <v>gi|307095196</v>
      </c>
      <c r="Y104">
        <v>305</v>
      </c>
      <c r="Z104">
        <v>166</v>
      </c>
      <c r="AA104">
        <v>166</v>
      </c>
      <c r="AB104">
        <v>91</v>
      </c>
      <c r="AC104">
        <v>100</v>
      </c>
      <c r="AD104">
        <v>14</v>
      </c>
      <c r="AE104">
        <v>0</v>
      </c>
      <c r="AF104">
        <v>1</v>
      </c>
      <c r="AG104">
        <v>20</v>
      </c>
      <c r="AH104">
        <v>1</v>
      </c>
      <c r="AI104">
        <v>2</v>
      </c>
      <c r="AJ104" t="s">
        <v>53</v>
      </c>
      <c r="AK104" t="s">
        <v>54</v>
      </c>
      <c r="AL104" t="s">
        <v>258</v>
      </c>
      <c r="AM104" t="str">
        <f>HYPERLINK(".\links\SWISSP\TI_asb-182-SWISSP.txt","TPPP family protein CG4893 OS=Drosophila melanogaster GN=CG4893 PE=2 SV=1")</f>
        <v>TPPP family protein CG4893 OS=Drosophila melanogaster GN=CG4893 PE=2 SV=1</v>
      </c>
      <c r="AN104" s="19" t="str">
        <f>HYPERLINK("http://www.uniprot.org/uniprot/Q9VV43","3E-051")</f>
        <v>3E-051</v>
      </c>
      <c r="AO104" t="str">
        <f>HYPERLINK(".\links\SWISSP\TI_asb-182-SWISSP.txt"," 10")</f>
        <v xml:space="preserve"> 10</v>
      </c>
      <c r="AP104" t="s">
        <v>1211</v>
      </c>
      <c r="AQ104">
        <v>201</v>
      </c>
      <c r="AR104">
        <v>147</v>
      </c>
      <c r="AS104">
        <v>192</v>
      </c>
      <c r="AT104">
        <v>67</v>
      </c>
      <c r="AU104">
        <v>77</v>
      </c>
      <c r="AV104">
        <v>48</v>
      </c>
      <c r="AW104">
        <v>0</v>
      </c>
      <c r="AX104">
        <v>48</v>
      </c>
      <c r="AY104">
        <v>68</v>
      </c>
      <c r="AZ104">
        <v>1</v>
      </c>
      <c r="BA104">
        <v>2</v>
      </c>
      <c r="BB104" t="s">
        <v>53</v>
      </c>
      <c r="BC104" t="s">
        <v>54</v>
      </c>
      <c r="BD104" t="s">
        <v>143</v>
      </c>
      <c r="BE104" t="s">
        <v>1212</v>
      </c>
      <c r="BF104" t="s">
        <v>1213</v>
      </c>
      <c r="BG104" t="str">
        <f>HYPERLINK(".\links\PREV-RHOD-PEP\TI_asb-182-PREV-RHOD-PEP.txt","Contig17878_69")</f>
        <v>Contig17878_69</v>
      </c>
      <c r="BH104" s="7">
        <v>6.9999999999999999E-28</v>
      </c>
      <c r="BI104" t="str">
        <f>HYPERLINK(".\links\PREV-RHOD-PEP\TI_asb-182-PREV-RHOD-PEP.txt"," 10")</f>
        <v xml:space="preserve"> 10</v>
      </c>
      <c r="BJ104" t="s">
        <v>1214</v>
      </c>
      <c r="BK104">
        <v>120</v>
      </c>
      <c r="BL104">
        <v>64</v>
      </c>
      <c r="BM104">
        <v>315</v>
      </c>
      <c r="BN104">
        <v>85</v>
      </c>
      <c r="BO104">
        <v>20</v>
      </c>
      <c r="BP104">
        <v>9</v>
      </c>
      <c r="BQ104">
        <v>0</v>
      </c>
      <c r="BR104">
        <v>252</v>
      </c>
      <c r="BS104">
        <v>326</v>
      </c>
      <c r="BT104">
        <v>1</v>
      </c>
      <c r="BU104" t="s">
        <v>54</v>
      </c>
      <c r="BV104" t="s">
        <v>1215</v>
      </c>
      <c r="BW104" t="s">
        <v>56</v>
      </c>
      <c r="BX104" t="str">
        <f>HYPERLINK(".\links\PREV-RHOD-CDS\TI_asb-182-PREV-RHOD-CDS.txt","Contig17878_71")</f>
        <v>Contig17878_71</v>
      </c>
      <c r="BY104" s="7">
        <v>4E-50</v>
      </c>
      <c r="BZ104" t="s">
        <v>1216</v>
      </c>
      <c r="CA104">
        <v>198</v>
      </c>
      <c r="CB104">
        <v>139</v>
      </c>
      <c r="CC104">
        <v>843</v>
      </c>
      <c r="CD104">
        <v>92</v>
      </c>
      <c r="CE104">
        <v>17</v>
      </c>
      <c r="CF104">
        <v>10</v>
      </c>
      <c r="CG104">
        <v>0</v>
      </c>
      <c r="CH104">
        <v>24</v>
      </c>
      <c r="CI104">
        <v>34</v>
      </c>
      <c r="CJ104">
        <v>1</v>
      </c>
      <c r="CK104" t="s">
        <v>54</v>
      </c>
      <c r="CL104" t="s">
        <v>1217</v>
      </c>
      <c r="CM104">
        <f>HYPERLINK(".\links\GO\TI_asb-182-GO.txt",8E-52)</f>
        <v>8.0000000000000001E-52</v>
      </c>
      <c r="CN104" t="s">
        <v>58</v>
      </c>
      <c r="CO104" t="s">
        <v>58</v>
      </c>
      <c r="CQ104" t="s">
        <v>59</v>
      </c>
      <c r="CR104" s="7">
        <v>8.0000000000000001E-52</v>
      </c>
      <c r="CS104" t="s">
        <v>60</v>
      </c>
      <c r="CT104" t="s">
        <v>60</v>
      </c>
      <c r="CV104" t="s">
        <v>61</v>
      </c>
      <c r="CW104" s="7">
        <v>8.0000000000000001E-52</v>
      </c>
      <c r="CX104" t="s">
        <v>62</v>
      </c>
      <c r="CY104" t="s">
        <v>58</v>
      </c>
      <c r="DA104" t="s">
        <v>63</v>
      </c>
      <c r="DB104" s="7">
        <v>8.0000000000000001E-52</v>
      </c>
      <c r="DC104" t="str">
        <f>HYPERLINK(".\links\CDD\TI_asb-182-CDD.txt","p25-alpha")</f>
        <v>p25-alpha</v>
      </c>
      <c r="DD104" t="str">
        <f>HYPERLINK("http://www.ncbi.nlm.nih.gov/Structure/cdd/cddsrv.cgi?uid=pfam05517&amp;version=v4.0","1E-049")</f>
        <v>1E-049</v>
      </c>
      <c r="DE104" t="s">
        <v>1218</v>
      </c>
      <c r="DF104" t="str">
        <f>HYPERLINK(".\links\PFAM\TI_asb-182-PFAM.txt","p25-alpha")</f>
        <v>p25-alpha</v>
      </c>
      <c r="DG104" t="str">
        <f>HYPERLINK("http://pfam.sanger.ac.uk/family?acc=PF05517","8E-053")</f>
        <v>8E-053</v>
      </c>
      <c r="DH104" t="str">
        <f>HYPERLINK(".\links\PRK\TI_asb-182-PRK.txt","prefoldin subunit alpha")</f>
        <v>prefoldin subunit alpha</v>
      </c>
      <c r="DI104" s="6">
        <v>4.7E-2</v>
      </c>
      <c r="DJ104" s="6" t="str">
        <f>HYPERLINK(".\links\KOG\TI_asb-182-KOG.txt","Putative signal transduction protein p25")</f>
        <v>Putative signal transduction protein p25</v>
      </c>
      <c r="DK104" s="6" t="str">
        <f>HYPERLINK("http://www.ncbi.nlm.nih.gov/COG/grace/shokog.cgi?KOG4070","7E-051")</f>
        <v>7E-051</v>
      </c>
      <c r="DL104" s="6" t="s">
        <v>4332</v>
      </c>
      <c r="DM104" s="6" t="str">
        <f>HYPERLINK(".\links\KOG\TI_asb-182-KOG.txt","KOG4070")</f>
        <v>KOG4070</v>
      </c>
      <c r="DN104" t="str">
        <f>HYPERLINK(".\links\SMART\TI_asb-182-SMART.txt","TOP4c")</f>
        <v>TOP4c</v>
      </c>
      <c r="DO104" t="str">
        <f>HYPERLINK("http://smart.embl-heidelberg.de/smart/do_annotation.pl?DOMAIN=TOP4c&amp;BLAST=DUMMY","0.003")</f>
        <v>0.003</v>
      </c>
      <c r="DP104" s="3" t="s">
        <v>56</v>
      </c>
      <c r="ED104" s="3" t="s">
        <v>56</v>
      </c>
    </row>
    <row r="105" spans="1:147">
      <c r="A105" t="str">
        <f>HYPERLINK(".\links\seq\TI_asb-183-seq.txt","TI_asb-183")</f>
        <v>TI_asb-183</v>
      </c>
      <c r="B105">
        <v>183</v>
      </c>
      <c r="C105" t="str">
        <f>HYPERLINK(".\links\tsa\TI_asb-183-tsa.txt","2")</f>
        <v>2</v>
      </c>
      <c r="D105">
        <v>2</v>
      </c>
      <c r="E105">
        <v>817</v>
      </c>
      <c r="F105">
        <v>784</v>
      </c>
      <c r="G105" t="str">
        <f>HYPERLINK(".\links\qual\TI_asb-183-qual.txt","63")</f>
        <v>63</v>
      </c>
      <c r="H105">
        <v>2</v>
      </c>
      <c r="I105">
        <v>0</v>
      </c>
      <c r="J105">
        <f t="shared" si="4"/>
        <v>2</v>
      </c>
      <c r="K105" s="6">
        <f t="shared" si="5"/>
        <v>2</v>
      </c>
      <c r="L105" s="6" t="s">
        <v>3880</v>
      </c>
      <c r="M105" s="6" t="s">
        <v>3881</v>
      </c>
      <c r="N105" s="6" t="s">
        <v>3864</v>
      </c>
      <c r="O105" s="7">
        <v>1E-46</v>
      </c>
      <c r="P105" s="6">
        <v>24.3</v>
      </c>
      <c r="Q105" s="3">
        <v>817</v>
      </c>
      <c r="R105" s="3">
        <v>429</v>
      </c>
      <c r="S105" s="3" t="s">
        <v>3584</v>
      </c>
      <c r="T105" s="3">
        <v>4</v>
      </c>
      <c r="U105" t="str">
        <f>HYPERLINK(".\links\NR-LIGHT\TI_asb-183-NR-LIGHT.txt","cathepsin D")</f>
        <v>cathepsin D</v>
      </c>
      <c r="V105" t="str">
        <f>HYPERLINK("http://www.ncbi.nlm.nih.gov/sutils/blink.cgi?pid=301030231","1E-046")</f>
        <v>1E-046</v>
      </c>
      <c r="W105" t="str">
        <f>HYPERLINK(".\links\NR-LIGHT\TI_asb-183-NR-LIGHT.txt"," 10")</f>
        <v xml:space="preserve"> 10</v>
      </c>
      <c r="X105" t="str">
        <f>HYPERLINK("http://www.ncbi.nlm.nih.gov/protein/301030231","gi|301030231")</f>
        <v>gi|301030231</v>
      </c>
      <c r="Y105">
        <v>107</v>
      </c>
      <c r="Z105">
        <v>95</v>
      </c>
      <c r="AA105">
        <v>390</v>
      </c>
      <c r="AB105">
        <v>51</v>
      </c>
      <c r="AC105">
        <v>24</v>
      </c>
      <c r="AD105">
        <v>46</v>
      </c>
      <c r="AE105">
        <v>2</v>
      </c>
      <c r="AF105">
        <v>192</v>
      </c>
      <c r="AG105">
        <v>3</v>
      </c>
      <c r="AH105">
        <v>2</v>
      </c>
      <c r="AI105">
        <v>3</v>
      </c>
      <c r="AJ105" t="s">
        <v>65</v>
      </c>
      <c r="AK105" t="s">
        <v>54</v>
      </c>
      <c r="AL105" t="s">
        <v>55</v>
      </c>
      <c r="AM105" t="str">
        <f>HYPERLINK(".\links\SWISSP\TI_asb-183-SWISSP.txt","Lysosomal aspartic protease OS=Aedes aegypti GN=AAEL006169 PE=1 SV=2")</f>
        <v>Lysosomal aspartic protease OS=Aedes aegypti GN=AAEL006169 PE=1 SV=2</v>
      </c>
      <c r="AN105" s="19" t="str">
        <f>HYPERLINK("http://www.uniprot.org/uniprot/Q03168","3E-033")</f>
        <v>3E-033</v>
      </c>
      <c r="AO105" t="str">
        <f>HYPERLINK(".\links\SWISSP\TI_asb-183-SWISSP.txt"," 10")</f>
        <v xml:space="preserve"> 10</v>
      </c>
      <c r="AP105" t="s">
        <v>1219</v>
      </c>
      <c r="AQ105">
        <v>82.4</v>
      </c>
      <c r="AR105">
        <v>93</v>
      </c>
      <c r="AS105">
        <v>387</v>
      </c>
      <c r="AT105">
        <v>46</v>
      </c>
      <c r="AU105">
        <v>24</v>
      </c>
      <c r="AV105">
        <v>50</v>
      </c>
      <c r="AW105">
        <v>0</v>
      </c>
      <c r="AX105">
        <v>191</v>
      </c>
      <c r="AY105">
        <v>3</v>
      </c>
      <c r="AZ105">
        <v>2</v>
      </c>
      <c r="BA105">
        <v>3</v>
      </c>
      <c r="BB105" t="s">
        <v>65</v>
      </c>
      <c r="BC105" t="s">
        <v>54</v>
      </c>
      <c r="BD105" t="s">
        <v>120</v>
      </c>
      <c r="BE105" t="s">
        <v>1220</v>
      </c>
      <c r="BF105" t="s">
        <v>1221</v>
      </c>
      <c r="BG105" t="str">
        <f>HYPERLINK(".\links\PREV-RHOD-PEP\TI_asb-183-PREV-RHOD-PEP.txt","Contig808_3")</f>
        <v>Contig808_3</v>
      </c>
      <c r="BH105" s="7">
        <v>4.0000000000000002E-62</v>
      </c>
      <c r="BI105" t="str">
        <f>HYPERLINK(".\links\PREV-RHOD-PEP\TI_asb-183-PREV-RHOD-PEP.txt"," 10")</f>
        <v xml:space="preserve"> 10</v>
      </c>
      <c r="BJ105" t="s">
        <v>1222</v>
      </c>
      <c r="BK105">
        <v>130</v>
      </c>
      <c r="BL105">
        <v>96</v>
      </c>
      <c r="BM105">
        <v>383</v>
      </c>
      <c r="BN105">
        <v>62</v>
      </c>
      <c r="BO105">
        <v>25</v>
      </c>
      <c r="BP105">
        <v>36</v>
      </c>
      <c r="BQ105">
        <v>1</v>
      </c>
      <c r="BR105">
        <v>188</v>
      </c>
      <c r="BS105">
        <v>3</v>
      </c>
      <c r="BT105">
        <v>2</v>
      </c>
      <c r="BU105" t="s">
        <v>54</v>
      </c>
      <c r="BV105" t="s">
        <v>1223</v>
      </c>
      <c r="BW105" t="s">
        <v>56</v>
      </c>
      <c r="BX105" t="str">
        <f>HYPERLINK(".\links\PREV-RHOD-CDS\TI_asb-183-PREV-RHOD-CDS.txt","Contig808_4")</f>
        <v>Contig808_4</v>
      </c>
      <c r="BY105" s="7">
        <v>5.0000000000000004E-16</v>
      </c>
      <c r="BZ105" t="s">
        <v>1224</v>
      </c>
      <c r="CA105">
        <v>85.7</v>
      </c>
      <c r="CB105">
        <v>400</v>
      </c>
      <c r="CC105">
        <v>1167</v>
      </c>
      <c r="CD105">
        <v>85</v>
      </c>
      <c r="CE105">
        <v>34</v>
      </c>
      <c r="CF105">
        <v>15</v>
      </c>
      <c r="CG105">
        <v>0</v>
      </c>
      <c r="CH105">
        <v>737</v>
      </c>
      <c r="CI105">
        <v>175</v>
      </c>
      <c r="CJ105">
        <v>3</v>
      </c>
      <c r="CK105" t="s">
        <v>54</v>
      </c>
      <c r="CL105" t="s">
        <v>507</v>
      </c>
      <c r="CM105">
        <f>HYPERLINK(".\links\GO\TI_asb-183-GO.txt",4E-32)</f>
        <v>4.0000000000000002E-32</v>
      </c>
      <c r="CN105" t="s">
        <v>165</v>
      </c>
      <c r="CO105" t="s">
        <v>129</v>
      </c>
      <c r="CP105" t="s">
        <v>166</v>
      </c>
      <c r="CQ105" t="s">
        <v>167</v>
      </c>
      <c r="CR105" s="7">
        <v>1.9999999999999999E-28</v>
      </c>
      <c r="CS105" t="s">
        <v>1225</v>
      </c>
      <c r="CT105" t="s">
        <v>75</v>
      </c>
      <c r="CU105" t="s">
        <v>76</v>
      </c>
      <c r="CV105" t="s">
        <v>1226</v>
      </c>
      <c r="CW105" s="7">
        <v>1.9999999999999999E-28</v>
      </c>
      <c r="CX105" t="s">
        <v>301</v>
      </c>
      <c r="CY105" t="s">
        <v>129</v>
      </c>
      <c r="CZ105" t="s">
        <v>166</v>
      </c>
      <c r="DA105" t="s">
        <v>302</v>
      </c>
      <c r="DB105" s="7">
        <v>1.9999999999999999E-28</v>
      </c>
      <c r="DC105" t="str">
        <f>HYPERLINK(".\links\CDD\TI_asb-183-CDD.txt","Asp")</f>
        <v>Asp</v>
      </c>
      <c r="DD105" t="str">
        <f>HYPERLINK("http://www.ncbi.nlm.nih.gov/Structure/cdd/cddsrv.cgi?uid=pfam00026&amp;version=v4.0","8E-020")</f>
        <v>8E-020</v>
      </c>
      <c r="DE105" t="s">
        <v>1227</v>
      </c>
      <c r="DF105" t="str">
        <f>HYPERLINK(".\links\PFAM\TI_asb-183-PFAM.txt","Asp")</f>
        <v>Asp</v>
      </c>
      <c r="DG105" t="str">
        <f>HYPERLINK("http://pfam.sanger.ac.uk/family?acc=PF00026","2E-021")</f>
        <v>2E-021</v>
      </c>
      <c r="DH105" t="str">
        <f>HYPERLINK(".\links\PRK\TI_asb-183-PRK.txt","aspartyl protease")</f>
        <v>aspartyl protease</v>
      </c>
      <c r="DI105" s="7">
        <v>6E-9</v>
      </c>
      <c r="DJ105" s="6" t="str">
        <f>HYPERLINK(".\links\KOG\TI_asb-183-KOG.txt","Aspartyl protease")</f>
        <v>Aspartyl protease</v>
      </c>
      <c r="DK105" s="6" t="str">
        <f>HYPERLINK("http://www.ncbi.nlm.nih.gov/COG/grace/shokog.cgi?KOG1339","3E-013")</f>
        <v>3E-013</v>
      </c>
      <c r="DL105" s="6" t="s">
        <v>4340</v>
      </c>
      <c r="DM105" s="6" t="str">
        <f>HYPERLINK(".\links\KOG\TI_asb-183-KOG.txt","KOG1339")</f>
        <v>KOG1339</v>
      </c>
      <c r="DN105" t="str">
        <f>HYPERLINK(".\links\SMART\TI_asb-183-SMART.txt","PSN")</f>
        <v>PSN</v>
      </c>
      <c r="DO105" t="str">
        <f>HYPERLINK("http://smart.embl-heidelberg.de/smart/do_annotation.pl?DOMAIN=PSN&amp;BLAST=DUMMY","0.080")</f>
        <v>0.080</v>
      </c>
      <c r="DP105" s="3" t="s">
        <v>56</v>
      </c>
      <c r="ED105" s="3" t="s">
        <v>56</v>
      </c>
    </row>
    <row r="106" spans="1:147">
      <c r="A106" t="str">
        <f>HYPERLINK(".\links\seq\TI_asb-184-seq.txt","TI_asb-184")</f>
        <v>TI_asb-184</v>
      </c>
      <c r="B106">
        <v>184</v>
      </c>
      <c r="C106" t="str">
        <f>HYPERLINK(".\links\tsa\TI_asb-184-tsa.txt","2")</f>
        <v>2</v>
      </c>
      <c r="D106">
        <v>2</v>
      </c>
      <c r="E106">
        <v>733</v>
      </c>
      <c r="G106" t="str">
        <f>HYPERLINK(".\links\qual\TI_asb-184-qual.txt","77")</f>
        <v>77</v>
      </c>
      <c r="H106">
        <v>2</v>
      </c>
      <c r="I106">
        <v>0</v>
      </c>
      <c r="J106">
        <f t="shared" si="4"/>
        <v>2</v>
      </c>
      <c r="K106" s="6">
        <f t="shared" si="5"/>
        <v>2</v>
      </c>
      <c r="L106" s="6" t="s">
        <v>3956</v>
      </c>
      <c r="M106" s="6" t="s">
        <v>3881</v>
      </c>
      <c r="N106" s="6" t="s">
        <v>3872</v>
      </c>
      <c r="O106" s="7">
        <v>9.9999999999999992E-25</v>
      </c>
      <c r="P106" s="6">
        <v>33.299999999999997</v>
      </c>
      <c r="Q106" s="3">
        <v>733</v>
      </c>
      <c r="R106" s="3">
        <v>438</v>
      </c>
      <c r="S106" s="3" t="s">
        <v>3585</v>
      </c>
      <c r="T106" s="3">
        <v>3</v>
      </c>
      <c r="U106" t="str">
        <f>HYPERLINK(".\links\NR-LIGHT\TI_asb-184-NR-LIGHT.txt","J domain-containing protein C21orf55, putative")</f>
        <v>J domain-containing protein C21orf55, putative</v>
      </c>
      <c r="V106" t="str">
        <f>HYPERLINK("http://www.ncbi.nlm.nih.gov/sutils/blink.cgi?pid=242018813","1E-031")</f>
        <v>1E-031</v>
      </c>
      <c r="W106" t="str">
        <f>HYPERLINK(".\links\NR-LIGHT\TI_asb-184-NR-LIGHT.txt"," 10")</f>
        <v xml:space="preserve"> 10</v>
      </c>
      <c r="X106" t="str">
        <f>HYPERLINK("http://www.ncbi.nlm.nih.gov/protein/242018813","gi|242018813")</f>
        <v>gi|242018813</v>
      </c>
      <c r="Y106">
        <v>138</v>
      </c>
      <c r="Z106">
        <v>114</v>
      </c>
      <c r="AA106">
        <v>367</v>
      </c>
      <c r="AB106">
        <v>60</v>
      </c>
      <c r="AC106">
        <v>31</v>
      </c>
      <c r="AD106">
        <v>45</v>
      </c>
      <c r="AE106">
        <v>4</v>
      </c>
      <c r="AF106">
        <v>33</v>
      </c>
      <c r="AG106">
        <v>402</v>
      </c>
      <c r="AH106">
        <v>1</v>
      </c>
      <c r="AI106">
        <v>3</v>
      </c>
      <c r="AJ106" t="s">
        <v>53</v>
      </c>
      <c r="AK106" t="s">
        <v>54</v>
      </c>
      <c r="AL106" t="s">
        <v>141</v>
      </c>
      <c r="AM106" t="str">
        <f>HYPERLINK(".\links\SWISSP\TI_asb-184-SWISSP.txt","DnaJ homolog subfamily C member 28 OS=Homo sapiens GN=DNAJC28 PE=1 SV=2")</f>
        <v>DnaJ homolog subfamily C member 28 OS=Homo sapiens GN=DNAJC28 PE=1 SV=2</v>
      </c>
      <c r="AN106" s="19" t="str">
        <f>HYPERLINK("http://www.uniprot.org/uniprot/Q9NX36","1E-015")</f>
        <v>1E-015</v>
      </c>
      <c r="AO106" t="str">
        <f>HYPERLINK(".\links\SWISSP\TI_asb-184-SWISSP.txt"," 10")</f>
        <v xml:space="preserve"> 10</v>
      </c>
      <c r="AP106" t="s">
        <v>1228</v>
      </c>
      <c r="AQ106">
        <v>83.6</v>
      </c>
      <c r="AR106">
        <v>113</v>
      </c>
      <c r="AS106">
        <v>388</v>
      </c>
      <c r="AT106">
        <v>38</v>
      </c>
      <c r="AU106">
        <v>29</v>
      </c>
      <c r="AV106">
        <v>70</v>
      </c>
      <c r="AW106">
        <v>0</v>
      </c>
      <c r="AX106">
        <v>45</v>
      </c>
      <c r="AY106">
        <v>393</v>
      </c>
      <c r="AZ106">
        <v>1</v>
      </c>
      <c r="BA106">
        <v>3</v>
      </c>
      <c r="BB106" t="s">
        <v>53</v>
      </c>
      <c r="BC106" t="s">
        <v>54</v>
      </c>
      <c r="BD106" t="s">
        <v>330</v>
      </c>
      <c r="BE106" t="s">
        <v>1229</v>
      </c>
      <c r="BF106" t="s">
        <v>1230</v>
      </c>
      <c r="BG106" t="str">
        <f>HYPERLINK(".\links\PREV-RHOD-PEP\TI_asb-184-PREV-RHOD-PEP.txt","Contig4177_3")</f>
        <v>Contig4177_3</v>
      </c>
      <c r="BH106" s="7">
        <v>1.9999999999999999E-64</v>
      </c>
      <c r="BI106" t="str">
        <f>HYPERLINK(".\links\PREV-RHOD-PEP\TI_asb-184-PREV-RHOD-PEP.txt"," 10")</f>
        <v xml:space="preserve"> 10</v>
      </c>
      <c r="BJ106" t="s">
        <v>1231</v>
      </c>
      <c r="BK106">
        <v>241</v>
      </c>
      <c r="BL106">
        <v>146</v>
      </c>
      <c r="BM106">
        <v>286</v>
      </c>
      <c r="BN106">
        <v>80</v>
      </c>
      <c r="BO106">
        <v>51</v>
      </c>
      <c r="BP106">
        <v>28</v>
      </c>
      <c r="BQ106">
        <v>0</v>
      </c>
      <c r="BR106">
        <v>1</v>
      </c>
      <c r="BS106">
        <v>294</v>
      </c>
      <c r="BT106">
        <v>1</v>
      </c>
      <c r="BU106" t="s">
        <v>54</v>
      </c>
      <c r="BV106" t="s">
        <v>1232</v>
      </c>
      <c r="BW106" t="s">
        <v>56</v>
      </c>
      <c r="BX106" t="str">
        <f>HYPERLINK(".\links\PREV-RHOD-CDS\TI_asb-184-PREV-RHOD-CDS.txt","Contig4177_3")</f>
        <v>Contig4177_3</v>
      </c>
      <c r="BY106" s="7">
        <v>1.9999999999999999E-67</v>
      </c>
      <c r="BZ106" t="s">
        <v>1231</v>
      </c>
      <c r="CA106">
        <v>256</v>
      </c>
      <c r="CB106">
        <v>435</v>
      </c>
      <c r="CC106">
        <v>858</v>
      </c>
      <c r="CD106">
        <v>83</v>
      </c>
      <c r="CE106">
        <v>51</v>
      </c>
      <c r="CF106">
        <v>74</v>
      </c>
      <c r="CG106">
        <v>5</v>
      </c>
      <c r="CH106">
        <v>1</v>
      </c>
      <c r="CI106">
        <v>294</v>
      </c>
      <c r="CJ106">
        <v>1</v>
      </c>
      <c r="CK106" t="s">
        <v>54</v>
      </c>
      <c r="CL106" t="s">
        <v>1233</v>
      </c>
      <c r="CM106">
        <f>HYPERLINK(".\links\GO\TI_asb-184-GO.txt",0.00000005)</f>
        <v>4.9999999999999998E-8</v>
      </c>
      <c r="CN106" t="s">
        <v>1234</v>
      </c>
      <c r="CO106" t="s">
        <v>185</v>
      </c>
      <c r="CP106" t="s">
        <v>186</v>
      </c>
      <c r="CQ106" t="s">
        <v>1235</v>
      </c>
      <c r="CR106" s="6">
        <v>9.9999999999999995E-7</v>
      </c>
      <c r="CS106" t="s">
        <v>241</v>
      </c>
      <c r="CT106" t="s">
        <v>75</v>
      </c>
      <c r="CU106" t="s">
        <v>76</v>
      </c>
      <c r="CV106" t="s">
        <v>242</v>
      </c>
      <c r="CW106" s="6">
        <v>9.9999999999999995E-7</v>
      </c>
      <c r="CX106" t="s">
        <v>1236</v>
      </c>
      <c r="CY106" t="s">
        <v>185</v>
      </c>
      <c r="CZ106" t="s">
        <v>186</v>
      </c>
      <c r="DA106" t="s">
        <v>1237</v>
      </c>
      <c r="DB106" s="6">
        <v>9.9999999999999995E-7</v>
      </c>
      <c r="DC106" t="str">
        <f>HYPERLINK(".\links\CDD\TI_asb-184-CDD.txt","DnaJ")</f>
        <v>DnaJ</v>
      </c>
      <c r="DD106" t="str">
        <f>HYPERLINK("http://www.ncbi.nlm.nih.gov/Structure/cdd/cddsrv.cgi?uid=pfam00226&amp;version=v4.0","2E-010")</f>
        <v>2E-010</v>
      </c>
      <c r="DE106" t="s">
        <v>1238</v>
      </c>
      <c r="DF106" t="str">
        <f>HYPERLINK(".\links\PFAM\TI_asb-184-PFAM.txt","DnaJ")</f>
        <v>DnaJ</v>
      </c>
      <c r="DG106" t="str">
        <f>HYPERLINK("http://pfam.sanger.ac.uk/family?acc=PF00226","4E-011")</f>
        <v>4E-011</v>
      </c>
      <c r="DH106" t="str">
        <f>HYPERLINK(".\links\PRK\TI_asb-184-PRK.txt","chaperone protein DnaJ")</f>
        <v>chaperone protein DnaJ</v>
      </c>
      <c r="DI106" s="7">
        <v>8.0000000000000005E-9</v>
      </c>
      <c r="DJ106" s="6" t="str">
        <f>HYPERLINK(".\links\KOG\TI_asb-184-KOG.txt","Molecular chaperone (DnaJ superfamily)")</f>
        <v>Molecular chaperone (DnaJ superfamily)</v>
      </c>
      <c r="DK106" s="6" t="str">
        <f>HYPERLINK("http://www.ncbi.nlm.nih.gov/COG/grace/shokog.cgi?KOG0568","1E-024")</f>
        <v>1E-024</v>
      </c>
      <c r="DL106" s="6" t="s">
        <v>4340</v>
      </c>
      <c r="DM106" s="6" t="str">
        <f>HYPERLINK(".\links\KOG\TI_asb-184-KOG.txt","KOG0568")</f>
        <v>KOG0568</v>
      </c>
      <c r="DN106" t="str">
        <f>HYPERLINK(".\links\SMART\TI_asb-184-SMART.txt","DnaJ")</f>
        <v>DnaJ</v>
      </c>
      <c r="DO106" t="str">
        <f>HYPERLINK("http://smart.embl-heidelberg.de/smart/do_annotation.pl?DOMAIN=DnaJ&amp;BLAST=DUMMY","2E-010")</f>
        <v>2E-010</v>
      </c>
      <c r="DP106" s="3" t="s">
        <v>56</v>
      </c>
      <c r="ED106" s="3" t="s">
        <v>56</v>
      </c>
    </row>
    <row r="107" spans="1:147">
      <c r="A107" t="str">
        <f>HYPERLINK(".\links\seq\TI_asb-185-seq.txt","TI_asb-185")</f>
        <v>TI_asb-185</v>
      </c>
      <c r="B107">
        <v>185</v>
      </c>
      <c r="C107" t="str">
        <f>HYPERLINK(".\links\tsa\TI_asb-185-tsa.txt","1")</f>
        <v>1</v>
      </c>
      <c r="D107">
        <v>1</v>
      </c>
      <c r="E107">
        <v>150</v>
      </c>
      <c r="F107">
        <v>85</v>
      </c>
      <c r="G107" t="str">
        <f>HYPERLINK(".\links\qual\TI_asb-185-qual.txt","12")</f>
        <v>12</v>
      </c>
      <c r="H107">
        <v>0</v>
      </c>
      <c r="I107">
        <v>1</v>
      </c>
      <c r="J107">
        <f t="shared" si="4"/>
        <v>1</v>
      </c>
      <c r="K107" s="6">
        <f t="shared" si="5"/>
        <v>-1</v>
      </c>
      <c r="L107" s="6" t="s">
        <v>3868</v>
      </c>
      <c r="M107" s="6" t="s">
        <v>3869</v>
      </c>
      <c r="N107" s="6"/>
      <c r="O107" s="6"/>
      <c r="P107" s="6"/>
      <c r="Q107" s="3">
        <v>150</v>
      </c>
      <c r="R107" s="3">
        <v>147</v>
      </c>
      <c r="S107" s="3" t="s">
        <v>3586</v>
      </c>
      <c r="T107" s="3">
        <v>1</v>
      </c>
      <c r="U107" t="s">
        <v>56</v>
      </c>
      <c r="V107" t="s">
        <v>56</v>
      </c>
      <c r="W107" t="s">
        <v>56</v>
      </c>
      <c r="X107" t="s">
        <v>56</v>
      </c>
      <c r="Y107" t="s">
        <v>56</v>
      </c>
      <c r="Z107" t="s">
        <v>56</v>
      </c>
      <c r="AA107" t="s">
        <v>56</v>
      </c>
      <c r="AB107" t="s">
        <v>56</v>
      </c>
      <c r="AC107" t="s">
        <v>56</v>
      </c>
      <c r="AD107" t="s">
        <v>56</v>
      </c>
      <c r="AE107" t="s">
        <v>56</v>
      </c>
      <c r="AF107" t="s">
        <v>56</v>
      </c>
      <c r="AG107" t="s">
        <v>56</v>
      </c>
      <c r="AH107" t="s">
        <v>56</v>
      </c>
      <c r="AI107" t="s">
        <v>56</v>
      </c>
      <c r="AJ107" t="s">
        <v>56</v>
      </c>
      <c r="AK107" t="s">
        <v>56</v>
      </c>
      <c r="AL107" t="s">
        <v>56</v>
      </c>
      <c r="AM107" t="s">
        <v>56</v>
      </c>
      <c r="AN107" s="19" t="s">
        <v>56</v>
      </c>
      <c r="AO107" t="s">
        <v>56</v>
      </c>
      <c r="AP107" t="s">
        <v>56</v>
      </c>
      <c r="AQ107" t="s">
        <v>56</v>
      </c>
      <c r="AR107" t="s">
        <v>56</v>
      </c>
      <c r="AS107" t="s">
        <v>56</v>
      </c>
      <c r="AT107" t="s">
        <v>56</v>
      </c>
      <c r="AU107" t="s">
        <v>56</v>
      </c>
      <c r="AV107" t="s">
        <v>56</v>
      </c>
      <c r="AW107" t="s">
        <v>56</v>
      </c>
      <c r="AX107" t="s">
        <v>56</v>
      </c>
      <c r="AY107" t="s">
        <v>56</v>
      </c>
      <c r="AZ107" t="s">
        <v>56</v>
      </c>
      <c r="BA107" t="s">
        <v>56</v>
      </c>
      <c r="BB107" t="s">
        <v>56</v>
      </c>
      <c r="BC107" t="s">
        <v>56</v>
      </c>
      <c r="BD107" t="s">
        <v>56</v>
      </c>
      <c r="BE107" t="s">
        <v>56</v>
      </c>
      <c r="BF107" t="s">
        <v>56</v>
      </c>
      <c r="BG107" t="s">
        <v>56</v>
      </c>
      <c r="BH107" s="6" t="s">
        <v>56</v>
      </c>
      <c r="BI107" t="s">
        <v>56</v>
      </c>
      <c r="BJ107" t="s">
        <v>56</v>
      </c>
      <c r="BK107" t="s">
        <v>56</v>
      </c>
      <c r="BL107" t="s">
        <v>56</v>
      </c>
      <c r="BM107" t="s">
        <v>56</v>
      </c>
      <c r="BN107" t="s">
        <v>56</v>
      </c>
      <c r="BO107" t="s">
        <v>56</v>
      </c>
      <c r="BP107" t="s">
        <v>56</v>
      </c>
      <c r="BQ107" t="s">
        <v>56</v>
      </c>
      <c r="BR107" t="s">
        <v>56</v>
      </c>
      <c r="BS107" t="s">
        <v>56</v>
      </c>
      <c r="BT107" t="s">
        <v>56</v>
      </c>
      <c r="BU107" t="s">
        <v>56</v>
      </c>
      <c r="BV107" t="s">
        <v>56</v>
      </c>
      <c r="BW107" t="s">
        <v>56</v>
      </c>
      <c r="BX107" t="s">
        <v>56</v>
      </c>
      <c r="BY107" s="6" t="s">
        <v>56</v>
      </c>
      <c r="BZ107" t="s">
        <v>56</v>
      </c>
      <c r="CA107" t="s">
        <v>56</v>
      </c>
      <c r="CB107" t="s">
        <v>56</v>
      </c>
      <c r="CC107" t="s">
        <v>56</v>
      </c>
      <c r="CD107" t="s">
        <v>56</v>
      </c>
      <c r="CE107" t="s">
        <v>56</v>
      </c>
      <c r="CF107" t="s">
        <v>56</v>
      </c>
      <c r="CG107" t="s">
        <v>56</v>
      </c>
      <c r="CH107" t="s">
        <v>56</v>
      </c>
      <c r="CI107" t="s">
        <v>56</v>
      </c>
      <c r="CJ107" t="s">
        <v>56</v>
      </c>
      <c r="CK107" t="s">
        <v>56</v>
      </c>
      <c r="CL107" t="s">
        <v>56</v>
      </c>
      <c r="CM107" t="s">
        <v>56</v>
      </c>
      <c r="CN107" t="s">
        <v>56</v>
      </c>
      <c r="CO107" t="s">
        <v>56</v>
      </c>
      <c r="CP107" t="s">
        <v>56</v>
      </c>
      <c r="CQ107" t="s">
        <v>56</v>
      </c>
      <c r="CR107" s="6" t="s">
        <v>56</v>
      </c>
      <c r="CS107" t="s">
        <v>56</v>
      </c>
      <c r="CT107" t="s">
        <v>56</v>
      </c>
      <c r="CU107" t="s">
        <v>56</v>
      </c>
      <c r="CV107" t="s">
        <v>56</v>
      </c>
      <c r="CW107" s="6" t="s">
        <v>56</v>
      </c>
      <c r="CX107" t="s">
        <v>56</v>
      </c>
      <c r="CY107" t="s">
        <v>56</v>
      </c>
      <c r="CZ107" t="s">
        <v>56</v>
      </c>
      <c r="DA107" t="s">
        <v>56</v>
      </c>
      <c r="DB107" s="6" t="s">
        <v>56</v>
      </c>
      <c r="DC107" t="str">
        <f>HYPERLINK(".\links\CDD\TI_asb-185-CDD.txt","RNA_polI_A34")</f>
        <v>RNA_polI_A34</v>
      </c>
      <c r="DD107" t="str">
        <f>HYPERLINK("http://www.ncbi.nlm.nih.gov/Structure/cdd/cddsrv.cgi?uid=pfam08208&amp;version=v4.0","2E-005")</f>
        <v>2E-005</v>
      </c>
      <c r="DE107" t="s">
        <v>1239</v>
      </c>
      <c r="DF107" t="str">
        <f>HYPERLINK(".\links\PFAM\TI_asb-185-PFAM.txt","RNA_polI_A34")</f>
        <v>RNA_polI_A34</v>
      </c>
      <c r="DG107" t="str">
        <f>HYPERLINK("http://pfam.sanger.ac.uk/family?acc=PF08208","4E-006")</f>
        <v>4E-006</v>
      </c>
      <c r="DH107" t="str">
        <f>HYPERLINK(".\links\PRK\TI_asb-185-PRK.txt","C/D box methylation guide ribonucleoprotein complex aNOP56 subunit")</f>
        <v>C/D box methylation guide ribonucleoprotein complex aNOP56 subunit</v>
      </c>
      <c r="DI107" s="7">
        <v>1.9999999999999999E-6</v>
      </c>
      <c r="DJ107" s="6" t="str">
        <f>HYPERLINK(".\links\KOG\TI_asb-185-KOG.txt","TPR-containing nuclear phosphoprotein that regulates K(+) uptake")</f>
        <v>TPR-containing nuclear phosphoprotein that regulates K(+) uptake</v>
      </c>
      <c r="DK107" s="6" t="str">
        <f>HYPERLINK("http://www.ncbi.nlm.nih.gov/COG/grace/shokog.cgi?KOG2002","5E-006")</f>
        <v>5E-006</v>
      </c>
      <c r="DL107" s="6" t="s">
        <v>4361</v>
      </c>
      <c r="DM107" s="6" t="str">
        <f>HYPERLINK(".\links\KOG\TI_asb-185-KOG.txt","KOG2002")</f>
        <v>KOG2002</v>
      </c>
      <c r="DN107" t="str">
        <f>HYPERLINK(".\links\SMART\TI_asb-185-SMART.txt","LITAF")</f>
        <v>LITAF</v>
      </c>
      <c r="DO107" t="str">
        <f>HYPERLINK("http://smart.embl-heidelberg.de/smart/do_annotation.pl?DOMAIN=LITAF&amp;BLAST=DUMMY","0.006")</f>
        <v>0.006</v>
      </c>
      <c r="DP107" s="3" t="s">
        <v>56</v>
      </c>
      <c r="ED107" s="3" t="s">
        <v>56</v>
      </c>
    </row>
    <row r="108" spans="1:147">
      <c r="A108" t="str">
        <f>HYPERLINK(".\links\seq\TI_asb-186-seq.txt","TI_asb-186")</f>
        <v>TI_asb-186</v>
      </c>
      <c r="B108">
        <v>186</v>
      </c>
      <c r="C108" t="str">
        <f>HYPERLINK(".\links\tsa\TI_asb-186-tsa.txt","1")</f>
        <v>1</v>
      </c>
      <c r="D108">
        <v>1</v>
      </c>
      <c r="E108">
        <v>545</v>
      </c>
      <c r="G108" t="str">
        <f>HYPERLINK(".\links\qual\TI_asb-186-qual.txt","21")</f>
        <v>21</v>
      </c>
      <c r="H108">
        <v>0</v>
      </c>
      <c r="I108">
        <v>1</v>
      </c>
      <c r="J108">
        <f t="shared" si="4"/>
        <v>1</v>
      </c>
      <c r="K108" s="6">
        <f t="shared" si="5"/>
        <v>-1</v>
      </c>
      <c r="L108" s="6" t="s">
        <v>3868</v>
      </c>
      <c r="M108" s="6" t="s">
        <v>3869</v>
      </c>
      <c r="N108" s="6"/>
      <c r="O108" s="6"/>
      <c r="P108" s="6"/>
      <c r="Q108" s="3">
        <v>545</v>
      </c>
      <c r="R108" s="3">
        <v>123</v>
      </c>
      <c r="S108" s="6" t="s">
        <v>3587</v>
      </c>
      <c r="T108" s="3">
        <v>3</v>
      </c>
      <c r="U108" t="s">
        <v>56</v>
      </c>
      <c r="V108" t="s">
        <v>56</v>
      </c>
      <c r="W108" t="s">
        <v>56</v>
      </c>
      <c r="X108" t="s">
        <v>56</v>
      </c>
      <c r="Y108" t="s">
        <v>56</v>
      </c>
      <c r="Z108" t="s">
        <v>56</v>
      </c>
      <c r="AA108" t="s">
        <v>56</v>
      </c>
      <c r="AB108" t="s">
        <v>56</v>
      </c>
      <c r="AC108" t="s">
        <v>56</v>
      </c>
      <c r="AD108" t="s">
        <v>56</v>
      </c>
      <c r="AE108" t="s">
        <v>56</v>
      </c>
      <c r="AF108" t="s">
        <v>56</v>
      </c>
      <c r="AG108" t="s">
        <v>56</v>
      </c>
      <c r="AH108" t="s">
        <v>56</v>
      </c>
      <c r="AI108" t="s">
        <v>56</v>
      </c>
      <c r="AJ108" t="s">
        <v>56</v>
      </c>
      <c r="AK108" t="s">
        <v>56</v>
      </c>
      <c r="AL108" t="s">
        <v>56</v>
      </c>
      <c r="AM108" t="s">
        <v>56</v>
      </c>
      <c r="AN108" s="19" t="s">
        <v>56</v>
      </c>
      <c r="AO108" t="s">
        <v>56</v>
      </c>
      <c r="AP108" t="s">
        <v>56</v>
      </c>
      <c r="AQ108" t="s">
        <v>56</v>
      </c>
      <c r="AR108" t="s">
        <v>56</v>
      </c>
      <c r="AS108" t="s">
        <v>56</v>
      </c>
      <c r="AT108" t="s">
        <v>56</v>
      </c>
      <c r="AU108" t="s">
        <v>56</v>
      </c>
      <c r="AV108" t="s">
        <v>56</v>
      </c>
      <c r="AW108" t="s">
        <v>56</v>
      </c>
      <c r="AX108" t="s">
        <v>56</v>
      </c>
      <c r="AY108" t="s">
        <v>56</v>
      </c>
      <c r="AZ108" t="s">
        <v>56</v>
      </c>
      <c r="BA108" t="s">
        <v>56</v>
      </c>
      <c r="BB108" t="s">
        <v>56</v>
      </c>
      <c r="BC108" t="s">
        <v>56</v>
      </c>
      <c r="BD108" t="s">
        <v>56</v>
      </c>
      <c r="BE108" t="s">
        <v>56</v>
      </c>
      <c r="BF108" t="s">
        <v>56</v>
      </c>
      <c r="BG108" t="s">
        <v>56</v>
      </c>
      <c r="BH108" s="6" t="s">
        <v>56</v>
      </c>
      <c r="BI108" t="s">
        <v>56</v>
      </c>
      <c r="BJ108" t="s">
        <v>56</v>
      </c>
      <c r="BK108" t="s">
        <v>56</v>
      </c>
      <c r="BL108" t="s">
        <v>56</v>
      </c>
      <c r="BM108" t="s">
        <v>56</v>
      </c>
      <c r="BN108" t="s">
        <v>56</v>
      </c>
      <c r="BO108" t="s">
        <v>56</v>
      </c>
      <c r="BP108" t="s">
        <v>56</v>
      </c>
      <c r="BQ108" t="s">
        <v>56</v>
      </c>
      <c r="BR108" t="s">
        <v>56</v>
      </c>
      <c r="BS108" t="s">
        <v>56</v>
      </c>
      <c r="BT108" t="s">
        <v>56</v>
      </c>
      <c r="BU108" t="s">
        <v>56</v>
      </c>
      <c r="BV108" t="s">
        <v>56</v>
      </c>
      <c r="BW108" t="s">
        <v>56</v>
      </c>
      <c r="BX108" t="str">
        <f>HYPERLINK(".\links\PREV-RHOD-CDS\TI_asb-186-PREV-RHOD-CDS.txt","Contig17586_36")</f>
        <v>Contig17586_36</v>
      </c>
      <c r="BY108" s="6">
        <v>1.7000000000000001E-2</v>
      </c>
      <c r="BZ108" t="s">
        <v>1240</v>
      </c>
      <c r="CA108">
        <v>40.1</v>
      </c>
      <c r="CB108">
        <v>23</v>
      </c>
      <c r="CC108">
        <v>711</v>
      </c>
      <c r="CD108">
        <v>95</v>
      </c>
      <c r="CE108">
        <v>3</v>
      </c>
      <c r="CF108">
        <v>1</v>
      </c>
      <c r="CG108">
        <v>0</v>
      </c>
      <c r="CH108">
        <v>426</v>
      </c>
      <c r="CI108">
        <v>41</v>
      </c>
      <c r="CJ108">
        <v>1</v>
      </c>
      <c r="CK108" t="s">
        <v>64</v>
      </c>
      <c r="CL108" t="s">
        <v>56</v>
      </c>
      <c r="CM108" t="s">
        <v>56</v>
      </c>
      <c r="CN108" t="s">
        <v>56</v>
      </c>
      <c r="CO108" t="s">
        <v>56</v>
      </c>
      <c r="CP108" t="s">
        <v>56</v>
      </c>
      <c r="CQ108" t="s">
        <v>56</v>
      </c>
      <c r="CR108" t="s">
        <v>56</v>
      </c>
      <c r="CS108" t="s">
        <v>56</v>
      </c>
      <c r="CT108" t="s">
        <v>56</v>
      </c>
      <c r="CU108" t="s">
        <v>56</v>
      </c>
      <c r="CV108" t="s">
        <v>56</v>
      </c>
      <c r="CW108" t="s">
        <v>56</v>
      </c>
      <c r="CX108" t="s">
        <v>56</v>
      </c>
      <c r="CY108" t="s">
        <v>56</v>
      </c>
      <c r="CZ108" t="s">
        <v>56</v>
      </c>
      <c r="DA108" t="s">
        <v>56</v>
      </c>
      <c r="DB108" t="s">
        <v>56</v>
      </c>
      <c r="DC108" t="str">
        <f>HYPERLINK(".\links\CDD\TI_asb-186-CDD.txt","ND2")</f>
        <v>ND2</v>
      </c>
      <c r="DD108" t="str">
        <f>HYPERLINK("http://www.ncbi.nlm.nih.gov/Structure/cdd/cddsrv.cgi?uid=MTH00091&amp;version=v4.0","6E-004")</f>
        <v>6E-004</v>
      </c>
      <c r="DE108" t="s">
        <v>1241</v>
      </c>
      <c r="DF108" t="str">
        <f>HYPERLINK(".\links\PFAM\TI_asb-186-PFAM.txt","Oxidored_q3")</f>
        <v>Oxidored_q3</v>
      </c>
      <c r="DG108" t="str">
        <f>HYPERLINK("http://pfam.sanger.ac.uk/family?acc=PF00499","0.007")</f>
        <v>0.007</v>
      </c>
      <c r="DH108" t="str">
        <f>HYPERLINK(".\links\PRK\TI_asb-186-PRK.txt","NADH dehydrogenase subunit 4")</f>
        <v>NADH dehydrogenase subunit 4</v>
      </c>
      <c r="DI108" s="7">
        <v>2.0000000000000001E-4</v>
      </c>
      <c r="DJ108" s="6" t="s">
        <v>56</v>
      </c>
      <c r="DN108" t="s">
        <v>56</v>
      </c>
      <c r="DO108" t="s">
        <v>56</v>
      </c>
      <c r="DP108" s="3" t="s">
        <v>56</v>
      </c>
      <c r="ED108" s="3" t="str">
        <f>HYPERLINK(".\links\MIT-PLA\TI_asb-186-MIT-PLA.txt","Triatoma dimidiata mitochondrial DNA, complete genome")</f>
        <v>Triatoma dimidiata mitochondrial DNA, complete genome</v>
      </c>
      <c r="EE108" s="3" t="str">
        <f>HYPERLINK("http://www.ncbi.nlm.nih.gov/entrez/viewer.fcgi?db=nucleotide&amp;val=11139100","1E-008")</f>
        <v>1E-008</v>
      </c>
      <c r="EF108" s="3" t="str">
        <f>HYPERLINK("http://www.ncbi.nlm.nih.gov/entrez/viewer.fcgi?db=nucleotide&amp;val=11139100","gi|11139100")</f>
        <v>gi|11139100</v>
      </c>
      <c r="EG108" s="3">
        <v>60</v>
      </c>
      <c r="EH108" s="3">
        <v>85</v>
      </c>
      <c r="EI108" s="3">
        <v>17019</v>
      </c>
      <c r="EJ108" s="3">
        <v>83</v>
      </c>
      <c r="EK108" s="3">
        <v>1</v>
      </c>
      <c r="EL108" s="3">
        <v>14</v>
      </c>
      <c r="EM108" s="3">
        <v>0</v>
      </c>
      <c r="EN108" s="3">
        <v>13814</v>
      </c>
      <c r="EO108" s="3">
        <v>88</v>
      </c>
      <c r="EP108" s="3">
        <v>1</v>
      </c>
      <c r="EQ108" s="3" t="s">
        <v>64</v>
      </c>
    </row>
    <row r="109" spans="1:147">
      <c r="A109" t="str">
        <f>HYPERLINK(".\links\seq\TI_asb-187-seq.txt","TI_asb-187")</f>
        <v>TI_asb-187</v>
      </c>
      <c r="B109">
        <v>187</v>
      </c>
      <c r="C109" t="str">
        <f>HYPERLINK(".\links\tsa\TI_asb-187-tsa.txt","2")</f>
        <v>2</v>
      </c>
      <c r="D109">
        <v>2</v>
      </c>
      <c r="E109">
        <v>745</v>
      </c>
      <c r="G109" t="str">
        <f>HYPERLINK(".\links\qual\TI_asb-187-qual.txt","53")</f>
        <v>53</v>
      </c>
      <c r="H109">
        <v>0</v>
      </c>
      <c r="I109">
        <v>2</v>
      </c>
      <c r="J109">
        <f t="shared" si="4"/>
        <v>2</v>
      </c>
      <c r="K109" s="6">
        <f t="shared" si="5"/>
        <v>-2</v>
      </c>
      <c r="L109" s="6" t="s">
        <v>3957</v>
      </c>
      <c r="M109" s="6" t="s">
        <v>3894</v>
      </c>
      <c r="N109" s="6" t="s">
        <v>3872</v>
      </c>
      <c r="O109" s="7">
        <v>9.9999999999999996E-82</v>
      </c>
      <c r="P109" s="6">
        <v>101.1</v>
      </c>
      <c r="Q109" s="3">
        <v>745</v>
      </c>
      <c r="R109" s="3">
        <v>558</v>
      </c>
      <c r="S109" s="3" t="s">
        <v>3588</v>
      </c>
      <c r="T109" s="3">
        <v>1</v>
      </c>
      <c r="U109" t="str">
        <f>HYPERLINK(".\links\NR-LIGHT\TI_asb-187-NR-LIGHT.txt","myosin regulatory light chain, nonmuscle, putative")</f>
        <v>myosin regulatory light chain, nonmuscle, putative</v>
      </c>
      <c r="V109" t="str">
        <f>HYPERLINK("http://www.ncbi.nlm.nih.gov/sutils/blink.cgi?pid=242022448","2E-079")</f>
        <v>2E-079</v>
      </c>
      <c r="W109" t="str">
        <f>HYPERLINK(".\links\NR-LIGHT\TI_asb-187-NR-LIGHT.txt"," 10")</f>
        <v xml:space="preserve"> 10</v>
      </c>
      <c r="X109" t="str">
        <f>HYPERLINK("http://www.ncbi.nlm.nih.gov/protein/242022448","gi|242022448")</f>
        <v>gi|242022448</v>
      </c>
      <c r="Y109">
        <v>297</v>
      </c>
      <c r="Z109">
        <v>152</v>
      </c>
      <c r="AA109">
        <v>174</v>
      </c>
      <c r="AB109">
        <v>92</v>
      </c>
      <c r="AC109">
        <v>87</v>
      </c>
      <c r="AD109">
        <v>11</v>
      </c>
      <c r="AE109">
        <v>0</v>
      </c>
      <c r="AF109">
        <v>22</v>
      </c>
      <c r="AG109">
        <v>136</v>
      </c>
      <c r="AH109">
        <v>1</v>
      </c>
      <c r="AI109">
        <v>1</v>
      </c>
      <c r="AJ109" t="s">
        <v>53</v>
      </c>
      <c r="AK109" t="s">
        <v>54</v>
      </c>
      <c r="AL109" t="s">
        <v>141</v>
      </c>
      <c r="AM109" t="str">
        <f>HYPERLINK(".\links\SWISSP\TI_asb-187-SWISSP.txt","Myosin regulatory light chain sqh OS=Drosophila melanogaster GN=sqh PE=1 SV=1")</f>
        <v>Myosin regulatory light chain sqh OS=Drosophila melanogaster GN=sqh PE=1 SV=1</v>
      </c>
      <c r="AN109" s="19" t="str">
        <f>HYPERLINK("http://www.uniprot.org/uniprot/P40423","5E-078")</f>
        <v>5E-078</v>
      </c>
      <c r="AO109" t="str">
        <f>HYPERLINK(".\links\SWISSP\TI_asb-187-SWISSP.txt"," 10")</f>
        <v xml:space="preserve"> 10</v>
      </c>
      <c r="AP109" t="s">
        <v>1242</v>
      </c>
      <c r="AQ109">
        <v>290</v>
      </c>
      <c r="AR109">
        <v>153</v>
      </c>
      <c r="AS109">
        <v>174</v>
      </c>
      <c r="AT109">
        <v>89</v>
      </c>
      <c r="AU109">
        <v>88</v>
      </c>
      <c r="AV109">
        <v>16</v>
      </c>
      <c r="AW109">
        <v>0</v>
      </c>
      <c r="AX109">
        <v>22</v>
      </c>
      <c r="AY109">
        <v>136</v>
      </c>
      <c r="AZ109">
        <v>1</v>
      </c>
      <c r="BA109">
        <v>1</v>
      </c>
      <c r="BB109" t="s">
        <v>53</v>
      </c>
      <c r="BC109" t="s">
        <v>54</v>
      </c>
      <c r="BD109" t="s">
        <v>143</v>
      </c>
      <c r="BE109" t="s">
        <v>1243</v>
      </c>
      <c r="BF109" t="s">
        <v>1244</v>
      </c>
      <c r="BG109" t="str">
        <f>HYPERLINK(".\links\PREV-RHOD-PEP\TI_asb-187-PREV-RHOD-PEP.txt","Contig17965_34")</f>
        <v>Contig17965_34</v>
      </c>
      <c r="BH109" s="7">
        <v>1.0000000000000001E-86</v>
      </c>
      <c r="BI109" t="str">
        <f>HYPERLINK(".\links\PREV-RHOD-PEP\TI_asb-187-PREV-RHOD-PEP.txt"," 10")</f>
        <v xml:space="preserve"> 10</v>
      </c>
      <c r="BJ109" t="s">
        <v>1245</v>
      </c>
      <c r="BK109">
        <v>315</v>
      </c>
      <c r="BL109">
        <v>153</v>
      </c>
      <c r="BM109">
        <v>174</v>
      </c>
      <c r="BN109">
        <v>100</v>
      </c>
      <c r="BO109">
        <v>88</v>
      </c>
      <c r="BP109">
        <v>0</v>
      </c>
      <c r="BQ109">
        <v>0</v>
      </c>
      <c r="BR109">
        <v>22</v>
      </c>
      <c r="BS109">
        <v>136</v>
      </c>
      <c r="BT109">
        <v>1</v>
      </c>
      <c r="BU109" t="s">
        <v>54</v>
      </c>
      <c r="BV109" t="s">
        <v>1246</v>
      </c>
      <c r="BW109" t="s">
        <v>56</v>
      </c>
      <c r="BX109" t="str">
        <f>HYPERLINK(".\links\PREV-RHOD-CDS\TI_asb-187-PREV-RHOD-CDS.txt","Contig17965_34")</f>
        <v>Contig17965_34</v>
      </c>
      <c r="BY109" s="6">
        <v>0</v>
      </c>
      <c r="BZ109" t="s">
        <v>1245</v>
      </c>
      <c r="CA109">
        <v>644</v>
      </c>
      <c r="CB109">
        <v>524</v>
      </c>
      <c r="CC109">
        <v>525</v>
      </c>
      <c r="CD109">
        <v>90</v>
      </c>
      <c r="CE109">
        <v>100</v>
      </c>
      <c r="CF109">
        <v>50</v>
      </c>
      <c r="CG109">
        <v>0</v>
      </c>
      <c r="CH109">
        <v>1</v>
      </c>
      <c r="CI109">
        <v>73</v>
      </c>
      <c r="CJ109">
        <v>1</v>
      </c>
      <c r="CK109" t="s">
        <v>54</v>
      </c>
      <c r="CL109" t="s">
        <v>1247</v>
      </c>
      <c r="CM109">
        <f>HYPERLINK(".\links\GO\TI_asb-187-GO.txt",2E-78)</f>
        <v>2E-78</v>
      </c>
      <c r="CN109" t="s">
        <v>1248</v>
      </c>
      <c r="CO109" t="s">
        <v>129</v>
      </c>
      <c r="CP109" t="s">
        <v>166</v>
      </c>
      <c r="CQ109" t="s">
        <v>1249</v>
      </c>
      <c r="CR109" s="7">
        <v>2E-78</v>
      </c>
      <c r="CS109" t="s">
        <v>1250</v>
      </c>
      <c r="CT109" t="s">
        <v>75</v>
      </c>
      <c r="CU109" t="s">
        <v>76</v>
      </c>
      <c r="CV109" t="s">
        <v>1251</v>
      </c>
      <c r="CW109" s="7">
        <v>2E-78</v>
      </c>
      <c r="CX109" t="s">
        <v>1252</v>
      </c>
      <c r="CY109" t="s">
        <v>129</v>
      </c>
      <c r="CZ109" t="s">
        <v>166</v>
      </c>
      <c r="DA109" t="s">
        <v>1253</v>
      </c>
      <c r="DB109" s="7">
        <v>2E-78</v>
      </c>
      <c r="DC109" t="str">
        <f>HYPERLINK(".\links\CDD\TI_asb-187-CDD.txt","FRQ1")</f>
        <v>FRQ1</v>
      </c>
      <c r="DD109" t="str">
        <f>HYPERLINK("http://www.ncbi.nlm.nih.gov/Structure/cdd/cddsrv.cgi?uid=COG5126&amp;version=v4.0","1E-035")</f>
        <v>1E-035</v>
      </c>
      <c r="DE109" t="s">
        <v>1254</v>
      </c>
      <c r="DF109" t="str">
        <f>HYPERLINK(".\links\PFAM\TI_asb-187-PFAM.txt","efhand")</f>
        <v>efhand</v>
      </c>
      <c r="DG109" t="str">
        <f>HYPERLINK("http://pfam.sanger.ac.uk/family?acc=PF00036","9E-006")</f>
        <v>9E-006</v>
      </c>
      <c r="DH109" t="str">
        <f>HYPERLINK(".\links\PRK\TI_asb-187-PRK.txt","calmodulin")</f>
        <v>calmodulin</v>
      </c>
      <c r="DI109" s="7">
        <v>5.0000000000000003E-33</v>
      </c>
      <c r="DJ109" s="6" t="str">
        <f>HYPERLINK(".\links\KOG\TI_asb-187-KOG.txt","Myosin regulatory light chain, EF-Hand protein superfamily")</f>
        <v>Myosin regulatory light chain, EF-Hand protein superfamily</v>
      </c>
      <c r="DK109" s="6" t="str">
        <f>HYPERLINK("http://www.ncbi.nlm.nih.gov/COG/grace/shokog.cgi?KOG0031","1E-081")</f>
        <v>1E-081</v>
      </c>
      <c r="DL109" s="6" t="s">
        <v>4344</v>
      </c>
      <c r="DM109" s="6" t="str">
        <f>HYPERLINK(".\links\KOG\TI_asb-187-KOG.txt","KOG0031")</f>
        <v>KOG0031</v>
      </c>
      <c r="DN109" t="str">
        <f>HYPERLINK(".\links\SMART\TI_asb-187-SMART.txt","EFh")</f>
        <v>EFh</v>
      </c>
      <c r="DO109" t="str">
        <f>HYPERLINK("http://smart.embl-heidelberg.de/smart/do_annotation.pl?DOMAIN=EFh&amp;BLAST=DUMMY","3E-008")</f>
        <v>3E-008</v>
      </c>
      <c r="DP109" s="3" t="s">
        <v>56</v>
      </c>
      <c r="ED109" s="3" t="s">
        <v>56</v>
      </c>
    </row>
    <row r="110" spans="1:147">
      <c r="A110" t="str">
        <f>HYPERLINK(".\links\seq\TI_asb-188-seq.txt","TI_asb-188")</f>
        <v>TI_asb-188</v>
      </c>
      <c r="B110">
        <v>188</v>
      </c>
      <c r="C110" t="str">
        <f>HYPERLINK(".\links\tsa\TI_asb-188-tsa.txt","1")</f>
        <v>1</v>
      </c>
      <c r="D110">
        <v>1</v>
      </c>
      <c r="E110">
        <v>570</v>
      </c>
      <c r="F110">
        <v>527</v>
      </c>
      <c r="G110" t="str">
        <f>HYPERLINK(".\links\qual\TI_asb-188-qual.txt","58")</f>
        <v>58</v>
      </c>
      <c r="H110">
        <v>1</v>
      </c>
      <c r="I110">
        <v>0</v>
      </c>
      <c r="J110">
        <f t="shared" si="4"/>
        <v>1</v>
      </c>
      <c r="K110" s="6">
        <f t="shared" si="5"/>
        <v>1</v>
      </c>
      <c r="L110" s="6" t="s">
        <v>3958</v>
      </c>
      <c r="M110" s="6" t="s">
        <v>3866</v>
      </c>
      <c r="N110" s="6" t="s">
        <v>3872</v>
      </c>
      <c r="O110" s="6">
        <v>2E-12</v>
      </c>
      <c r="P110" s="6">
        <v>20.399999999999999</v>
      </c>
      <c r="Q110" s="3">
        <v>570</v>
      </c>
      <c r="R110" s="3">
        <v>495</v>
      </c>
      <c r="S110" s="3" t="s">
        <v>3589</v>
      </c>
      <c r="T110" s="3">
        <v>2</v>
      </c>
      <c r="U110" t="str">
        <f>HYPERLINK(".\links\NR-LIGHT\TI_asb-188-NR-LIGHT.txt","similar to ENSANGP00000031364")</f>
        <v>similar to ENSANGP00000031364</v>
      </c>
      <c r="V110" t="str">
        <f>HYPERLINK("http://www.ncbi.nlm.nih.gov/sutils/blink.cgi?pid=156538801","2E-015")</f>
        <v>2E-015</v>
      </c>
      <c r="W110" t="str">
        <f>HYPERLINK(".\links\NR-LIGHT\TI_asb-188-NR-LIGHT.txt"," 10")</f>
        <v xml:space="preserve"> 10</v>
      </c>
      <c r="X110" t="str">
        <f>HYPERLINK("http://www.ncbi.nlm.nih.gov/protein/156538801","gi|156538801")</f>
        <v>gi|156538801</v>
      </c>
      <c r="Y110">
        <v>84.3</v>
      </c>
      <c r="Z110">
        <v>57</v>
      </c>
      <c r="AA110">
        <v>260</v>
      </c>
      <c r="AB110">
        <v>70</v>
      </c>
      <c r="AC110">
        <v>22</v>
      </c>
      <c r="AD110">
        <v>17</v>
      </c>
      <c r="AE110">
        <v>0</v>
      </c>
      <c r="AF110">
        <v>1</v>
      </c>
      <c r="AG110">
        <v>101</v>
      </c>
      <c r="AH110">
        <v>1</v>
      </c>
      <c r="AI110">
        <v>2</v>
      </c>
      <c r="AJ110" t="s">
        <v>53</v>
      </c>
      <c r="AK110" t="s">
        <v>54</v>
      </c>
      <c r="AL110" t="s">
        <v>66</v>
      </c>
      <c r="AM110" t="str">
        <f>HYPERLINK(".\links\SWISSP\TI_asb-188-SWISSP.txt","Upstream activation factor subunit spp27 OS=Schizosaccharomyces pombe GN=spp27")</f>
        <v>Upstream activation factor subunit spp27 OS=Schizosaccharomyces pombe GN=spp27</v>
      </c>
      <c r="AN110" s="19" t="str">
        <f>HYPERLINK("http://www.uniprot.org/uniprot/O74503","0.003")</f>
        <v>0.003</v>
      </c>
      <c r="AO110" t="str">
        <f>HYPERLINK(".\links\SWISSP\TI_asb-188-SWISSP.txt"," 7")</f>
        <v xml:space="preserve"> 7</v>
      </c>
      <c r="AP110" t="s">
        <v>1255</v>
      </c>
      <c r="AQ110">
        <v>42</v>
      </c>
      <c r="AR110">
        <v>50</v>
      </c>
      <c r="AS110">
        <v>233</v>
      </c>
      <c r="AT110">
        <v>38</v>
      </c>
      <c r="AU110">
        <v>21</v>
      </c>
      <c r="AV110">
        <v>31</v>
      </c>
      <c r="AW110">
        <v>0</v>
      </c>
      <c r="AX110">
        <v>2</v>
      </c>
      <c r="AY110">
        <v>119</v>
      </c>
      <c r="AZ110">
        <v>1</v>
      </c>
      <c r="BA110">
        <v>2</v>
      </c>
      <c r="BB110" t="s">
        <v>53</v>
      </c>
      <c r="BC110" t="s">
        <v>54</v>
      </c>
      <c r="BD110" t="s">
        <v>1064</v>
      </c>
      <c r="BE110" t="s">
        <v>1256</v>
      </c>
      <c r="BF110" t="s">
        <v>1257</v>
      </c>
      <c r="BG110" t="str">
        <f>HYPERLINK(".\links\PREV-RHOD-PEP\TI_asb-188-PREV-RHOD-PEP.txt","Contig17372_9")</f>
        <v>Contig17372_9</v>
      </c>
      <c r="BH110" s="7">
        <v>9.9999999999999992E-25</v>
      </c>
      <c r="BI110" t="str">
        <f>HYPERLINK(".\links\PREV-RHOD-PEP\TI_asb-188-PREV-RHOD-PEP.txt"," 4")</f>
        <v xml:space="preserve"> 4</v>
      </c>
      <c r="BJ110" t="s">
        <v>1258</v>
      </c>
      <c r="BK110">
        <v>108</v>
      </c>
      <c r="BL110">
        <v>57</v>
      </c>
      <c r="BM110">
        <v>268</v>
      </c>
      <c r="BN110">
        <v>98</v>
      </c>
      <c r="BO110">
        <v>21</v>
      </c>
      <c r="BP110">
        <v>1</v>
      </c>
      <c r="BQ110">
        <v>0</v>
      </c>
      <c r="BR110">
        <v>1</v>
      </c>
      <c r="BS110">
        <v>101</v>
      </c>
      <c r="BT110">
        <v>1</v>
      </c>
      <c r="BU110" t="s">
        <v>54</v>
      </c>
      <c r="BV110" t="s">
        <v>1259</v>
      </c>
      <c r="BW110" t="s">
        <v>56</v>
      </c>
      <c r="BX110" t="str">
        <f>HYPERLINK(".\links\PREV-RHOD-CDS\TI_asb-188-PREV-RHOD-CDS.txt","Contig17372_9")</f>
        <v>Contig17372_9</v>
      </c>
      <c r="BY110" s="7">
        <v>1.0000000000000001E-43</v>
      </c>
      <c r="BZ110" t="s">
        <v>1258</v>
      </c>
      <c r="CA110">
        <v>176</v>
      </c>
      <c r="CB110">
        <v>412</v>
      </c>
      <c r="CC110">
        <v>807</v>
      </c>
      <c r="CD110">
        <v>90</v>
      </c>
      <c r="CE110">
        <v>51</v>
      </c>
      <c r="CF110">
        <v>13</v>
      </c>
      <c r="CG110">
        <v>0</v>
      </c>
      <c r="CH110">
        <v>1</v>
      </c>
      <c r="CI110">
        <v>101</v>
      </c>
      <c r="CJ110">
        <v>2</v>
      </c>
      <c r="CK110" t="s">
        <v>54</v>
      </c>
      <c r="CL110" t="s">
        <v>1260</v>
      </c>
      <c r="CM110">
        <f>HYPERLINK(".\links\GO\TI_asb-188-GO.txt",0.0008)</f>
        <v>8.0000000000000004E-4</v>
      </c>
      <c r="CN110" t="s">
        <v>1261</v>
      </c>
      <c r="CO110" t="s">
        <v>1012</v>
      </c>
      <c r="CP110" t="s">
        <v>1262</v>
      </c>
      <c r="CQ110" t="s">
        <v>1263</v>
      </c>
      <c r="CR110" s="6">
        <v>8.0000000000000004E-4</v>
      </c>
      <c r="CS110" t="s">
        <v>1264</v>
      </c>
      <c r="CT110" t="s">
        <v>75</v>
      </c>
      <c r="CU110" t="s">
        <v>76</v>
      </c>
      <c r="CV110" t="s">
        <v>1265</v>
      </c>
      <c r="CW110" s="6">
        <v>8.0000000000000004E-4</v>
      </c>
      <c r="CX110" t="s">
        <v>1266</v>
      </c>
      <c r="CY110" t="s">
        <v>1012</v>
      </c>
      <c r="CZ110" t="s">
        <v>1262</v>
      </c>
      <c r="DA110" t="s">
        <v>1267</v>
      </c>
      <c r="DB110" s="6">
        <v>8.0000000000000004E-4</v>
      </c>
      <c r="DC110" t="str">
        <f>HYPERLINK(".\links\CDD\TI_asb-188-CDD.txt","ND2")</f>
        <v>ND2</v>
      </c>
      <c r="DD110" t="str">
        <f>HYPERLINK("http://www.ncbi.nlm.nih.gov/Structure/cdd/cddsrv.cgi?uid=MTH00091&amp;version=v4.0","4E-012")</f>
        <v>4E-012</v>
      </c>
      <c r="DE110" t="s">
        <v>1268</v>
      </c>
      <c r="DF110" t="str">
        <f>HYPERLINK(".\links\PFAM\TI_asb-188-PFAM.txt","DEK_C")</f>
        <v>DEK_C</v>
      </c>
      <c r="DG110" t="str">
        <f>HYPERLINK("http://pfam.sanger.ac.uk/family?acc=PF08766","2E-012")</f>
        <v>2E-012</v>
      </c>
      <c r="DH110" t="str">
        <f>HYPERLINK(".\links\PRK\TI_asb-188-PRK.txt","NADH dehydrogenase subunit 5")</f>
        <v>NADH dehydrogenase subunit 5</v>
      </c>
      <c r="DI110" s="7">
        <v>1.9999999999999999E-11</v>
      </c>
      <c r="DJ110" s="6" t="str">
        <f>HYPERLINK(".\links\KOG\TI_asb-188-KOG.txt","eIF2-interacting protein ABC50 (ABC superfamily)")</f>
        <v>eIF2-interacting protein ABC50 (ABC superfamily)</v>
      </c>
      <c r="DK110" s="6" t="str">
        <f>HYPERLINK("http://www.ncbi.nlm.nih.gov/COG/grace/shokog.cgi?KOG0066","2E-012")</f>
        <v>2E-012</v>
      </c>
      <c r="DL110" s="6" t="s">
        <v>4333</v>
      </c>
      <c r="DM110" s="6" t="str">
        <f>HYPERLINK(".\links\KOG\TI_asb-188-KOG.txt","KOG0066")</f>
        <v>KOG0066</v>
      </c>
      <c r="DN110" t="str">
        <f>HYPERLINK(".\links\SMART\TI_asb-188-SMART.txt","SPT2")</f>
        <v>SPT2</v>
      </c>
      <c r="DO110" t="str">
        <f>HYPERLINK("http://smart.embl-heidelberg.de/smart/do_annotation.pl?DOMAIN=SPT2&amp;BLAST=DUMMY","2E-007")</f>
        <v>2E-007</v>
      </c>
      <c r="DP110" s="3" t="s">
        <v>56</v>
      </c>
      <c r="ED110" s="3" t="s">
        <v>56</v>
      </c>
    </row>
    <row r="111" spans="1:147">
      <c r="A111" t="str">
        <f>HYPERLINK(".\links\seq\TI_asb-189-seq.txt","TI_asb-189")</f>
        <v>TI_asb-189</v>
      </c>
      <c r="B111">
        <v>189</v>
      </c>
      <c r="C111" t="str">
        <f>HYPERLINK(".\links\tsa\TI_asb-189-tsa.txt","1")</f>
        <v>1</v>
      </c>
      <c r="D111">
        <v>1</v>
      </c>
      <c r="E111">
        <v>802</v>
      </c>
      <c r="G111" t="str">
        <f>HYPERLINK(".\links\qual\TI_asb-189-qual.txt","47")</f>
        <v>47</v>
      </c>
      <c r="H111">
        <v>1</v>
      </c>
      <c r="I111">
        <v>0</v>
      </c>
      <c r="J111">
        <f t="shared" si="4"/>
        <v>1</v>
      </c>
      <c r="K111" s="6">
        <f t="shared" si="5"/>
        <v>1</v>
      </c>
      <c r="L111" s="6" t="s">
        <v>3959</v>
      </c>
      <c r="M111" s="6" t="s">
        <v>3947</v>
      </c>
      <c r="N111" s="6" t="s">
        <v>3867</v>
      </c>
      <c r="O111" s="6">
        <v>7.9999999999999996E-7</v>
      </c>
      <c r="P111" s="6">
        <v>61</v>
      </c>
      <c r="Q111" s="3">
        <v>802</v>
      </c>
      <c r="R111" s="3">
        <v>360</v>
      </c>
      <c r="S111" s="3" t="s">
        <v>3590</v>
      </c>
      <c r="T111" s="3">
        <v>5</v>
      </c>
      <c r="U111" t="str">
        <f>HYPERLINK(".\links\NR-LIGHT\TI_asb-189-NR-LIGHT.txt","similar to CG13204 CG13204-PA")</f>
        <v>similar to CG13204 CG13204-PA</v>
      </c>
      <c r="V111" t="str">
        <f>HYPERLINK("http://www.ncbi.nlm.nih.gov/sutils/blink.cgi?pid=193598935","7E-004")</f>
        <v>7E-004</v>
      </c>
      <c r="W111" t="str">
        <f>HYPERLINK(".\links\NR-LIGHT\TI_asb-189-NR-LIGHT.txt"," 10")</f>
        <v xml:space="preserve"> 10</v>
      </c>
      <c r="X111" t="str">
        <f>HYPERLINK("http://www.ncbi.nlm.nih.gov/protein/193598935","gi|193598935")</f>
        <v>gi|193598935</v>
      </c>
      <c r="Y111">
        <v>47</v>
      </c>
      <c r="Z111">
        <v>54</v>
      </c>
      <c r="AA111">
        <v>255</v>
      </c>
      <c r="AB111">
        <v>46</v>
      </c>
      <c r="AC111">
        <v>21</v>
      </c>
      <c r="AD111">
        <v>29</v>
      </c>
      <c r="AE111">
        <v>0</v>
      </c>
      <c r="AF111">
        <v>3</v>
      </c>
      <c r="AG111">
        <v>319</v>
      </c>
      <c r="AH111">
        <v>1</v>
      </c>
      <c r="AI111">
        <v>-2</v>
      </c>
      <c r="AJ111" t="s">
        <v>53</v>
      </c>
      <c r="AK111" t="s">
        <v>64</v>
      </c>
      <c r="AL111" t="s">
        <v>177</v>
      </c>
      <c r="AM111" t="str">
        <f>HYPERLINK(".\links\SWISSP\TI_asb-189-SWISSP.txt","Dihydrodipicolinate reductase OS=Coxiella burnetii GN=dapB PE=3 SV=2")</f>
        <v>Dihydrodipicolinate reductase OS=Coxiella burnetii GN=dapB PE=3 SV=2</v>
      </c>
      <c r="AN111" s="19" t="str">
        <f>HYPERLINK("http://www.uniprot.org/uniprot/P24703","6.6")</f>
        <v>6.6</v>
      </c>
      <c r="AO111" t="str">
        <f>HYPERLINK(".\links\SWISSP\TI_asb-189-SWISSP.txt"," 5")</f>
        <v xml:space="preserve"> 5</v>
      </c>
      <c r="AP111" t="s">
        <v>1269</v>
      </c>
      <c r="AQ111">
        <v>31.6</v>
      </c>
      <c r="AR111">
        <v>40</v>
      </c>
      <c r="AS111">
        <v>239</v>
      </c>
      <c r="AT111">
        <v>47</v>
      </c>
      <c r="AU111">
        <v>17</v>
      </c>
      <c r="AV111">
        <v>21</v>
      </c>
      <c r="AW111">
        <v>0</v>
      </c>
      <c r="AX111">
        <v>61</v>
      </c>
      <c r="AY111">
        <v>130</v>
      </c>
      <c r="AZ111">
        <v>1</v>
      </c>
      <c r="BA111">
        <v>1</v>
      </c>
      <c r="BB111" t="s">
        <v>53</v>
      </c>
      <c r="BC111" t="s">
        <v>54</v>
      </c>
      <c r="BD111" t="s">
        <v>1270</v>
      </c>
      <c r="BE111" t="s">
        <v>1271</v>
      </c>
      <c r="BF111" t="s">
        <v>1272</v>
      </c>
      <c r="BG111" t="str">
        <f>HYPERLINK(".\links\PREV-RHOD-PEP\TI_asb-189-PREV-RHOD-PEP.txt","Contig16129_5")</f>
        <v>Contig16129_5</v>
      </c>
      <c r="BH111" s="6">
        <v>0.06</v>
      </c>
      <c r="BI111" t="str">
        <f>HYPERLINK(".\links\PREV-RHOD-PEP\TI_asb-189-PREV-RHOD-PEP.txt"," 10")</f>
        <v xml:space="preserve"> 10</v>
      </c>
      <c r="BJ111" t="s">
        <v>1273</v>
      </c>
      <c r="BK111">
        <v>34.299999999999997</v>
      </c>
      <c r="BL111">
        <v>40</v>
      </c>
      <c r="BM111">
        <v>228</v>
      </c>
      <c r="BN111">
        <v>35</v>
      </c>
      <c r="BO111">
        <v>18</v>
      </c>
      <c r="BP111">
        <v>26</v>
      </c>
      <c r="BQ111">
        <v>0</v>
      </c>
      <c r="BR111">
        <v>2</v>
      </c>
      <c r="BS111">
        <v>367</v>
      </c>
      <c r="BT111">
        <v>1</v>
      </c>
      <c r="BU111" t="s">
        <v>64</v>
      </c>
      <c r="BV111" t="s">
        <v>1274</v>
      </c>
      <c r="BW111" t="s">
        <v>56</v>
      </c>
      <c r="BX111" t="str">
        <f>HYPERLINK(".\links\PREV-RHOD-CDS\TI_asb-189-PREV-RHOD-CDS.txt","Contig17726_35")</f>
        <v>Contig17726_35</v>
      </c>
      <c r="BY111" s="7">
        <v>4.0000000000000002E-4</v>
      </c>
      <c r="BZ111" t="s">
        <v>1275</v>
      </c>
      <c r="CA111">
        <v>46.1</v>
      </c>
      <c r="CB111">
        <v>22</v>
      </c>
      <c r="CC111">
        <v>2472</v>
      </c>
      <c r="CD111">
        <v>100</v>
      </c>
      <c r="CE111">
        <v>1</v>
      </c>
      <c r="CF111">
        <v>0</v>
      </c>
      <c r="CG111">
        <v>0</v>
      </c>
      <c r="CH111">
        <v>507</v>
      </c>
      <c r="CI111">
        <v>265</v>
      </c>
      <c r="CJ111">
        <v>1</v>
      </c>
      <c r="CK111" t="s">
        <v>64</v>
      </c>
      <c r="CL111" t="s">
        <v>1276</v>
      </c>
      <c r="CM111">
        <f>HYPERLINK(".\links\GO\TI_asb-189-GO.txt",0.015)</f>
        <v>1.4999999999999999E-2</v>
      </c>
      <c r="CN111" t="s">
        <v>208</v>
      </c>
      <c r="CO111" t="s">
        <v>185</v>
      </c>
      <c r="CP111" t="s">
        <v>186</v>
      </c>
      <c r="CQ111" t="s">
        <v>209</v>
      </c>
      <c r="CR111" s="6">
        <v>1.4999999999999999E-2</v>
      </c>
      <c r="CS111" t="s">
        <v>224</v>
      </c>
      <c r="CT111" t="s">
        <v>75</v>
      </c>
      <c r="CU111" t="s">
        <v>76</v>
      </c>
      <c r="CV111" t="s">
        <v>225</v>
      </c>
      <c r="CW111" s="6">
        <v>1.4999999999999999E-2</v>
      </c>
      <c r="CX111" t="s">
        <v>1277</v>
      </c>
      <c r="CY111" t="s">
        <v>185</v>
      </c>
      <c r="CZ111" t="s">
        <v>186</v>
      </c>
      <c r="DA111" t="s">
        <v>1278</v>
      </c>
      <c r="DB111" s="6">
        <v>1.4999999999999999E-2</v>
      </c>
      <c r="DC111" t="str">
        <f>HYPERLINK(".\links\CDD\TI_asb-189-CDD.txt","MADF")</f>
        <v>MADF</v>
      </c>
      <c r="DD111" t="str">
        <f>HYPERLINK("http://www.ncbi.nlm.nih.gov/Structure/cdd/cddsrv.cgi?uid=smart00595&amp;version=v4.0","1E-006")</f>
        <v>1E-006</v>
      </c>
      <c r="DE111" t="s">
        <v>1279</v>
      </c>
      <c r="DF111" t="str">
        <f>HYPERLINK(".\links\PFAM\TI_asb-189-PFAM.txt","MADF_DNA_bdg")</f>
        <v>MADF_DNA_bdg</v>
      </c>
      <c r="DG111" t="str">
        <f>HYPERLINK("http://pfam.sanger.ac.uk/family?acc=PF10545","8E-007")</f>
        <v>8E-007</v>
      </c>
      <c r="DH111" t="s">
        <v>56</v>
      </c>
      <c r="DI111" s="6" t="s">
        <v>56</v>
      </c>
      <c r="DJ111" s="6" t="s">
        <v>56</v>
      </c>
      <c r="DN111" t="str">
        <f>HYPERLINK(".\links\SMART\TI_asb-189-SMART.txt","MADF")</f>
        <v>MADF</v>
      </c>
      <c r="DO111" t="str">
        <f>HYPERLINK("http://smart.embl-heidelberg.de/smart/do_annotation.pl?DOMAIN=MADF&amp;BLAST=DUMMY","4E-009")</f>
        <v>4E-009</v>
      </c>
      <c r="DP111" s="3" t="s">
        <v>56</v>
      </c>
      <c r="ED111" s="3" t="s">
        <v>56</v>
      </c>
    </row>
    <row r="112" spans="1:147">
      <c r="A112" t="str">
        <f>HYPERLINK(".\links\seq\TI_asb-190-seq.txt","TI_asb-190")</f>
        <v>TI_asb-190</v>
      </c>
      <c r="B112">
        <v>190</v>
      </c>
      <c r="C112" t="str">
        <f>HYPERLINK(".\links\tsa\TI_asb-190-tsa.txt","1")</f>
        <v>1</v>
      </c>
      <c r="D112">
        <v>1</v>
      </c>
      <c r="E112">
        <v>841</v>
      </c>
      <c r="F112">
        <v>819</v>
      </c>
      <c r="G112" t="str">
        <f>HYPERLINK(".\links\qual\TI_asb-190-qual.txt","26")</f>
        <v>26</v>
      </c>
      <c r="H112">
        <v>1</v>
      </c>
      <c r="I112">
        <v>0</v>
      </c>
      <c r="J112">
        <f t="shared" si="4"/>
        <v>1</v>
      </c>
      <c r="K112" s="6">
        <f t="shared" si="5"/>
        <v>1</v>
      </c>
      <c r="L112" s="6" t="s">
        <v>3960</v>
      </c>
      <c r="M112" s="6" t="s">
        <v>3863</v>
      </c>
      <c r="N112" s="6" t="s">
        <v>3864</v>
      </c>
      <c r="O112" s="7">
        <v>3.0000000000000001E-59</v>
      </c>
      <c r="P112" s="6">
        <v>57.8</v>
      </c>
      <c r="Q112" s="3">
        <v>841</v>
      </c>
      <c r="R112" s="3">
        <v>504</v>
      </c>
      <c r="S112" s="3" t="s">
        <v>3591</v>
      </c>
      <c r="T112" s="3">
        <v>3</v>
      </c>
      <c r="U112" t="str">
        <f>HYPERLINK(".\links\NR-LIGHT\TI_asb-190-NR-LIGHT.txt","hemolysin-like secreted salivary protein 1")</f>
        <v>hemolysin-like secreted salivary protein 1</v>
      </c>
      <c r="V112" t="str">
        <f>HYPERLINK("http://www.ncbi.nlm.nih.gov/sutils/blink.cgi?pid=149898852","3E-059")</f>
        <v>3E-059</v>
      </c>
      <c r="W112" t="str">
        <f>HYPERLINK(".\links\NR-LIGHT\TI_asb-190-NR-LIGHT.txt"," 10")</f>
        <v xml:space="preserve"> 10</v>
      </c>
      <c r="X112" t="str">
        <f>HYPERLINK("http://www.ncbi.nlm.nih.gov/protein/149898852","gi|149898852")</f>
        <v>gi|149898852</v>
      </c>
      <c r="Y112">
        <v>220</v>
      </c>
      <c r="Z112">
        <v>144</v>
      </c>
      <c r="AA112">
        <v>249</v>
      </c>
      <c r="AB112">
        <v>80</v>
      </c>
      <c r="AC112">
        <v>58</v>
      </c>
      <c r="AD112">
        <v>28</v>
      </c>
      <c r="AE112">
        <v>0</v>
      </c>
      <c r="AF112">
        <v>9</v>
      </c>
      <c r="AG112">
        <v>27</v>
      </c>
      <c r="AH112">
        <v>2</v>
      </c>
      <c r="AI112">
        <v>3</v>
      </c>
      <c r="AJ112" t="s">
        <v>65</v>
      </c>
      <c r="AK112" t="s">
        <v>54</v>
      </c>
      <c r="AL112" t="s">
        <v>55</v>
      </c>
      <c r="AM112" t="str">
        <f>HYPERLINK(".\links\SWISSP\TI_asb-190-SWISSP.txt","Probable transaldolase OS=Bacillus halodurans GN=tal PE=3 SV=1")</f>
        <v>Probable transaldolase OS=Bacillus halodurans GN=tal PE=3 SV=1</v>
      </c>
      <c r="AN112" s="19" t="str">
        <f>HYPERLINK("http://www.uniprot.org/uniprot/Q9K6E4","0.29")</f>
        <v>0.29</v>
      </c>
      <c r="AO112" t="str">
        <f>HYPERLINK(".\links\SWISSP\TI_asb-190-SWISSP.txt"," 10")</f>
        <v xml:space="preserve"> 10</v>
      </c>
      <c r="AP112" t="s">
        <v>1280</v>
      </c>
      <c r="AQ112">
        <v>36.200000000000003</v>
      </c>
      <c r="AR112">
        <v>63</v>
      </c>
      <c r="AS112">
        <v>212</v>
      </c>
      <c r="AT112">
        <v>34</v>
      </c>
      <c r="AU112">
        <v>30</v>
      </c>
      <c r="AV112">
        <v>41</v>
      </c>
      <c r="AW112">
        <v>0</v>
      </c>
      <c r="AX112">
        <v>99</v>
      </c>
      <c r="AY112">
        <v>135</v>
      </c>
      <c r="AZ112">
        <v>1</v>
      </c>
      <c r="BA112">
        <v>3</v>
      </c>
      <c r="BB112" t="s">
        <v>53</v>
      </c>
      <c r="BC112" t="s">
        <v>54</v>
      </c>
      <c r="BD112" t="s">
        <v>1281</v>
      </c>
      <c r="BE112" t="s">
        <v>1282</v>
      </c>
      <c r="BF112" t="s">
        <v>1283</v>
      </c>
      <c r="BG112" t="str">
        <f>HYPERLINK(".\links\PREV-RHOD-PEP\TI_asb-190-PREV-RHOD-PEP.txt","Contig17876_8")</f>
        <v>Contig17876_8</v>
      </c>
      <c r="BH112" s="7">
        <v>9.9999999999999994E-12</v>
      </c>
      <c r="BI112" t="str">
        <f>HYPERLINK(".\links\PREV-RHOD-PEP\TI_asb-190-PREV-RHOD-PEP.txt"," 10")</f>
        <v xml:space="preserve"> 10</v>
      </c>
      <c r="BJ112" t="s">
        <v>1284</v>
      </c>
      <c r="BK112">
        <v>65.900000000000006</v>
      </c>
      <c r="BL112">
        <v>110</v>
      </c>
      <c r="BM112">
        <v>190</v>
      </c>
      <c r="BN112">
        <v>32</v>
      </c>
      <c r="BO112">
        <v>58</v>
      </c>
      <c r="BP112">
        <v>74</v>
      </c>
      <c r="BQ112">
        <v>0</v>
      </c>
      <c r="BR112">
        <v>35</v>
      </c>
      <c r="BS112">
        <v>126</v>
      </c>
      <c r="BT112">
        <v>2</v>
      </c>
      <c r="BU112" t="s">
        <v>54</v>
      </c>
      <c r="BV112" t="s">
        <v>1285</v>
      </c>
      <c r="BW112" t="s">
        <v>56</v>
      </c>
      <c r="BX112" t="str">
        <f>HYPERLINK(".\links\PREV-RHOD-CDS\TI_asb-190-PREV-RHOD-CDS.txt","Contig17787_49")</f>
        <v>Contig17787_49</v>
      </c>
      <c r="BY112" s="6">
        <v>0.42</v>
      </c>
      <c r="BZ112" t="s">
        <v>1286</v>
      </c>
      <c r="CA112">
        <v>36.200000000000003</v>
      </c>
      <c r="CB112">
        <v>17</v>
      </c>
      <c r="CC112">
        <v>4347</v>
      </c>
      <c r="CD112">
        <v>100</v>
      </c>
      <c r="CF112">
        <v>0</v>
      </c>
      <c r="CG112">
        <v>0</v>
      </c>
      <c r="CH112">
        <v>2139</v>
      </c>
      <c r="CI112">
        <v>278</v>
      </c>
      <c r="CJ112">
        <v>1</v>
      </c>
      <c r="CK112" t="s">
        <v>54</v>
      </c>
      <c r="CL112" t="s">
        <v>1287</v>
      </c>
      <c r="CM112">
        <f>HYPERLINK(".\links\GO\TI_asb-190-GO.txt",0.4)</f>
        <v>0.4</v>
      </c>
      <c r="CN112" t="s">
        <v>208</v>
      </c>
      <c r="CO112" t="s">
        <v>185</v>
      </c>
      <c r="CP112" t="s">
        <v>186</v>
      </c>
      <c r="CQ112" t="s">
        <v>209</v>
      </c>
      <c r="CR112" s="6">
        <v>0.4</v>
      </c>
      <c r="CS112" t="s">
        <v>74</v>
      </c>
      <c r="CT112" t="s">
        <v>75</v>
      </c>
      <c r="CU112" t="s">
        <v>76</v>
      </c>
      <c r="CV112" t="s">
        <v>77</v>
      </c>
      <c r="CW112" s="6">
        <v>0.4</v>
      </c>
      <c r="CX112" t="s">
        <v>758</v>
      </c>
      <c r="CY112" t="s">
        <v>185</v>
      </c>
      <c r="CZ112" t="s">
        <v>186</v>
      </c>
      <c r="DA112" t="s">
        <v>759</v>
      </c>
      <c r="DB112" s="6">
        <v>0.4</v>
      </c>
      <c r="DC112" t="str">
        <f>HYPERLINK(".\links\CDD\TI_asb-190-CDD.txt","FA_desaturase")</f>
        <v>FA_desaturase</v>
      </c>
      <c r="DD112" t="str">
        <f>HYPERLINK("http://www.ncbi.nlm.nih.gov/Structure/cdd/cddsrv.cgi?uid=pfam00487&amp;version=v4.0","5E-006")</f>
        <v>5E-006</v>
      </c>
      <c r="DE112" t="s">
        <v>1288</v>
      </c>
      <c r="DF112" t="str">
        <f>HYPERLINK(".\links\PFAM\TI_asb-190-PFAM.txt","Acyl_transf_3")</f>
        <v>Acyl_transf_3</v>
      </c>
      <c r="DG112" t="str">
        <f>HYPERLINK("http://pfam.sanger.ac.uk/family?acc=PF01757","9E-007")</f>
        <v>9E-007</v>
      </c>
      <c r="DH112" t="str">
        <f>HYPERLINK(".\links\PRK\TI_asb-190-PRK.txt","NADH dehydrogenase subunit 2")</f>
        <v>NADH dehydrogenase subunit 2</v>
      </c>
      <c r="DI112" s="7">
        <v>1.0000000000000001E-5</v>
      </c>
      <c r="DJ112" s="6" t="str">
        <f>HYPERLINK(".\links\KOG\TI_asb-190-KOG.txt","Uncharacterized conserved protein")</f>
        <v>Uncharacterized conserved protein</v>
      </c>
      <c r="DK112" s="6" t="str">
        <f>HYPERLINK("http://www.ncbi.nlm.nih.gov/COG/grace/shokog.cgi?KOG3620","7E-004")</f>
        <v>7E-004</v>
      </c>
      <c r="DL112" s="6" t="s">
        <v>4347</v>
      </c>
      <c r="DM112" s="6" t="str">
        <f>HYPERLINK(".\links\KOG\TI_asb-190-KOG.txt","KOG3620")</f>
        <v>KOG3620</v>
      </c>
      <c r="DN112" t="str">
        <f>HYPERLINK(".\links\SMART\TI_asb-190-SMART.txt","TLC")</f>
        <v>TLC</v>
      </c>
      <c r="DO112" t="str">
        <f>HYPERLINK("http://smart.embl-heidelberg.de/smart/do_annotation.pl?DOMAIN=TLC&amp;BLAST=DUMMY","9E-007")</f>
        <v>9E-007</v>
      </c>
      <c r="DP112" s="3" t="s">
        <v>56</v>
      </c>
      <c r="ED112" s="3" t="s">
        <v>56</v>
      </c>
    </row>
    <row r="113" spans="1:134">
      <c r="A113" t="str">
        <f>HYPERLINK(".\links\seq\TI_asb-193-seq.txt","TI_asb-193")</f>
        <v>TI_asb-193</v>
      </c>
      <c r="B113">
        <v>193</v>
      </c>
      <c r="C113" t="str">
        <f>HYPERLINK(".\links\tsa\TI_asb-193-tsa.txt","1")</f>
        <v>1</v>
      </c>
      <c r="D113">
        <v>1</v>
      </c>
      <c r="E113">
        <v>565</v>
      </c>
      <c r="G113" t="str">
        <f>HYPERLINK(".\links\qual\TI_asb-193-qual.txt","34")</f>
        <v>34</v>
      </c>
      <c r="H113">
        <v>1</v>
      </c>
      <c r="I113">
        <v>0</v>
      </c>
      <c r="J113">
        <f t="shared" ref="J113:J147" si="6">ABS(H113-I113)</f>
        <v>1</v>
      </c>
      <c r="K113" s="6">
        <f t="shared" ref="K113:K147" si="7">H113-I113</f>
        <v>1</v>
      </c>
      <c r="L113" s="6" t="s">
        <v>3888</v>
      </c>
      <c r="M113" s="6" t="s">
        <v>3886</v>
      </c>
      <c r="N113" s="6" t="str">
        <f>HYPERLINK(".\links\KOG\TI_asb-193-KOG.txt","KOG")</f>
        <v>KOG</v>
      </c>
      <c r="O113" s="6">
        <v>0</v>
      </c>
      <c r="P113" s="6">
        <v>3</v>
      </c>
      <c r="Q113" s="3">
        <v>565</v>
      </c>
      <c r="R113" s="3">
        <v>204</v>
      </c>
      <c r="S113" s="6" t="s">
        <v>3592</v>
      </c>
      <c r="T113" s="3">
        <v>4</v>
      </c>
      <c r="U113" t="str">
        <f>HYPERLINK(".\links\NR-LIGHT\TI_asb-193-NR-LIGHT.txt","Radical SAM domain protein")</f>
        <v>Radical SAM domain protein</v>
      </c>
      <c r="V113" t="str">
        <f>HYPERLINK("http://www.ncbi.nlm.nih.gov/sutils/blink.cgi?pid=313499058","8.2")</f>
        <v>8.2</v>
      </c>
      <c r="W113" t="str">
        <f>HYPERLINK(".\links\NR-LIGHT\TI_asb-193-NR-LIGHT.txt"," 7")</f>
        <v xml:space="preserve"> 7</v>
      </c>
      <c r="X113" t="str">
        <f>HYPERLINK("http://www.ncbi.nlm.nih.gov/protein/313499058","gi|313499058")</f>
        <v>gi|313499058</v>
      </c>
      <c r="Y113">
        <v>32.299999999999997</v>
      </c>
      <c r="Z113">
        <v>40</v>
      </c>
      <c r="AA113">
        <v>406</v>
      </c>
      <c r="AB113">
        <v>37</v>
      </c>
      <c r="AC113">
        <v>10</v>
      </c>
      <c r="AD113">
        <v>25</v>
      </c>
      <c r="AE113">
        <v>0</v>
      </c>
      <c r="AF113">
        <v>234</v>
      </c>
      <c r="AG113">
        <v>371</v>
      </c>
      <c r="AH113">
        <v>1</v>
      </c>
      <c r="AI113">
        <v>-1</v>
      </c>
      <c r="AJ113" t="s">
        <v>53</v>
      </c>
      <c r="AK113" t="s">
        <v>64</v>
      </c>
      <c r="AL113" t="s">
        <v>1290</v>
      </c>
      <c r="AM113" t="str">
        <f>HYPERLINK(".\links\SWISSP\TI_asb-193-SWISSP.txt","Taste receptor type 2 member 140 OS=Rattus norvegicus GN=Tas2r140 PE=3 SV=1")</f>
        <v>Taste receptor type 2 member 140 OS=Rattus norvegicus GN=Tas2r140 PE=3 SV=1</v>
      </c>
      <c r="AN113" s="19" t="str">
        <f>HYPERLINK("http://www.uniprot.org/uniprot/Q67ES0","7.7")</f>
        <v>7.7</v>
      </c>
      <c r="AO113" t="str">
        <f>HYPERLINK(".\links\SWISSP\TI_asb-193-SWISSP.txt"," 1")</f>
        <v xml:space="preserve"> 1</v>
      </c>
      <c r="AP113" t="s">
        <v>1291</v>
      </c>
      <c r="AQ113">
        <v>30.4</v>
      </c>
      <c r="AR113">
        <v>100</v>
      </c>
      <c r="AS113">
        <v>312</v>
      </c>
      <c r="AT113">
        <v>27</v>
      </c>
      <c r="AU113">
        <v>32</v>
      </c>
      <c r="AV113">
        <v>73</v>
      </c>
      <c r="AW113">
        <v>12</v>
      </c>
      <c r="AX113">
        <v>105</v>
      </c>
      <c r="AY113">
        <v>11</v>
      </c>
      <c r="AZ113">
        <v>1</v>
      </c>
      <c r="BA113">
        <v>-1</v>
      </c>
      <c r="BB113" t="s">
        <v>53</v>
      </c>
      <c r="BC113" t="s">
        <v>64</v>
      </c>
      <c r="BD113" t="s">
        <v>122</v>
      </c>
      <c r="BE113" t="s">
        <v>1292</v>
      </c>
      <c r="BF113" t="s">
        <v>1293</v>
      </c>
      <c r="BG113" t="str">
        <f>HYPERLINK(".\links\PREV-RHOD-PEP\TI_asb-193-PREV-RHOD-PEP.txt","Contig17911_15")</f>
        <v>Contig17911_15</v>
      </c>
      <c r="BH113" s="6">
        <v>0.66</v>
      </c>
      <c r="BI113" t="str">
        <f>HYPERLINK(".\links\PREV-RHOD-PEP\TI_asb-193-PREV-RHOD-PEP.txt"," 5")</f>
        <v xml:space="preserve"> 5</v>
      </c>
      <c r="BJ113" t="s">
        <v>1294</v>
      </c>
      <c r="BK113">
        <v>30</v>
      </c>
      <c r="BL113">
        <v>42</v>
      </c>
      <c r="BM113">
        <v>564</v>
      </c>
      <c r="BN113">
        <v>35</v>
      </c>
      <c r="BO113">
        <v>7</v>
      </c>
      <c r="BP113">
        <v>27</v>
      </c>
      <c r="BQ113">
        <v>0</v>
      </c>
      <c r="BR113">
        <v>37</v>
      </c>
      <c r="BS113">
        <v>427</v>
      </c>
      <c r="BT113">
        <v>1</v>
      </c>
      <c r="BU113" t="s">
        <v>64</v>
      </c>
      <c r="BV113" t="s">
        <v>1295</v>
      </c>
      <c r="BW113" t="s">
        <v>56</v>
      </c>
      <c r="BX113" t="str">
        <f>HYPERLINK(".\links\PREV-RHOD-CDS\TI_asb-193-PREV-RHOD-CDS.txt","Contig18070_222")</f>
        <v>Contig18070_222</v>
      </c>
      <c r="BY113" s="6">
        <v>7.0999999999999994E-2</v>
      </c>
      <c r="BZ113" t="s">
        <v>1296</v>
      </c>
      <c r="CA113">
        <v>38.200000000000003</v>
      </c>
      <c r="CB113">
        <v>18</v>
      </c>
      <c r="CC113">
        <v>1824</v>
      </c>
      <c r="CD113">
        <v>100</v>
      </c>
      <c r="CE113">
        <v>1</v>
      </c>
      <c r="CF113">
        <v>0</v>
      </c>
      <c r="CG113">
        <v>0</v>
      </c>
      <c r="CH113">
        <v>1595</v>
      </c>
      <c r="CI113">
        <v>1</v>
      </c>
      <c r="CJ113">
        <v>1</v>
      </c>
      <c r="CK113" t="s">
        <v>54</v>
      </c>
      <c r="CL113" t="s">
        <v>1297</v>
      </c>
      <c r="CM113">
        <f>HYPERLINK(".\links\GO\TI_asb-193-GO.txt",6.5)</f>
        <v>6.5</v>
      </c>
      <c r="CN113" t="s">
        <v>58</v>
      </c>
      <c r="CO113" t="s">
        <v>58</v>
      </c>
      <c r="CQ113" t="s">
        <v>59</v>
      </c>
      <c r="CR113" s="6">
        <v>6.5</v>
      </c>
      <c r="CS113" t="s">
        <v>1298</v>
      </c>
      <c r="CT113" t="s">
        <v>247</v>
      </c>
      <c r="CU113" t="s">
        <v>247</v>
      </c>
      <c r="CV113" t="s">
        <v>1299</v>
      </c>
      <c r="CW113" s="6">
        <v>6.5</v>
      </c>
      <c r="CX113" t="s">
        <v>501</v>
      </c>
      <c r="CY113" t="s">
        <v>58</v>
      </c>
      <c r="DA113" t="s">
        <v>502</v>
      </c>
      <c r="DB113" s="6">
        <v>6.5</v>
      </c>
      <c r="DC113" t="str">
        <f>HYPERLINK(".\links\CDD\TI_asb-193-CDD.txt","ND6")</f>
        <v>ND6</v>
      </c>
      <c r="DD113" t="str">
        <f>HYPERLINK("http://www.ncbi.nlm.nih.gov/Structure/cdd/cddsrv.cgi?uid=MTH00097&amp;version=v4.0","0.019")</f>
        <v>0.019</v>
      </c>
      <c r="DE113" t="s">
        <v>1300</v>
      </c>
      <c r="DF113" t="str">
        <f>HYPERLINK(".\links\PFAM\TI_asb-193-PFAM.txt","7TM_GPCR_Srh")</f>
        <v>7TM_GPCR_Srh</v>
      </c>
      <c r="DG113" t="str">
        <f>HYPERLINK("http://pfam.sanger.ac.uk/family?acc=PF10318","0.011")</f>
        <v>0.011</v>
      </c>
      <c r="DH113" t="str">
        <f>HYPERLINK(".\links\PRK\TI_asb-193-PRK.txt","NADH dehydrogenase subunit 3")</f>
        <v>NADH dehydrogenase subunit 3</v>
      </c>
      <c r="DI113" s="6">
        <v>1.9E-2</v>
      </c>
      <c r="DJ113" s="6" t="str">
        <f>HYPERLINK(".\links\KOG\TI_asb-193-KOG.txt","Nuclear protein, contains WD40 repeats")</f>
        <v>Nuclear protein, contains WD40 repeats</v>
      </c>
      <c r="DK113" s="6" t="str">
        <f>HYPERLINK("http://www.ncbi.nlm.nih.gov/COG/grace/shokog.cgi?KOG1916","0.0")</f>
        <v>0.0</v>
      </c>
      <c r="DL113" s="6" t="s">
        <v>4337</v>
      </c>
      <c r="DM113" s="6" t="str">
        <f>HYPERLINK(".\links\KOG\TI_asb-193-KOG.txt","KOG1916")</f>
        <v>KOG1916</v>
      </c>
      <c r="DN113" t="s">
        <v>56</v>
      </c>
      <c r="DO113" t="s">
        <v>56</v>
      </c>
      <c r="DP113" s="3" t="s">
        <v>56</v>
      </c>
      <c r="ED113" s="3" t="s">
        <v>56</v>
      </c>
    </row>
    <row r="114" spans="1:134">
      <c r="A114" t="str">
        <f>HYPERLINK(".\links\seq\TI_asb-194-seq.txt","TI_asb-194")</f>
        <v>TI_asb-194</v>
      </c>
      <c r="B114">
        <v>194</v>
      </c>
      <c r="C114" t="str">
        <f>HYPERLINK(".\links\tsa\TI_asb-194-tsa.txt","1")</f>
        <v>1</v>
      </c>
      <c r="D114">
        <v>1</v>
      </c>
      <c r="E114">
        <v>631</v>
      </c>
      <c r="G114" t="str">
        <f>HYPERLINK(".\links\qual\TI_asb-194-qual.txt","51")</f>
        <v>51</v>
      </c>
      <c r="H114">
        <v>0</v>
      </c>
      <c r="I114">
        <v>1</v>
      </c>
      <c r="J114">
        <f t="shared" si="6"/>
        <v>1</v>
      </c>
      <c r="K114" s="6">
        <f t="shared" si="7"/>
        <v>-1</v>
      </c>
      <c r="L114" s="6" t="s">
        <v>3961</v>
      </c>
      <c r="M114" s="6" t="s">
        <v>3874</v>
      </c>
      <c r="N114" s="6" t="s">
        <v>3893</v>
      </c>
      <c r="O114" s="7">
        <v>9.9999999999999997E-61</v>
      </c>
      <c r="P114" s="6">
        <v>33.799999999999997</v>
      </c>
      <c r="Q114" s="3">
        <v>631</v>
      </c>
      <c r="R114" s="3">
        <v>483</v>
      </c>
      <c r="S114" s="3" t="s">
        <v>3593</v>
      </c>
      <c r="T114" s="3">
        <v>3</v>
      </c>
      <c r="U114" t="str">
        <f>HYPERLINK(".\links\NR-LIGHT\TI_asb-194-NR-LIGHT.txt","hypothetical protein DAPPUDRAFT_203975")</f>
        <v>hypothetical protein DAPPUDRAFT_203975</v>
      </c>
      <c r="V114" t="str">
        <f>HYPERLINK("http://www.ncbi.nlm.nih.gov/sutils/blink.cgi?pid=321455574","3E-066")</f>
        <v>3E-066</v>
      </c>
      <c r="W114" t="str">
        <f>HYPERLINK(".\links\NR-LIGHT\TI_asb-194-NR-LIGHT.txt"," 10")</f>
        <v xml:space="preserve"> 10</v>
      </c>
      <c r="X114" t="str">
        <f>HYPERLINK("http://www.ncbi.nlm.nih.gov/protein/321455574","gi|321455574")</f>
        <v>gi|321455574</v>
      </c>
      <c r="Y114">
        <v>253</v>
      </c>
      <c r="Z114">
        <v>144</v>
      </c>
      <c r="AA114">
        <v>418</v>
      </c>
      <c r="AB114">
        <v>82</v>
      </c>
      <c r="AC114">
        <v>34</v>
      </c>
      <c r="AD114">
        <v>25</v>
      </c>
      <c r="AE114">
        <v>0</v>
      </c>
      <c r="AF114">
        <v>1</v>
      </c>
      <c r="AG114">
        <v>198</v>
      </c>
      <c r="AH114">
        <v>1</v>
      </c>
      <c r="AI114">
        <v>3</v>
      </c>
      <c r="AJ114" t="s">
        <v>53</v>
      </c>
      <c r="AK114" t="s">
        <v>54</v>
      </c>
      <c r="AL114" t="s">
        <v>193</v>
      </c>
      <c r="AM114" t="str">
        <f>HYPERLINK(".\links\SWISSP\TI_asb-194-SWISSP.txt","Hydroxysteroid dehydrogenase-like protein 2 OS=Xenopus tropicalis GN=hsdl2 PE=2")</f>
        <v>Hydroxysteroid dehydrogenase-like protein 2 OS=Xenopus tropicalis GN=hsdl2 PE=2</v>
      </c>
      <c r="AN114" s="19" t="str">
        <f>HYPERLINK("http://www.uniprot.org/uniprot/Q66KC4","1E-060")</f>
        <v>1E-060</v>
      </c>
      <c r="AO114" t="str">
        <f>HYPERLINK(".\links\SWISSP\TI_asb-194-SWISSP.txt"," 10")</f>
        <v xml:space="preserve"> 10</v>
      </c>
      <c r="AP114" t="s">
        <v>1301</v>
      </c>
      <c r="AQ114">
        <v>233</v>
      </c>
      <c r="AR114">
        <v>141</v>
      </c>
      <c r="AS114">
        <v>417</v>
      </c>
      <c r="AT114">
        <v>80</v>
      </c>
      <c r="AU114">
        <v>34</v>
      </c>
      <c r="AV114">
        <v>27</v>
      </c>
      <c r="AW114">
        <v>0</v>
      </c>
      <c r="AX114">
        <v>4</v>
      </c>
      <c r="AY114">
        <v>204</v>
      </c>
      <c r="AZ114">
        <v>1</v>
      </c>
      <c r="BA114">
        <v>3</v>
      </c>
      <c r="BB114" t="s">
        <v>53</v>
      </c>
      <c r="BC114" t="s">
        <v>54</v>
      </c>
      <c r="BD114" t="s">
        <v>1302</v>
      </c>
      <c r="BE114" t="s">
        <v>1303</v>
      </c>
      <c r="BF114" t="s">
        <v>1304</v>
      </c>
      <c r="BG114" t="str">
        <f>HYPERLINK(".\links\PREV-RHOD-PEP\TI_asb-194-PREV-RHOD-PEP.txt","Contig18032_73")</f>
        <v>Contig18032_73</v>
      </c>
      <c r="BH114" s="7">
        <v>2E-73</v>
      </c>
      <c r="BI114" t="str">
        <f>HYPERLINK(".\links\PREV-RHOD-PEP\TI_asb-194-PREV-RHOD-PEP.txt"," 10")</f>
        <v xml:space="preserve"> 10</v>
      </c>
      <c r="BJ114" t="s">
        <v>1305</v>
      </c>
      <c r="BK114">
        <v>271</v>
      </c>
      <c r="BL114">
        <v>139</v>
      </c>
      <c r="BM114">
        <v>2544</v>
      </c>
      <c r="BN114">
        <v>97</v>
      </c>
      <c r="BO114">
        <v>5</v>
      </c>
      <c r="BP114">
        <v>3</v>
      </c>
      <c r="BQ114">
        <v>0</v>
      </c>
      <c r="BR114">
        <v>1463</v>
      </c>
      <c r="BS114">
        <v>213</v>
      </c>
      <c r="BT114">
        <v>1</v>
      </c>
      <c r="BU114" t="s">
        <v>54</v>
      </c>
      <c r="BV114" t="s">
        <v>1306</v>
      </c>
      <c r="BW114" t="s">
        <v>56</v>
      </c>
      <c r="BX114" t="str">
        <f>HYPERLINK(".\links\PREV-RHOD-CDS\TI_asb-194-PREV-RHOD-CDS.txt","Contig18032_73")</f>
        <v>Contig18032_73</v>
      </c>
      <c r="BY114" s="7">
        <v>1E-141</v>
      </c>
      <c r="BZ114" t="s">
        <v>1305</v>
      </c>
      <c r="CA114">
        <v>500</v>
      </c>
      <c r="CB114">
        <v>419</v>
      </c>
      <c r="CC114">
        <v>7635</v>
      </c>
      <c r="CD114">
        <v>90</v>
      </c>
      <c r="CE114">
        <v>6</v>
      </c>
      <c r="CF114">
        <v>42</v>
      </c>
      <c r="CG114">
        <v>0</v>
      </c>
      <c r="CH114">
        <v>4386</v>
      </c>
      <c r="CI114">
        <v>212</v>
      </c>
      <c r="CJ114">
        <v>1</v>
      </c>
      <c r="CK114" t="s">
        <v>54</v>
      </c>
      <c r="CL114" t="s">
        <v>1307</v>
      </c>
      <c r="CM114">
        <f>HYPERLINK(".\links\GO\TI_asb-194-GO.txt",3E-64)</f>
        <v>3.0000000000000001E-64</v>
      </c>
      <c r="CN114" t="s">
        <v>1308</v>
      </c>
      <c r="CO114" t="s">
        <v>129</v>
      </c>
      <c r="CP114" t="s">
        <v>130</v>
      </c>
      <c r="CQ114" t="s">
        <v>1309</v>
      </c>
      <c r="CR114" s="6">
        <v>7.0000000000000005E-14</v>
      </c>
      <c r="CS114" t="s">
        <v>56</v>
      </c>
      <c r="CT114" t="s">
        <v>56</v>
      </c>
      <c r="CU114" t="s">
        <v>56</v>
      </c>
      <c r="CV114" t="s">
        <v>56</v>
      </c>
      <c r="CW114" s="6" t="s">
        <v>56</v>
      </c>
      <c r="CX114" t="s">
        <v>745</v>
      </c>
      <c r="CY114" t="s">
        <v>129</v>
      </c>
      <c r="CZ114" t="s">
        <v>130</v>
      </c>
      <c r="DA114" t="s">
        <v>746</v>
      </c>
      <c r="DB114" s="6">
        <v>7.0000000000000005E-14</v>
      </c>
      <c r="DC114" t="str">
        <f>HYPERLINK(".\links\CDD\TI_asb-194-CDD.txt","PRK08278")</f>
        <v>PRK08278</v>
      </c>
      <c r="DD114" t="str">
        <f>HYPERLINK("http://www.ncbi.nlm.nih.gov/Structure/cdd/cddsrv.cgi?uid=PRK08278&amp;version=v4.0","3E-078")</f>
        <v>3E-078</v>
      </c>
      <c r="DE114" t="s">
        <v>1310</v>
      </c>
      <c r="DF114" t="str">
        <f>HYPERLINK(".\links\PFAM\TI_asb-194-PFAM.txt","adh_short")</f>
        <v>adh_short</v>
      </c>
      <c r="DG114" t="str">
        <f>HYPERLINK("http://pfam.sanger.ac.uk/family?acc=PF00106","7E-015")</f>
        <v>7E-015</v>
      </c>
      <c r="DH114" t="str">
        <f>HYPERLINK(".\links\PRK\TI_asb-194-PRK.txt","short chain dehydrogenase")</f>
        <v>short chain dehydrogenase</v>
      </c>
      <c r="DI114" s="7">
        <v>7.0000000000000006E-79</v>
      </c>
      <c r="DJ114" s="6" t="str">
        <f>HYPERLINK(".\links\KOG\TI_asb-194-KOG.txt","Reductases with broad range of substrate specificities")</f>
        <v>Reductases with broad range of substrate specificities</v>
      </c>
      <c r="DK114" s="6" t="str">
        <f>HYPERLINK("http://www.ncbi.nlm.nih.gov/COG/grace/shokog.cgi?KOG0725","1E-026")</f>
        <v>1E-026</v>
      </c>
      <c r="DL114" s="6" t="s">
        <v>4337</v>
      </c>
      <c r="DM114" s="6" t="str">
        <f>HYPERLINK(".\links\KOG\TI_asb-194-KOG.txt","KOG0725")</f>
        <v>KOG0725</v>
      </c>
      <c r="DN114" t="str">
        <f>HYPERLINK(".\links\SMART\TI_asb-194-SMART.txt","PKS_KR")</f>
        <v>PKS_KR</v>
      </c>
      <c r="DO114" t="str">
        <f>HYPERLINK("http://smart.embl-heidelberg.de/smart/do_annotation.pl?DOMAIN=PKS_KR&amp;BLAST=DUMMY","8E-009")</f>
        <v>8E-009</v>
      </c>
      <c r="DP114" s="3" t="s">
        <v>56</v>
      </c>
      <c r="ED114" s="3" t="s">
        <v>56</v>
      </c>
    </row>
    <row r="115" spans="1:134">
      <c r="A115" t="str">
        <f>HYPERLINK(".\links\seq\TI_asb-199-seq.txt","TI_asb-199")</f>
        <v>TI_asb-199</v>
      </c>
      <c r="B115">
        <v>199</v>
      </c>
      <c r="C115" t="str">
        <f>HYPERLINK(".\links\tsa\TI_asb-199-tsa.txt","1")</f>
        <v>1</v>
      </c>
      <c r="D115">
        <v>1</v>
      </c>
      <c r="E115">
        <v>967</v>
      </c>
      <c r="G115" t="str">
        <f>HYPERLINK(".\links\qual\TI_asb-199-qual.txt","33")</f>
        <v>33</v>
      </c>
      <c r="H115">
        <v>0</v>
      </c>
      <c r="I115">
        <v>1</v>
      </c>
      <c r="J115">
        <f t="shared" si="6"/>
        <v>1</v>
      </c>
      <c r="K115" s="6">
        <f t="shared" si="7"/>
        <v>-1</v>
      </c>
      <c r="L115" s="6" t="s">
        <v>3868</v>
      </c>
      <c r="M115" s="6" t="s">
        <v>3869</v>
      </c>
      <c r="N115" s="6"/>
      <c r="O115" s="6"/>
      <c r="P115" s="6"/>
      <c r="Q115" s="3">
        <v>967</v>
      </c>
      <c r="R115" s="3">
        <v>183</v>
      </c>
      <c r="S115" s="6" t="s">
        <v>3594</v>
      </c>
      <c r="T115" s="3">
        <v>5</v>
      </c>
      <c r="U115" t="s">
        <v>56</v>
      </c>
      <c r="V115" t="s">
        <v>56</v>
      </c>
      <c r="W115" t="s">
        <v>56</v>
      </c>
      <c r="X115" t="s">
        <v>56</v>
      </c>
      <c r="Y115" t="s">
        <v>56</v>
      </c>
      <c r="Z115" t="s">
        <v>56</v>
      </c>
      <c r="AA115" t="s">
        <v>56</v>
      </c>
      <c r="AB115" t="s">
        <v>56</v>
      </c>
      <c r="AC115" t="s">
        <v>56</v>
      </c>
      <c r="AD115" t="s">
        <v>56</v>
      </c>
      <c r="AE115" t="s">
        <v>56</v>
      </c>
      <c r="AF115" t="s">
        <v>56</v>
      </c>
      <c r="AG115" t="s">
        <v>56</v>
      </c>
      <c r="AH115" t="s">
        <v>56</v>
      </c>
      <c r="AI115" t="s">
        <v>56</v>
      </c>
      <c r="AJ115" t="s">
        <v>56</v>
      </c>
      <c r="AK115" t="s">
        <v>56</v>
      </c>
      <c r="AL115" t="s">
        <v>56</v>
      </c>
      <c r="AM115" t="s">
        <v>56</v>
      </c>
      <c r="AN115" s="19" t="s">
        <v>56</v>
      </c>
      <c r="AO115" t="s">
        <v>56</v>
      </c>
      <c r="AP115" t="s">
        <v>56</v>
      </c>
      <c r="AQ115" t="s">
        <v>56</v>
      </c>
      <c r="AR115" t="s">
        <v>56</v>
      </c>
      <c r="AS115" t="s">
        <v>56</v>
      </c>
      <c r="AT115" t="s">
        <v>56</v>
      </c>
      <c r="AU115" t="s">
        <v>56</v>
      </c>
      <c r="AV115" t="s">
        <v>56</v>
      </c>
      <c r="AW115" t="s">
        <v>56</v>
      </c>
      <c r="AX115" t="s">
        <v>56</v>
      </c>
      <c r="AY115" t="s">
        <v>56</v>
      </c>
      <c r="AZ115" t="s">
        <v>56</v>
      </c>
      <c r="BA115" t="s">
        <v>56</v>
      </c>
      <c r="BB115" t="s">
        <v>56</v>
      </c>
      <c r="BC115" t="s">
        <v>56</v>
      </c>
      <c r="BD115" t="s">
        <v>56</v>
      </c>
      <c r="BE115" t="s">
        <v>56</v>
      </c>
      <c r="BF115" t="s">
        <v>56</v>
      </c>
      <c r="BG115" t="str">
        <f>HYPERLINK(".\links\PREV-RHOD-PEP\TI_asb-199-PREV-RHOD-PEP.txt","Contig17970_400")</f>
        <v>Contig17970_400</v>
      </c>
      <c r="BH115" s="6">
        <v>7.1</v>
      </c>
      <c r="BI115" t="str">
        <f>HYPERLINK(".\links\PREV-RHOD-PEP\TI_asb-199-PREV-RHOD-PEP.txt"," 1")</f>
        <v xml:space="preserve"> 1</v>
      </c>
      <c r="BJ115" t="s">
        <v>1315</v>
      </c>
      <c r="BK115">
        <v>27.7</v>
      </c>
      <c r="BL115">
        <v>19</v>
      </c>
      <c r="BM115">
        <v>960</v>
      </c>
      <c r="BN115">
        <v>57</v>
      </c>
      <c r="BO115">
        <v>2</v>
      </c>
      <c r="BP115">
        <v>8</v>
      </c>
      <c r="BQ115">
        <v>0</v>
      </c>
      <c r="BR115">
        <v>703</v>
      </c>
      <c r="BS115">
        <v>136</v>
      </c>
      <c r="BT115">
        <v>1</v>
      </c>
      <c r="BU115" t="s">
        <v>54</v>
      </c>
      <c r="BV115" t="s">
        <v>1316</v>
      </c>
      <c r="BW115" t="s">
        <v>56</v>
      </c>
      <c r="BX115" t="str">
        <f>HYPERLINK(".\links\PREV-RHOD-CDS\TI_asb-199-PREV-RHOD-CDS.txt","Contig17781_20")</f>
        <v>Contig17781_20</v>
      </c>
      <c r="BY115" s="6">
        <v>0.48</v>
      </c>
      <c r="BZ115" t="s">
        <v>1317</v>
      </c>
      <c r="CA115">
        <v>36.200000000000003</v>
      </c>
      <c r="CB115">
        <v>17</v>
      </c>
      <c r="CC115">
        <v>2736</v>
      </c>
      <c r="CD115">
        <v>100</v>
      </c>
      <c r="CE115">
        <v>1</v>
      </c>
      <c r="CF115">
        <v>0</v>
      </c>
      <c r="CG115">
        <v>0</v>
      </c>
      <c r="CH115">
        <v>131</v>
      </c>
      <c r="CI115">
        <v>434</v>
      </c>
      <c r="CJ115">
        <v>1</v>
      </c>
      <c r="CK115" t="s">
        <v>54</v>
      </c>
      <c r="CL115" t="s">
        <v>1318</v>
      </c>
      <c r="CM115">
        <f>HYPERLINK(".\links\GO\TI_asb-199-GO.txt",7.1)</f>
        <v>7.1</v>
      </c>
      <c r="CN115" t="s">
        <v>58</v>
      </c>
      <c r="CO115" t="s">
        <v>58</v>
      </c>
      <c r="CQ115" t="s">
        <v>59</v>
      </c>
      <c r="CR115" s="6">
        <v>7.1</v>
      </c>
      <c r="CS115" t="s">
        <v>60</v>
      </c>
      <c r="CT115" t="s">
        <v>60</v>
      </c>
      <c r="CV115" t="s">
        <v>61</v>
      </c>
      <c r="CW115" s="6">
        <v>7.1</v>
      </c>
      <c r="CX115" t="s">
        <v>62</v>
      </c>
      <c r="CY115" t="s">
        <v>58</v>
      </c>
      <c r="DA115" t="s">
        <v>63</v>
      </c>
      <c r="DB115" s="6">
        <v>7.1</v>
      </c>
      <c r="DC115" t="str">
        <f>HYPERLINK(".\links\CDD\TI_asb-199-CDD.txt","7tm_4")</f>
        <v>7tm_4</v>
      </c>
      <c r="DD115" t="str">
        <f>HYPERLINK("http://www.ncbi.nlm.nih.gov/Structure/cdd/cddsrv.cgi?uid=pfam01461&amp;version=v4.0","0.003")</f>
        <v>0.003</v>
      </c>
      <c r="DE115" t="s">
        <v>1319</v>
      </c>
      <c r="DF115" t="str">
        <f>HYPERLINK(".\links\PFAM\TI_asb-199-PFAM.txt","7TM_GPCR_Srz")</f>
        <v>7TM_GPCR_Srz</v>
      </c>
      <c r="DG115" t="str">
        <f>HYPERLINK("http://pfam.sanger.ac.uk/family?acc=PF10325","6E-005")</f>
        <v>6E-005</v>
      </c>
      <c r="DH115" t="str">
        <f>HYPERLINK(".\links\PRK\TI_asb-199-PRK.txt","NADH dehydrogenase subunit 6")</f>
        <v>NADH dehydrogenase subunit 6</v>
      </c>
      <c r="DI115" s="7">
        <v>3.0000000000000001E-5</v>
      </c>
      <c r="DJ115" s="6" t="s">
        <v>56</v>
      </c>
      <c r="DN115" t="str">
        <f>HYPERLINK(".\links\SMART\TI_asb-199-SMART.txt","PSN")</f>
        <v>PSN</v>
      </c>
      <c r="DO115" t="str">
        <f>HYPERLINK("http://smart.embl-heidelberg.de/smart/do_annotation.pl?DOMAIN=PSN&amp;BLAST=DUMMY","0.004")</f>
        <v>0.004</v>
      </c>
      <c r="DP115" s="3" t="s">
        <v>56</v>
      </c>
      <c r="ED115" s="3" t="s">
        <v>56</v>
      </c>
    </row>
    <row r="116" spans="1:134">
      <c r="A116" t="str">
        <f>HYPERLINK(".\links\seq\TI_asb-200-seq.txt","TI_asb-200")</f>
        <v>TI_asb-200</v>
      </c>
      <c r="B116">
        <v>200</v>
      </c>
      <c r="C116" t="str">
        <f>HYPERLINK(".\links\tsa\TI_asb-200-tsa.txt","4")</f>
        <v>4</v>
      </c>
      <c r="D116">
        <v>4</v>
      </c>
      <c r="E116">
        <v>817</v>
      </c>
      <c r="F116">
        <v>793</v>
      </c>
      <c r="G116" t="str">
        <f>HYPERLINK(".\links\qual\TI_asb-200-qual.txt","80")</f>
        <v>80</v>
      </c>
      <c r="H116">
        <v>4</v>
      </c>
      <c r="I116">
        <v>0</v>
      </c>
      <c r="J116">
        <f t="shared" si="6"/>
        <v>4</v>
      </c>
      <c r="K116" s="6">
        <f t="shared" si="7"/>
        <v>4</v>
      </c>
      <c r="L116" s="6" t="s">
        <v>3962</v>
      </c>
      <c r="M116" s="6" t="s">
        <v>3915</v>
      </c>
      <c r="N116" s="6" t="s">
        <v>3867</v>
      </c>
      <c r="O116" s="6">
        <v>9.9999999999999995E-8</v>
      </c>
      <c r="P116" s="6">
        <v>48.9</v>
      </c>
      <c r="Q116" s="3">
        <v>817</v>
      </c>
      <c r="R116" s="3">
        <v>549</v>
      </c>
      <c r="S116" s="3" t="s">
        <v>3595</v>
      </c>
      <c r="T116" s="3">
        <v>1</v>
      </c>
      <c r="U116" t="str">
        <f>HYPERLINK(".\links\NR-LIGHT\TI_asb-200-NR-LIGHT.txt","hypothetical protein isoform 1")</f>
        <v>hypothetical protein isoform 1</v>
      </c>
      <c r="V116" t="str">
        <f>HYPERLINK("http://www.ncbi.nlm.nih.gov/sutils/blink.cgi?pid=66536414","1E-015")</f>
        <v>1E-015</v>
      </c>
      <c r="W116" t="str">
        <f>HYPERLINK(".\links\NR-LIGHT\TI_asb-200-NR-LIGHT.txt"," 10")</f>
        <v xml:space="preserve"> 10</v>
      </c>
      <c r="X116" t="str">
        <f>HYPERLINK("http://www.ncbi.nlm.nih.gov/protein/66536414","gi|66536414")</f>
        <v>gi|66536414</v>
      </c>
      <c r="Y116">
        <v>86.3</v>
      </c>
      <c r="Z116">
        <v>158</v>
      </c>
      <c r="AA116">
        <v>167</v>
      </c>
      <c r="AB116">
        <v>33</v>
      </c>
      <c r="AC116">
        <v>95</v>
      </c>
      <c r="AD116">
        <v>105</v>
      </c>
      <c r="AE116">
        <v>8</v>
      </c>
      <c r="AF116">
        <v>2</v>
      </c>
      <c r="AG116">
        <v>73</v>
      </c>
      <c r="AH116">
        <v>1</v>
      </c>
      <c r="AI116">
        <v>1</v>
      </c>
      <c r="AJ116" t="s">
        <v>53</v>
      </c>
      <c r="AK116" t="s">
        <v>54</v>
      </c>
      <c r="AL116" t="s">
        <v>344</v>
      </c>
      <c r="AM116" t="str">
        <f>HYPERLINK(".\links\SWISSP\TI_asb-200-SWISSP.txt","Selenoprotein S OS=Bos taurus GN=SELS PE=2 SV=2")</f>
        <v>Selenoprotein S OS=Bos taurus GN=SELS PE=2 SV=2</v>
      </c>
      <c r="AN116" s="19" t="str">
        <f>HYPERLINK("http://www.uniprot.org/uniprot/Q2KI76","0.033")</f>
        <v>0.033</v>
      </c>
      <c r="AO116" t="str">
        <f>HYPERLINK(".\links\SWISSP\TI_asb-200-SWISSP.txt"," 8")</f>
        <v xml:space="preserve"> 8</v>
      </c>
      <c r="AP116" t="s">
        <v>1320</v>
      </c>
      <c r="AQ116">
        <v>39.299999999999997</v>
      </c>
      <c r="AR116">
        <v>74</v>
      </c>
      <c r="AS116">
        <v>190</v>
      </c>
      <c r="AT116">
        <v>35</v>
      </c>
      <c r="AU116">
        <v>39</v>
      </c>
      <c r="AV116">
        <v>48</v>
      </c>
      <c r="AW116">
        <v>0</v>
      </c>
      <c r="AX116">
        <v>24</v>
      </c>
      <c r="AY116">
        <v>112</v>
      </c>
      <c r="AZ116">
        <v>1</v>
      </c>
      <c r="BA116">
        <v>1</v>
      </c>
      <c r="BB116" t="s">
        <v>53</v>
      </c>
      <c r="BC116" t="s">
        <v>54</v>
      </c>
      <c r="BD116" t="s">
        <v>113</v>
      </c>
      <c r="BE116" t="s">
        <v>1321</v>
      </c>
      <c r="BF116" t="s">
        <v>1322</v>
      </c>
      <c r="BG116" t="str">
        <f>HYPERLINK(".\links\PREV-RHOD-PEP\TI_asb-200-PREV-RHOD-PEP.txt","Contig17971_367")</f>
        <v>Contig17971_367</v>
      </c>
      <c r="BH116" s="7">
        <v>2.0000000000000001E-37</v>
      </c>
      <c r="BI116" t="str">
        <f>HYPERLINK(".\links\PREV-RHOD-PEP\TI_asb-200-PREV-RHOD-PEP.txt"," 8")</f>
        <v xml:space="preserve"> 8</v>
      </c>
      <c r="BJ116" t="s">
        <v>1323</v>
      </c>
      <c r="BK116">
        <v>152</v>
      </c>
      <c r="BL116">
        <v>89</v>
      </c>
      <c r="BM116">
        <v>109</v>
      </c>
      <c r="BN116">
        <v>77</v>
      </c>
      <c r="BO116">
        <v>82</v>
      </c>
      <c r="BP116">
        <v>20</v>
      </c>
      <c r="BQ116">
        <v>0</v>
      </c>
      <c r="BR116">
        <v>5</v>
      </c>
      <c r="BS116">
        <v>73</v>
      </c>
      <c r="BT116">
        <v>1</v>
      </c>
      <c r="BU116" t="s">
        <v>54</v>
      </c>
      <c r="BV116" t="s">
        <v>1324</v>
      </c>
      <c r="BW116" t="s">
        <v>56</v>
      </c>
      <c r="BX116" t="str">
        <f>HYPERLINK(".\links\PREV-RHOD-CDS\TI_asb-200-PREV-RHOD-CDS.txt","Contig17971_367")</f>
        <v>Contig17971_367</v>
      </c>
      <c r="BY116" s="7">
        <v>7.0000000000000003E-40</v>
      </c>
      <c r="BZ116" t="s">
        <v>1323</v>
      </c>
      <c r="CA116">
        <v>165</v>
      </c>
      <c r="CB116">
        <v>222</v>
      </c>
      <c r="CC116">
        <v>330</v>
      </c>
      <c r="CD116">
        <v>84</v>
      </c>
      <c r="CE116">
        <v>68</v>
      </c>
      <c r="CF116">
        <v>35</v>
      </c>
      <c r="CG116">
        <v>0</v>
      </c>
      <c r="CH116">
        <v>26</v>
      </c>
      <c r="CI116">
        <v>86</v>
      </c>
      <c r="CJ116">
        <v>1</v>
      </c>
      <c r="CK116" t="s">
        <v>54</v>
      </c>
      <c r="CL116" t="s">
        <v>1325</v>
      </c>
      <c r="CM116">
        <f>HYPERLINK(".\links\GO\TI_asb-200-GO.txt",0.1)</f>
        <v>0.1</v>
      </c>
      <c r="CN116" t="s">
        <v>1326</v>
      </c>
      <c r="CO116" t="s">
        <v>1326</v>
      </c>
      <c r="CQ116" t="s">
        <v>1327</v>
      </c>
      <c r="CR116" s="6">
        <v>0.1</v>
      </c>
      <c r="CS116" t="s">
        <v>1328</v>
      </c>
      <c r="CT116" t="s">
        <v>75</v>
      </c>
      <c r="CU116" t="s">
        <v>76</v>
      </c>
      <c r="CV116" t="s">
        <v>1329</v>
      </c>
      <c r="CW116" s="6">
        <v>0.1</v>
      </c>
      <c r="CX116" t="s">
        <v>1330</v>
      </c>
      <c r="CY116" t="s">
        <v>1326</v>
      </c>
      <c r="DA116" t="s">
        <v>1331</v>
      </c>
      <c r="DB116" s="6">
        <v>0.1</v>
      </c>
      <c r="DC116" t="str">
        <f>HYPERLINK(".\links\CDD\TI_asb-200-CDD.txt","Selenoprotein_S")</f>
        <v>Selenoprotein_S</v>
      </c>
      <c r="DD116" t="str">
        <f>HYPERLINK("http://www.ncbi.nlm.nih.gov/Structure/cdd/cddsrv.cgi?uid=pfam06936&amp;version=v4.0","5E-007")</f>
        <v>5E-007</v>
      </c>
      <c r="DE116" t="s">
        <v>1332</v>
      </c>
      <c r="DF116" t="str">
        <f>HYPERLINK(".\links\PFAM\TI_asb-200-PFAM.txt","Selenoprotein_S")</f>
        <v>Selenoprotein_S</v>
      </c>
      <c r="DG116" t="str">
        <f>HYPERLINK("http://pfam.sanger.ac.uk/family?acc=PF06936","1E-007")</f>
        <v>1E-007</v>
      </c>
      <c r="DH116" t="str">
        <f>HYPERLINK(".\links\PRK\TI_asb-200-PRK.txt","NADH dehydrogenase subunit 2")</f>
        <v>NADH dehydrogenase subunit 2</v>
      </c>
      <c r="DI116" s="6">
        <v>2E-3</v>
      </c>
      <c r="DJ116" s="6" t="str">
        <f>HYPERLINK(".\links\KOG\TI_asb-200-KOG.txt","Glucose-6-phosphate/phosphate and phosphoenolpyruvate/phosphate antiporter")</f>
        <v>Glucose-6-phosphate/phosphate and phosphoenolpyruvate/phosphate antiporter</v>
      </c>
      <c r="DK116" s="6" t="str">
        <f>HYPERLINK("http://www.ncbi.nlm.nih.gov/COG/grace/shokog.cgi?KOG1441","2E-004")</f>
        <v>2E-004</v>
      </c>
      <c r="DL116" s="6" t="s">
        <v>4362</v>
      </c>
      <c r="DM116" s="6" t="str">
        <f>HYPERLINK(".\links\KOG\TI_asb-200-KOG.txt","KOG1441")</f>
        <v>KOG1441</v>
      </c>
      <c r="DN116" t="s">
        <v>56</v>
      </c>
      <c r="DO116" t="s">
        <v>56</v>
      </c>
      <c r="DP116" s="3" t="s">
        <v>56</v>
      </c>
      <c r="ED116" s="3" t="s">
        <v>56</v>
      </c>
    </row>
    <row r="117" spans="1:134">
      <c r="A117" t="str">
        <f>HYPERLINK(".\links\seq\TI_asb-203-seq.txt","TI_asb-203")</f>
        <v>TI_asb-203</v>
      </c>
      <c r="B117">
        <v>203</v>
      </c>
      <c r="C117" t="str">
        <f>HYPERLINK(".\links\tsa\TI_asb-203-tsa.txt","1")</f>
        <v>1</v>
      </c>
      <c r="D117">
        <v>1</v>
      </c>
      <c r="E117">
        <v>596</v>
      </c>
      <c r="F117">
        <v>554</v>
      </c>
      <c r="G117" t="str">
        <f>HYPERLINK(".\links\qual\TI_asb-203-qual.txt","45")</f>
        <v>45</v>
      </c>
      <c r="H117">
        <v>1</v>
      </c>
      <c r="I117">
        <v>0</v>
      </c>
      <c r="J117">
        <f t="shared" si="6"/>
        <v>1</v>
      </c>
      <c r="K117" s="6">
        <f t="shared" si="7"/>
        <v>1</v>
      </c>
      <c r="L117" s="6" t="s">
        <v>3868</v>
      </c>
      <c r="M117" s="6" t="s">
        <v>3869</v>
      </c>
      <c r="N117" s="6"/>
      <c r="O117" s="6"/>
      <c r="P117" s="6"/>
      <c r="Q117" s="3">
        <v>596</v>
      </c>
      <c r="R117" s="3">
        <v>183</v>
      </c>
      <c r="S117" s="6" t="s">
        <v>3596</v>
      </c>
      <c r="T117" s="3">
        <v>2</v>
      </c>
      <c r="U117" t="s">
        <v>56</v>
      </c>
      <c r="V117" t="s">
        <v>56</v>
      </c>
      <c r="W117" t="s">
        <v>56</v>
      </c>
      <c r="X117" t="s">
        <v>56</v>
      </c>
      <c r="Y117" t="s">
        <v>56</v>
      </c>
      <c r="Z117" t="s">
        <v>56</v>
      </c>
      <c r="AA117" t="s">
        <v>56</v>
      </c>
      <c r="AB117" t="s">
        <v>56</v>
      </c>
      <c r="AC117" t="s">
        <v>56</v>
      </c>
      <c r="AD117" t="s">
        <v>56</v>
      </c>
      <c r="AE117" t="s">
        <v>56</v>
      </c>
      <c r="AF117" t="s">
        <v>56</v>
      </c>
      <c r="AG117" t="s">
        <v>56</v>
      </c>
      <c r="AH117" t="s">
        <v>56</v>
      </c>
      <c r="AI117" t="s">
        <v>56</v>
      </c>
      <c r="AJ117" t="s">
        <v>56</v>
      </c>
      <c r="AK117" t="s">
        <v>56</v>
      </c>
      <c r="AL117" t="s">
        <v>56</v>
      </c>
      <c r="AM117" t="str">
        <f>HYPERLINK(".\links\SWISSP\TI_asb-203-SWISSP.txt","Protein unc-45 homolog B OS=Homo sapiens GN=UNC45B PE=2 SV=1")</f>
        <v>Protein unc-45 homolog B OS=Homo sapiens GN=UNC45B PE=2 SV=1</v>
      </c>
      <c r="AN117" s="19" t="str">
        <f>HYPERLINK("http://www.uniprot.org/uniprot/Q8IWX7","5.0")</f>
        <v>5.0</v>
      </c>
      <c r="AO117" t="str">
        <f>HYPERLINK(".\links\SWISSP\TI_asb-203-SWISSP.txt"," 1")</f>
        <v xml:space="preserve"> 1</v>
      </c>
      <c r="AP117" t="s">
        <v>1333</v>
      </c>
      <c r="AQ117">
        <v>31.2</v>
      </c>
      <c r="AR117">
        <v>24</v>
      </c>
      <c r="AS117">
        <v>931</v>
      </c>
      <c r="AT117">
        <v>50</v>
      </c>
      <c r="AU117">
        <v>3</v>
      </c>
      <c r="AV117">
        <v>12</v>
      </c>
      <c r="AW117">
        <v>0</v>
      </c>
      <c r="AX117">
        <v>563</v>
      </c>
      <c r="AY117">
        <v>78</v>
      </c>
      <c r="AZ117">
        <v>1</v>
      </c>
      <c r="BA117">
        <v>-1</v>
      </c>
      <c r="BB117" t="s">
        <v>53</v>
      </c>
      <c r="BC117" t="s">
        <v>64</v>
      </c>
      <c r="BD117" t="s">
        <v>330</v>
      </c>
      <c r="BE117" t="s">
        <v>1334</v>
      </c>
      <c r="BF117" t="s">
        <v>1335</v>
      </c>
      <c r="BG117" t="str">
        <f>HYPERLINK(".\links\PREV-RHOD-PEP\TI_asb-203-PREV-RHOD-PEP.txt","Contig18055_88")</f>
        <v>Contig18055_88</v>
      </c>
      <c r="BH117" s="6">
        <v>0.94</v>
      </c>
      <c r="BI117" t="str">
        <f>HYPERLINK(".\links\PREV-RHOD-PEP\TI_asb-203-PREV-RHOD-PEP.txt"," 4")</f>
        <v xml:space="preserve"> 4</v>
      </c>
      <c r="BJ117" t="s">
        <v>1336</v>
      </c>
      <c r="BK117">
        <v>29.6</v>
      </c>
      <c r="BL117">
        <v>76</v>
      </c>
      <c r="BM117">
        <v>375</v>
      </c>
      <c r="BN117">
        <v>23</v>
      </c>
      <c r="BO117">
        <v>20</v>
      </c>
      <c r="BP117">
        <v>58</v>
      </c>
      <c r="BQ117">
        <v>1</v>
      </c>
      <c r="BR117">
        <v>256</v>
      </c>
      <c r="BS117">
        <v>276</v>
      </c>
      <c r="BT117">
        <v>1</v>
      </c>
      <c r="BU117" t="s">
        <v>64</v>
      </c>
      <c r="BV117" t="s">
        <v>1337</v>
      </c>
      <c r="BW117" t="s">
        <v>56</v>
      </c>
      <c r="BX117" t="str">
        <f>HYPERLINK(".\links\PREV-RHOD-CDS\TI_asb-203-PREV-RHOD-CDS.txt","Contig21877_1")</f>
        <v>Contig21877_1</v>
      </c>
      <c r="BY117" s="6">
        <v>7.4999999999999997E-2</v>
      </c>
      <c r="BZ117" t="s">
        <v>1338</v>
      </c>
      <c r="CA117">
        <v>38.200000000000003</v>
      </c>
      <c r="CB117">
        <v>22</v>
      </c>
      <c r="CC117">
        <v>57</v>
      </c>
      <c r="CD117">
        <v>95</v>
      </c>
      <c r="CE117">
        <v>40</v>
      </c>
      <c r="CF117">
        <v>1</v>
      </c>
      <c r="CG117">
        <v>0</v>
      </c>
      <c r="CH117">
        <v>17</v>
      </c>
      <c r="CI117">
        <v>469</v>
      </c>
      <c r="CJ117">
        <v>1</v>
      </c>
      <c r="CK117" t="s">
        <v>64</v>
      </c>
      <c r="CL117" t="s">
        <v>1339</v>
      </c>
      <c r="CM117">
        <f>HYPERLINK(".\links\GO\TI_asb-203-GO.txt",5.6)</f>
        <v>5.6</v>
      </c>
      <c r="CN117" t="s">
        <v>1340</v>
      </c>
      <c r="CO117" t="s">
        <v>129</v>
      </c>
      <c r="CP117" t="s">
        <v>166</v>
      </c>
      <c r="CQ117" t="s">
        <v>1341</v>
      </c>
      <c r="CR117" s="6">
        <v>7.3</v>
      </c>
      <c r="CS117" t="s">
        <v>1342</v>
      </c>
      <c r="CT117" t="s">
        <v>75</v>
      </c>
      <c r="CU117" t="s">
        <v>76</v>
      </c>
      <c r="CV117" t="s">
        <v>1343</v>
      </c>
      <c r="CW117" s="6">
        <v>7.3</v>
      </c>
      <c r="CX117" t="s">
        <v>56</v>
      </c>
      <c r="CY117" t="s">
        <v>56</v>
      </c>
      <c r="CZ117" t="s">
        <v>56</v>
      </c>
      <c r="DA117" t="s">
        <v>56</v>
      </c>
      <c r="DB117" s="6" t="s">
        <v>56</v>
      </c>
      <c r="DC117" t="str">
        <f>HYPERLINK(".\links\CDD\TI_asb-203-CDD.txt","ND6")</f>
        <v>ND6</v>
      </c>
      <c r="DD117" t="str">
        <f>HYPERLINK("http://www.ncbi.nlm.nih.gov/Structure/cdd/cddsrv.cgi?uid=MTH00097&amp;version=v4.0","0.072")</f>
        <v>0.072</v>
      </c>
      <c r="DE117" t="s">
        <v>1344</v>
      </c>
      <c r="DF117" t="str">
        <f>HYPERLINK(".\links\PFAM\TI_asb-203-PFAM.txt","UAA")</f>
        <v>UAA</v>
      </c>
      <c r="DG117" t="str">
        <f>HYPERLINK("http://pfam.sanger.ac.uk/family?acc=PF08449","0.051")</f>
        <v>0.051</v>
      </c>
      <c r="DH117" t="str">
        <f>HYPERLINK(".\links\PRK\TI_asb-203-PRK.txt","Plasmodium Vir superfamily")</f>
        <v>Plasmodium Vir superfamily</v>
      </c>
      <c r="DI117" s="6">
        <v>6.7000000000000004E-2</v>
      </c>
      <c r="DJ117" s="6" t="str">
        <f>HYPERLINK(".\links\KOG\TI_asb-203-KOG.txt","Amino acid transporters")</f>
        <v>Amino acid transporters</v>
      </c>
      <c r="DK117" s="6" t="str">
        <f>HYPERLINK("http://www.ncbi.nlm.nih.gov/COG/grace/shokog.cgi?KOG1304","0.098")</f>
        <v>0.098</v>
      </c>
      <c r="DL117" s="6" t="s">
        <v>4338</v>
      </c>
      <c r="DM117" s="6" t="str">
        <f>HYPERLINK(".\links\KOG\TI_asb-203-KOG.txt","KOG1304")</f>
        <v>KOG1304</v>
      </c>
      <c r="DN117" t="str">
        <f>HYPERLINK(".\links\SMART\TI_asb-203-SMART.txt","AgrB")</f>
        <v>AgrB</v>
      </c>
      <c r="DO117" t="str">
        <f>HYPERLINK("http://smart.embl-heidelberg.de/smart/do_annotation.pl?DOMAIN=AgrB&amp;BLAST=DUMMY","0.017")</f>
        <v>0.017</v>
      </c>
      <c r="DP117" s="3" t="s">
        <v>56</v>
      </c>
      <c r="ED117" s="3" t="s">
        <v>56</v>
      </c>
    </row>
    <row r="118" spans="1:134">
      <c r="A118" t="str">
        <f>HYPERLINK(".\links\seq\TI_asb-205-seq.txt","TI_asb-205")</f>
        <v>TI_asb-205</v>
      </c>
      <c r="B118">
        <v>205</v>
      </c>
      <c r="C118" t="str">
        <f>HYPERLINK(".\links\tsa\TI_asb-205-tsa.txt","1")</f>
        <v>1</v>
      </c>
      <c r="D118">
        <v>1</v>
      </c>
      <c r="E118">
        <v>583</v>
      </c>
      <c r="G118" t="str">
        <f>HYPERLINK(".\links\qual\TI_asb-205-qual.txt","40")</f>
        <v>40</v>
      </c>
      <c r="H118">
        <v>1</v>
      </c>
      <c r="I118">
        <v>0</v>
      </c>
      <c r="J118">
        <f t="shared" si="6"/>
        <v>1</v>
      </c>
      <c r="K118" s="6">
        <f t="shared" si="7"/>
        <v>1</v>
      </c>
      <c r="L118" s="6" t="s">
        <v>3868</v>
      </c>
      <c r="M118" s="6" t="s">
        <v>3869</v>
      </c>
      <c r="N118" s="6"/>
      <c r="O118" s="6"/>
      <c r="P118" s="6"/>
      <c r="Q118" s="3">
        <v>583</v>
      </c>
      <c r="R118" s="3">
        <v>294</v>
      </c>
      <c r="S118" s="6" t="s">
        <v>3597</v>
      </c>
      <c r="T118" s="3">
        <v>1</v>
      </c>
      <c r="U118" t="str">
        <f>HYPERLINK(".\links\NR-LIGHT\TI_asb-205-NR-LIGHT.txt","hypothetical protein LOC425772")</f>
        <v>hypothetical protein LOC425772</v>
      </c>
      <c r="V118" t="str">
        <f>HYPERLINK("http://www.ncbi.nlm.nih.gov/sutils/blink.cgi?pid=150247146","2.4")</f>
        <v>2.4</v>
      </c>
      <c r="W118" t="str">
        <f>HYPERLINK(".\links\NR-LIGHT\TI_asb-205-NR-LIGHT.txt"," 2")</f>
        <v xml:space="preserve"> 2</v>
      </c>
      <c r="X118" t="str">
        <f>HYPERLINK("http://www.ncbi.nlm.nih.gov/protein/150247146","gi|150247146")</f>
        <v>gi|150247146</v>
      </c>
      <c r="Y118">
        <v>34.299999999999997</v>
      </c>
      <c r="Z118">
        <v>40</v>
      </c>
      <c r="AA118">
        <v>505</v>
      </c>
      <c r="AB118">
        <v>47</v>
      </c>
      <c r="AC118">
        <v>8</v>
      </c>
      <c r="AD118">
        <v>21</v>
      </c>
      <c r="AE118">
        <v>1</v>
      </c>
      <c r="AF118">
        <v>154</v>
      </c>
      <c r="AG118">
        <v>157</v>
      </c>
      <c r="AH118">
        <v>1</v>
      </c>
      <c r="AI118">
        <v>-2</v>
      </c>
      <c r="AJ118" t="s">
        <v>53</v>
      </c>
      <c r="AK118" t="s">
        <v>64</v>
      </c>
      <c r="AL118" t="s">
        <v>159</v>
      </c>
      <c r="AM118" t="str">
        <f>HYPERLINK(".\links\SWISSP\TI_asb-205-SWISSP.txt","Structural maintenance of chromosome protein 3 OS=Dictyostelium discoideum")</f>
        <v>Structural maintenance of chromosome protein 3 OS=Dictyostelium discoideum</v>
      </c>
      <c r="AN118" s="19" t="str">
        <f>HYPERLINK("http://www.uniprot.org/uniprot/Q552D9","6.2")</f>
        <v>6.2</v>
      </c>
      <c r="AO118" t="str">
        <f>HYPERLINK(".\links\SWISSP\TI_asb-205-SWISSP.txt"," 2")</f>
        <v xml:space="preserve"> 2</v>
      </c>
      <c r="AP118" t="s">
        <v>1345</v>
      </c>
      <c r="AQ118">
        <v>30.8</v>
      </c>
      <c r="AR118">
        <v>60</v>
      </c>
      <c r="AS118">
        <v>1437</v>
      </c>
      <c r="AT118">
        <v>31</v>
      </c>
      <c r="AU118">
        <v>4</v>
      </c>
      <c r="AV118">
        <v>41</v>
      </c>
      <c r="AW118">
        <v>0</v>
      </c>
      <c r="AX118">
        <v>397</v>
      </c>
      <c r="AY118">
        <v>154</v>
      </c>
      <c r="AZ118">
        <v>1</v>
      </c>
      <c r="BA118">
        <v>-2</v>
      </c>
      <c r="BB118" t="s">
        <v>53</v>
      </c>
      <c r="BC118" t="s">
        <v>64</v>
      </c>
      <c r="BD118" t="s">
        <v>386</v>
      </c>
      <c r="BE118" t="s">
        <v>1346</v>
      </c>
      <c r="BF118" t="s">
        <v>1347</v>
      </c>
      <c r="BG118" t="str">
        <f>HYPERLINK(".\links\PREV-RHOD-PEP\TI_asb-205-PREV-RHOD-PEP.txt","Contig17971_250")</f>
        <v>Contig17971_250</v>
      </c>
      <c r="BH118" s="7">
        <v>6.9999999999999999E-36</v>
      </c>
      <c r="BI118" t="str">
        <f>HYPERLINK(".\links\PREV-RHOD-PEP\TI_asb-205-PREV-RHOD-PEP.txt"," 10")</f>
        <v xml:space="preserve"> 10</v>
      </c>
      <c r="BJ118" t="s">
        <v>1348</v>
      </c>
      <c r="BK118">
        <v>110</v>
      </c>
      <c r="BL118">
        <v>52</v>
      </c>
      <c r="BM118">
        <v>188</v>
      </c>
      <c r="BN118">
        <v>98</v>
      </c>
      <c r="BO118">
        <v>28</v>
      </c>
      <c r="BP118">
        <v>1</v>
      </c>
      <c r="BQ118">
        <v>0</v>
      </c>
      <c r="BR118">
        <v>7</v>
      </c>
      <c r="BS118">
        <v>183</v>
      </c>
      <c r="BT118">
        <v>2</v>
      </c>
      <c r="BU118" t="s">
        <v>54</v>
      </c>
      <c r="BV118" t="s">
        <v>1349</v>
      </c>
      <c r="BW118" t="s">
        <v>56</v>
      </c>
      <c r="BX118" t="str">
        <f>HYPERLINK(".\links\PREV-RHOD-CDS\TI_asb-205-PREV-RHOD-CDS.txt","Contig17971_250")</f>
        <v>Contig17971_250</v>
      </c>
      <c r="BY118" s="7">
        <v>1.0000000000000001E-133</v>
      </c>
      <c r="BZ118" t="s">
        <v>1348</v>
      </c>
      <c r="CA118">
        <v>474</v>
      </c>
      <c r="CB118">
        <v>351</v>
      </c>
      <c r="CC118">
        <v>567</v>
      </c>
      <c r="CD118">
        <v>92</v>
      </c>
      <c r="CE118">
        <v>62</v>
      </c>
      <c r="CF118">
        <v>27</v>
      </c>
      <c r="CG118">
        <v>2</v>
      </c>
      <c r="CH118">
        <v>32</v>
      </c>
      <c r="CI118">
        <v>196</v>
      </c>
      <c r="CJ118">
        <v>1</v>
      </c>
      <c r="CK118" t="s">
        <v>54</v>
      </c>
      <c r="CL118" t="s">
        <v>1350</v>
      </c>
      <c r="CM118">
        <f>HYPERLINK(".\links\GO\TI_asb-205-GO.txt",1.8)</f>
        <v>1.8</v>
      </c>
      <c r="CN118" t="s">
        <v>58</v>
      </c>
      <c r="CO118" t="s">
        <v>58</v>
      </c>
      <c r="CQ118" t="s">
        <v>59</v>
      </c>
      <c r="CR118">
        <v>1.8</v>
      </c>
      <c r="CS118" t="s">
        <v>1351</v>
      </c>
      <c r="CT118" t="s">
        <v>75</v>
      </c>
      <c r="CU118" t="s">
        <v>76</v>
      </c>
      <c r="CV118" t="s">
        <v>1352</v>
      </c>
      <c r="CW118">
        <v>1.8</v>
      </c>
      <c r="CX118" t="s">
        <v>399</v>
      </c>
      <c r="CY118" t="s">
        <v>58</v>
      </c>
      <c r="DA118" t="s">
        <v>400</v>
      </c>
      <c r="DB118">
        <v>1.8</v>
      </c>
      <c r="DC118" t="str">
        <f>HYPERLINK(".\links\CDD\TI_asb-205-CDD.txt","PRK12323")</f>
        <v>PRK12323</v>
      </c>
      <c r="DD118" t="str">
        <f>HYPERLINK("http://www.ncbi.nlm.nih.gov/Structure/cdd/cddsrv.cgi?uid=PRK12323&amp;version=v4.0","0.015")</f>
        <v>0.015</v>
      </c>
      <c r="DE118" t="s">
        <v>1353</v>
      </c>
      <c r="DF118" t="str">
        <f>HYPERLINK(".\links\PFAM\TI_asb-205-PFAM.txt","WWbp")</f>
        <v>WWbp</v>
      </c>
      <c r="DG118" t="str">
        <f>HYPERLINK("http://pfam.sanger.ac.uk/family?acc=PF10349","1E-004")</f>
        <v>1E-004</v>
      </c>
      <c r="DH118" t="str">
        <f>HYPERLINK(".\links\PRK\TI_asb-205-PRK.txt","DNA polymerase III subunits gamma and tau")</f>
        <v>DNA polymerase III subunits gamma and tau</v>
      </c>
      <c r="DI118" s="7">
        <v>2.0000000000000001E-4</v>
      </c>
      <c r="DJ118" s="6" t="str">
        <f>HYPERLINK(".\links\KOG\TI_asb-205-KOG.txt","K-homology type RNA binding proteins")</f>
        <v>K-homology type RNA binding proteins</v>
      </c>
      <c r="DK118" s="6" t="str">
        <f>HYPERLINK("http://www.ncbi.nlm.nih.gov/COG/grace/shokog.cgi?KOG1676","0.001")</f>
        <v>0.001</v>
      </c>
      <c r="DL118" s="6" t="s">
        <v>4348</v>
      </c>
      <c r="DM118" s="6" t="str">
        <f>HYPERLINK(".\links\KOG\TI_asb-205-KOG.txt","KOG1676")</f>
        <v>KOG1676</v>
      </c>
      <c r="DN118" t="str">
        <f>HYPERLINK(".\links\SMART\TI_asb-205-SMART.txt","Ami_2")</f>
        <v>Ami_2</v>
      </c>
      <c r="DO118" t="str">
        <f>HYPERLINK("http://smart.embl-heidelberg.de/smart/do_annotation.pl?DOMAIN=Ami_2&amp;BLAST=DUMMY","0.029")</f>
        <v>0.029</v>
      </c>
      <c r="DP118" s="3" t="s">
        <v>56</v>
      </c>
      <c r="ED118" s="3" t="s">
        <v>56</v>
      </c>
    </row>
    <row r="119" spans="1:134">
      <c r="A119" t="str">
        <f>HYPERLINK(".\links\seq\TI_asb-206-seq.txt","TI_asb-206")</f>
        <v>TI_asb-206</v>
      </c>
      <c r="B119">
        <v>206</v>
      </c>
      <c r="C119" t="str">
        <f>HYPERLINK(".\links\tsa\TI_asb-206-tsa.txt","1")</f>
        <v>1</v>
      </c>
      <c r="D119">
        <v>1</v>
      </c>
      <c r="E119">
        <v>538</v>
      </c>
      <c r="G119" t="str">
        <f>HYPERLINK(".\links\qual\TI_asb-206-qual.txt","51")</f>
        <v>51</v>
      </c>
      <c r="H119">
        <v>0</v>
      </c>
      <c r="I119">
        <v>1</v>
      </c>
      <c r="J119">
        <f t="shared" si="6"/>
        <v>1</v>
      </c>
      <c r="K119" s="6">
        <f t="shared" si="7"/>
        <v>-1</v>
      </c>
      <c r="L119" s="6" t="s">
        <v>3963</v>
      </c>
      <c r="M119" s="6" t="s">
        <v>3866</v>
      </c>
      <c r="N119" s="6" t="s">
        <v>3884</v>
      </c>
      <c r="O119" s="7">
        <v>1.9999999999999999E-57</v>
      </c>
      <c r="P119" s="6">
        <v>90.1</v>
      </c>
      <c r="Q119" s="3">
        <v>538</v>
      </c>
      <c r="R119" s="3">
        <v>531</v>
      </c>
      <c r="S119" s="3" t="s">
        <v>3598</v>
      </c>
      <c r="T119" s="3">
        <v>6</v>
      </c>
      <c r="U119" t="str">
        <f>HYPERLINK(".\links\NR-LIGHT\TI_asb-206-NR-LIGHT.txt","unnamed protein product")</f>
        <v>unnamed protein product</v>
      </c>
      <c r="V119" t="str">
        <f>HYPERLINK("http://www.ncbi.nlm.nih.gov/sutils/blink.cgi?pid=12846939","1E-067")</f>
        <v>1E-067</v>
      </c>
      <c r="W119" t="str">
        <f>HYPERLINK(".\links\NR-LIGHT\TI_asb-206-NR-LIGHT.txt"," 10")</f>
        <v xml:space="preserve"> 10</v>
      </c>
      <c r="X119" t="str">
        <f>HYPERLINK("http://www.ncbi.nlm.nih.gov/protein/12846939","gi|12846939")</f>
        <v>gi|12846939</v>
      </c>
      <c r="Y119">
        <v>257</v>
      </c>
      <c r="Z119">
        <v>139</v>
      </c>
      <c r="AA119">
        <v>142</v>
      </c>
      <c r="AB119">
        <v>91</v>
      </c>
      <c r="AC119">
        <v>98</v>
      </c>
      <c r="AD119">
        <v>12</v>
      </c>
      <c r="AE119">
        <v>0</v>
      </c>
      <c r="AF119">
        <v>4</v>
      </c>
      <c r="AG119">
        <v>3</v>
      </c>
      <c r="AH119">
        <v>1</v>
      </c>
      <c r="AI119">
        <v>3</v>
      </c>
      <c r="AJ119" t="s">
        <v>53</v>
      </c>
      <c r="AK119" t="s">
        <v>54</v>
      </c>
      <c r="AL119" t="s">
        <v>214</v>
      </c>
      <c r="AM119" t="str">
        <f>HYPERLINK(".\links\SWISSP\TI_asb-206-SWISSP.txt","Hemoglobin subunit alpha OS=Mus musculus GN=Hba PE=1 SV=2")</f>
        <v>Hemoglobin subunit alpha OS=Mus musculus GN=Hba PE=1 SV=2</v>
      </c>
      <c r="AN119" s="19" t="str">
        <f>HYPERLINK("http://www.uniprot.org/uniprot/P01942","1E-066")</f>
        <v>1E-066</v>
      </c>
      <c r="AO119" t="str">
        <f>HYPERLINK(".\links\SWISSP\TI_asb-206-SWISSP.txt"," 10")</f>
        <v xml:space="preserve"> 10</v>
      </c>
      <c r="AP119" t="s">
        <v>1354</v>
      </c>
      <c r="AQ119">
        <v>251</v>
      </c>
      <c r="AR119">
        <v>131</v>
      </c>
      <c r="AS119">
        <v>142</v>
      </c>
      <c r="AT119">
        <v>95</v>
      </c>
      <c r="AU119">
        <v>92</v>
      </c>
      <c r="AV119">
        <v>6</v>
      </c>
      <c r="AW119">
        <v>0</v>
      </c>
      <c r="AX119">
        <v>12</v>
      </c>
      <c r="AY119">
        <v>27</v>
      </c>
      <c r="AZ119">
        <v>1</v>
      </c>
      <c r="BA119">
        <v>3</v>
      </c>
      <c r="BB119" t="s">
        <v>53</v>
      </c>
      <c r="BC119" t="s">
        <v>54</v>
      </c>
      <c r="BD119" t="s">
        <v>214</v>
      </c>
      <c r="BE119" t="s">
        <v>1355</v>
      </c>
      <c r="BF119" t="s">
        <v>1356</v>
      </c>
      <c r="BG119" t="str">
        <f>HYPERLINK(".\links\PREV-RHOD-PEP\TI_asb-206-PREV-RHOD-PEP.txt","Contig17759_28")</f>
        <v>Contig17759_28</v>
      </c>
      <c r="BH119" s="6">
        <v>1</v>
      </c>
      <c r="BI119" t="str">
        <f>HYPERLINK(".\links\PREV-RHOD-PEP\TI_asb-206-PREV-RHOD-PEP.txt"," 10")</f>
        <v xml:space="preserve"> 10</v>
      </c>
      <c r="BJ119" t="s">
        <v>1357</v>
      </c>
      <c r="BK119">
        <v>29.3</v>
      </c>
      <c r="BL119">
        <v>103</v>
      </c>
      <c r="BM119">
        <v>1415</v>
      </c>
      <c r="BN119">
        <v>23</v>
      </c>
      <c r="BO119">
        <v>7</v>
      </c>
      <c r="BP119">
        <v>79</v>
      </c>
      <c r="BQ119">
        <v>6</v>
      </c>
      <c r="BR119">
        <v>145</v>
      </c>
      <c r="BS119">
        <v>63</v>
      </c>
      <c r="BT119">
        <v>1</v>
      </c>
      <c r="BU119" t="s">
        <v>54</v>
      </c>
      <c r="BV119" t="s">
        <v>1358</v>
      </c>
      <c r="BW119" t="s">
        <v>56</v>
      </c>
      <c r="BX119" t="str">
        <f>HYPERLINK(".\links\PREV-RHOD-CDS\TI_asb-206-PREV-RHOD-CDS.txt","Contig17525_3")</f>
        <v>Contig17525_3</v>
      </c>
      <c r="BY119" s="6">
        <v>0.26</v>
      </c>
      <c r="BZ119" t="s">
        <v>1359</v>
      </c>
      <c r="CA119">
        <v>36.200000000000003</v>
      </c>
      <c r="CB119">
        <v>17</v>
      </c>
      <c r="CC119">
        <v>2139</v>
      </c>
      <c r="CD119">
        <v>100</v>
      </c>
      <c r="CE119">
        <v>1</v>
      </c>
      <c r="CF119">
        <v>0</v>
      </c>
      <c r="CG119">
        <v>0</v>
      </c>
      <c r="CH119">
        <v>1729</v>
      </c>
      <c r="CI119">
        <v>481</v>
      </c>
      <c r="CJ119">
        <v>1</v>
      </c>
      <c r="CK119" t="s">
        <v>64</v>
      </c>
      <c r="CL119" t="s">
        <v>1360</v>
      </c>
      <c r="CM119">
        <f>HYPERLINK(".\links\GO\TI_asb-206-GO.txt",4E-67)</f>
        <v>3.9999999999999998E-67</v>
      </c>
      <c r="CN119" t="s">
        <v>1361</v>
      </c>
      <c r="CO119" t="s">
        <v>185</v>
      </c>
      <c r="CP119" t="s">
        <v>186</v>
      </c>
      <c r="CQ119" t="s">
        <v>1362</v>
      </c>
      <c r="CR119" s="7">
        <v>1.9999999999999999E-57</v>
      </c>
      <c r="CS119" t="s">
        <v>1061</v>
      </c>
      <c r="CT119" t="s">
        <v>75</v>
      </c>
      <c r="CU119" t="s">
        <v>555</v>
      </c>
      <c r="CV119" t="s">
        <v>1062</v>
      </c>
      <c r="CW119" s="7">
        <v>1.9999999999999999E-57</v>
      </c>
      <c r="CX119" t="s">
        <v>1363</v>
      </c>
      <c r="CY119" t="s">
        <v>185</v>
      </c>
      <c r="CZ119" t="s">
        <v>186</v>
      </c>
      <c r="DA119" t="s">
        <v>1364</v>
      </c>
      <c r="DB119" s="7">
        <v>1.9999999999999999E-57</v>
      </c>
      <c r="DC119" t="str">
        <f>HYPERLINK(".\links\CDD\TI_asb-206-CDD.txt","globin")</f>
        <v>globin</v>
      </c>
      <c r="DD119" t="str">
        <f>HYPERLINK("http://www.ncbi.nlm.nih.gov/Structure/cdd/cddsrv.cgi?uid=cd01040&amp;version=v4.0","4E-025")</f>
        <v>4E-025</v>
      </c>
      <c r="DE119" t="s">
        <v>1365</v>
      </c>
      <c r="DF119" t="str">
        <f>HYPERLINK(".\links\PFAM\TI_asb-206-PFAM.txt","Globin")</f>
        <v>Globin</v>
      </c>
      <c r="DG119" t="str">
        <f>HYPERLINK("http://pfam.sanger.ac.uk/family?acc=PF00042","2E-023")</f>
        <v>2E-023</v>
      </c>
      <c r="DH119" t="str">
        <f>HYPERLINK(".\links\PRK\TI_asb-206-PRK.txt","transcriptional regulator ICP4")</f>
        <v>transcriptional regulator ICP4</v>
      </c>
      <c r="DI119" s="6">
        <v>5.8999999999999997E-2</v>
      </c>
      <c r="DJ119" s="6" t="str">
        <f>HYPERLINK(".\links\KOG\TI_asb-206-KOG.txt","Nuclear protein, contains WD40 repeats")</f>
        <v>Nuclear protein, contains WD40 repeats</v>
      </c>
      <c r="DK119" s="6" t="str">
        <f>HYPERLINK("http://www.ncbi.nlm.nih.gov/COG/grace/shokog.cgi?KOG1916","0.0")</f>
        <v>0.0</v>
      </c>
      <c r="DL119" s="6" t="s">
        <v>4337</v>
      </c>
      <c r="DM119" s="6" t="str">
        <f>HYPERLINK(".\links\KOG\TI_asb-206-KOG.txt","KOG1916")</f>
        <v>KOG1916</v>
      </c>
      <c r="DN119" t="str">
        <f>HYPERLINK(".\links\SMART\TI_asb-206-SMART.txt","DM6")</f>
        <v>DM6</v>
      </c>
      <c r="DO119" t="str">
        <f>HYPERLINK("http://smart.embl-heidelberg.de/smart/do_annotation.pl?DOMAIN=DM6&amp;BLAST=DUMMY","0.009")</f>
        <v>0.009</v>
      </c>
      <c r="DP119" s="3" t="s">
        <v>56</v>
      </c>
      <c r="ED119" s="3" t="s">
        <v>56</v>
      </c>
    </row>
    <row r="120" spans="1:134">
      <c r="A120" t="str">
        <f>HYPERLINK(".\links\seq\TI_asb-207-seq.txt","TI_asb-207")</f>
        <v>TI_asb-207</v>
      </c>
      <c r="B120">
        <v>207</v>
      </c>
      <c r="C120" t="str">
        <f>HYPERLINK(".\links\tsa\TI_asb-207-tsa.txt","1")</f>
        <v>1</v>
      </c>
      <c r="D120">
        <v>1</v>
      </c>
      <c r="E120">
        <v>375</v>
      </c>
      <c r="F120">
        <v>342</v>
      </c>
      <c r="G120" t="str">
        <f>HYPERLINK(".\links\qual\TI_asb-207-qual.txt","58")</f>
        <v>58</v>
      </c>
      <c r="H120">
        <v>0</v>
      </c>
      <c r="I120">
        <v>1</v>
      </c>
      <c r="J120">
        <f t="shared" si="6"/>
        <v>1</v>
      </c>
      <c r="K120" s="6">
        <f t="shared" si="7"/>
        <v>-1</v>
      </c>
      <c r="L120" s="6" t="s">
        <v>3951</v>
      </c>
      <c r="M120" s="6" t="s">
        <v>3866</v>
      </c>
      <c r="N120" s="6" t="s">
        <v>3867</v>
      </c>
      <c r="O120" s="7">
        <v>4E-35</v>
      </c>
      <c r="P120" s="6">
        <v>100</v>
      </c>
      <c r="Q120" s="3">
        <v>375</v>
      </c>
      <c r="R120" s="3">
        <v>309</v>
      </c>
      <c r="S120" s="3" t="s">
        <v>3599</v>
      </c>
      <c r="T120" s="3">
        <v>1</v>
      </c>
      <c r="U120" t="str">
        <f>HYPERLINK(".\links\NR-LIGHT\TI_asb-207-NR-LIGHT.txt","similar to ribosomal protein S21e")</f>
        <v>similar to ribosomal protein S21e</v>
      </c>
      <c r="V120" t="str">
        <f>HYPERLINK("http://www.ncbi.nlm.nih.gov/sutils/blink.cgi?pid=91093173","3E-034")</f>
        <v>3E-034</v>
      </c>
      <c r="W120" t="str">
        <f>HYPERLINK(".\links\NR-LIGHT\TI_asb-207-NR-LIGHT.txt"," 10")</f>
        <v xml:space="preserve"> 10</v>
      </c>
      <c r="X120" t="str">
        <f>HYPERLINK("http://www.ncbi.nlm.nih.gov/protein/91093173","gi|91093173")</f>
        <v>gi|91093173</v>
      </c>
      <c r="Y120">
        <v>145</v>
      </c>
      <c r="Z120">
        <v>82</v>
      </c>
      <c r="AA120">
        <v>83</v>
      </c>
      <c r="AB120">
        <v>82</v>
      </c>
      <c r="AC120">
        <v>99</v>
      </c>
      <c r="AD120">
        <v>14</v>
      </c>
      <c r="AE120">
        <v>0</v>
      </c>
      <c r="AF120">
        <v>1</v>
      </c>
      <c r="AG120">
        <v>61</v>
      </c>
      <c r="AH120">
        <v>1</v>
      </c>
      <c r="AI120">
        <v>1</v>
      </c>
      <c r="AJ120" t="s">
        <v>53</v>
      </c>
      <c r="AK120" t="s">
        <v>54</v>
      </c>
      <c r="AL120" t="s">
        <v>79</v>
      </c>
      <c r="AM120" t="str">
        <f>HYPERLINK(".\links\SWISSP\TI_asb-207-SWISSP.txt","40S ribosomal protein S21 OS=Spodoptera frugiperda GN=RpS21 PE=3 SV=1")</f>
        <v>40S ribosomal protein S21 OS=Spodoptera frugiperda GN=RpS21 PE=3 SV=1</v>
      </c>
      <c r="AN120" s="19" t="str">
        <f>HYPERLINK("http://www.uniprot.org/uniprot/Q962Q8","1E-034")</f>
        <v>1E-034</v>
      </c>
      <c r="AO120" t="str">
        <f>HYPERLINK(".\links\SWISSP\TI_asb-207-SWISSP.txt"," 10")</f>
        <v xml:space="preserve"> 10</v>
      </c>
      <c r="AP120" t="s">
        <v>1366</v>
      </c>
      <c r="AQ120">
        <v>144</v>
      </c>
      <c r="AR120">
        <v>82</v>
      </c>
      <c r="AS120">
        <v>83</v>
      </c>
      <c r="AT120">
        <v>80</v>
      </c>
      <c r="AU120">
        <v>99</v>
      </c>
      <c r="AV120">
        <v>16</v>
      </c>
      <c r="AW120">
        <v>0</v>
      </c>
      <c r="AX120">
        <v>1</v>
      </c>
      <c r="AY120">
        <v>61</v>
      </c>
      <c r="AZ120">
        <v>1</v>
      </c>
      <c r="BA120">
        <v>1</v>
      </c>
      <c r="BB120" t="s">
        <v>53</v>
      </c>
      <c r="BC120" t="s">
        <v>54</v>
      </c>
      <c r="BD120" t="s">
        <v>1367</v>
      </c>
      <c r="BE120" t="s">
        <v>1368</v>
      </c>
      <c r="BF120" t="s">
        <v>1369</v>
      </c>
      <c r="BG120" t="str">
        <f>HYPERLINK(".\links\PREV-RHOD-PEP\TI_asb-207-PREV-RHOD-PEP.txt","Contig17739_5")</f>
        <v>Contig17739_5</v>
      </c>
      <c r="BH120" s="7">
        <v>9.0000000000000002E-42</v>
      </c>
      <c r="BI120" t="str">
        <f>HYPERLINK(".\links\PREV-RHOD-PEP\TI_asb-207-PREV-RHOD-PEP.txt"," 6")</f>
        <v xml:space="preserve"> 6</v>
      </c>
      <c r="BJ120" t="s">
        <v>1171</v>
      </c>
      <c r="BK120">
        <v>164</v>
      </c>
      <c r="BL120">
        <v>81</v>
      </c>
      <c r="BM120">
        <v>81</v>
      </c>
      <c r="BN120">
        <v>97</v>
      </c>
      <c r="BO120">
        <v>100</v>
      </c>
      <c r="BP120">
        <v>2</v>
      </c>
      <c r="BQ120">
        <v>0</v>
      </c>
      <c r="BR120">
        <v>1</v>
      </c>
      <c r="BS120">
        <v>61</v>
      </c>
      <c r="BT120">
        <v>1</v>
      </c>
      <c r="BU120" t="s">
        <v>54</v>
      </c>
      <c r="BV120" t="s">
        <v>1370</v>
      </c>
      <c r="BW120" t="s">
        <v>56</v>
      </c>
      <c r="BX120" t="str">
        <f>HYPERLINK(".\links\PREV-RHOD-CDS\TI_asb-207-PREV-RHOD-CDS.txt","Contig17739_5")</f>
        <v>Contig17739_5</v>
      </c>
      <c r="BY120" s="7">
        <v>9.9999999999999994E-68</v>
      </c>
      <c r="BZ120" t="s">
        <v>1171</v>
      </c>
      <c r="CA120">
        <v>256</v>
      </c>
      <c r="CB120">
        <v>232</v>
      </c>
      <c r="CC120">
        <v>243</v>
      </c>
      <c r="CD120">
        <v>88</v>
      </c>
      <c r="CE120">
        <v>96</v>
      </c>
      <c r="CF120">
        <v>26</v>
      </c>
      <c r="CG120">
        <v>0</v>
      </c>
      <c r="CH120">
        <v>1</v>
      </c>
      <c r="CI120">
        <v>61</v>
      </c>
      <c r="CJ120">
        <v>1</v>
      </c>
      <c r="CK120" t="s">
        <v>54</v>
      </c>
      <c r="CL120" t="s">
        <v>1172</v>
      </c>
      <c r="CM120">
        <f>HYPERLINK(".\links\GO\TI_asb-207-GO.txt",1E-32)</f>
        <v>1.0000000000000001E-32</v>
      </c>
      <c r="CN120" t="s">
        <v>702</v>
      </c>
      <c r="CO120" t="s">
        <v>703</v>
      </c>
      <c r="CP120" t="s">
        <v>704</v>
      </c>
      <c r="CQ120" t="s">
        <v>705</v>
      </c>
      <c r="CR120" s="7">
        <v>1.0000000000000001E-32</v>
      </c>
      <c r="CS120" t="s">
        <v>74</v>
      </c>
      <c r="CT120" t="s">
        <v>75</v>
      </c>
      <c r="CU120" t="s">
        <v>76</v>
      </c>
      <c r="CV120" t="s">
        <v>77</v>
      </c>
      <c r="CW120" s="7">
        <v>1.0000000000000001E-32</v>
      </c>
      <c r="CX120" t="s">
        <v>1173</v>
      </c>
      <c r="CY120" t="s">
        <v>703</v>
      </c>
      <c r="CZ120" t="s">
        <v>704</v>
      </c>
      <c r="DA120" t="s">
        <v>1174</v>
      </c>
      <c r="DB120" s="7">
        <v>1.0000000000000001E-32</v>
      </c>
      <c r="DC120" t="str">
        <f>HYPERLINK(".\links\CDD\TI_asb-207-CDD.txt","Ribosomal_S21e")</f>
        <v>Ribosomal_S21e</v>
      </c>
      <c r="DD120" t="str">
        <f>HYPERLINK("http://www.ncbi.nlm.nih.gov/Structure/cdd/cddsrv.cgi?uid=pfam01249&amp;version=v4.0","1E-034")</f>
        <v>1E-034</v>
      </c>
      <c r="DE120" t="s">
        <v>1371</v>
      </c>
      <c r="DF120" t="str">
        <f>HYPERLINK(".\links\PFAM\TI_asb-207-PFAM.txt","Ribosomal_S21e")</f>
        <v>Ribosomal_S21e</v>
      </c>
      <c r="DG120" t="str">
        <f>HYPERLINK("http://pfam.sanger.ac.uk/family?acc=PF01249","4E-035")</f>
        <v>4E-035</v>
      </c>
      <c r="DH120" t="str">
        <f>HYPERLINK(".\links\PRK\TI_asb-207-PRK.txt","ATP synthase F0 subunit 6")</f>
        <v>ATP synthase F0 subunit 6</v>
      </c>
      <c r="DI120" s="6">
        <v>4.5999999999999999E-2</v>
      </c>
      <c r="DJ120" s="6" t="str">
        <f>HYPERLINK(".\links\KOG\TI_asb-207-KOG.txt","40S ribosomal protein S21")</f>
        <v>40S ribosomal protein S21</v>
      </c>
      <c r="DK120" s="6" t="str">
        <f>HYPERLINK("http://www.ncbi.nlm.nih.gov/COG/grace/shokog.cgi?KOG3486","1E-032")</f>
        <v>1E-032</v>
      </c>
      <c r="DL120" s="6" t="s">
        <v>4333</v>
      </c>
      <c r="DM120" s="6" t="str">
        <f>HYPERLINK(".\links\KOG\TI_asb-207-KOG.txt","KOG3486")</f>
        <v>KOG3486</v>
      </c>
      <c r="DN120" t="str">
        <f>HYPERLINK(".\links\SMART\TI_asb-207-SMART.txt","LITAF")</f>
        <v>LITAF</v>
      </c>
      <c r="DO120" t="str">
        <f>HYPERLINK("http://smart.embl-heidelberg.de/smart/do_annotation.pl?DOMAIN=LITAF&amp;BLAST=DUMMY","0.036")</f>
        <v>0.036</v>
      </c>
      <c r="DP120" s="3" t="s">
        <v>56</v>
      </c>
      <c r="ED120" s="3" t="s">
        <v>56</v>
      </c>
    </row>
    <row r="121" spans="1:134">
      <c r="A121" t="str">
        <f>HYPERLINK(".\links\seq\TI_asb-209-seq.txt","TI_asb-209")</f>
        <v>TI_asb-209</v>
      </c>
      <c r="B121">
        <v>209</v>
      </c>
      <c r="C121" t="str">
        <f>HYPERLINK(".\links\tsa\TI_asb-209-tsa.txt","2")</f>
        <v>2</v>
      </c>
      <c r="D121">
        <v>2</v>
      </c>
      <c r="E121">
        <v>828</v>
      </c>
      <c r="F121">
        <v>810</v>
      </c>
      <c r="G121" t="str">
        <f>HYPERLINK(".\links\qual\TI_asb-209-qual.txt","65")</f>
        <v>65</v>
      </c>
      <c r="H121">
        <v>0</v>
      </c>
      <c r="I121">
        <v>2</v>
      </c>
      <c r="J121">
        <f t="shared" si="6"/>
        <v>2</v>
      </c>
      <c r="K121" s="6">
        <f t="shared" si="7"/>
        <v>-2</v>
      </c>
      <c r="L121" s="6" t="s">
        <v>3964</v>
      </c>
      <c r="M121" s="6" t="s">
        <v>3917</v>
      </c>
      <c r="N121" s="6" t="s">
        <v>3867</v>
      </c>
      <c r="O121" s="6">
        <v>9.9999999999999994E-12</v>
      </c>
      <c r="P121" s="6">
        <v>49.5</v>
      </c>
      <c r="Q121" s="3">
        <v>828</v>
      </c>
      <c r="R121" s="3">
        <v>279</v>
      </c>
      <c r="S121" s="3" t="s">
        <v>3600</v>
      </c>
      <c r="T121" s="3">
        <v>6</v>
      </c>
      <c r="U121" t="str">
        <f>HYPERLINK(".\links\NR-LIGHT\TI_asb-209-NR-LIGHT.txt","hypothetical protein DAPPUDRAFT_120463")</f>
        <v>hypothetical protein DAPPUDRAFT_120463</v>
      </c>
      <c r="V121" t="str">
        <f>HYPERLINK("http://www.ncbi.nlm.nih.gov/sutils/blink.cgi?pid=321449953","8E-032")</f>
        <v>8E-032</v>
      </c>
      <c r="W121" t="str">
        <f>HYPERLINK(".\links\NR-LIGHT\TI_asb-209-NR-LIGHT.txt"," 10")</f>
        <v xml:space="preserve"> 10</v>
      </c>
      <c r="X121" t="str">
        <f>HYPERLINK("http://www.ncbi.nlm.nih.gov/protein/321449953","gi|321449953")</f>
        <v>gi|321449953</v>
      </c>
      <c r="Y121">
        <v>139</v>
      </c>
      <c r="Z121">
        <v>107</v>
      </c>
      <c r="AA121">
        <v>192</v>
      </c>
      <c r="AB121">
        <v>69</v>
      </c>
      <c r="AC121">
        <v>56</v>
      </c>
      <c r="AD121">
        <v>33</v>
      </c>
      <c r="AE121">
        <v>0</v>
      </c>
      <c r="AF121">
        <v>65</v>
      </c>
      <c r="AG121">
        <v>1</v>
      </c>
      <c r="AH121">
        <v>1</v>
      </c>
      <c r="AI121">
        <v>-1</v>
      </c>
      <c r="AJ121" t="s">
        <v>53</v>
      </c>
      <c r="AK121" t="s">
        <v>64</v>
      </c>
      <c r="AL121" t="s">
        <v>193</v>
      </c>
      <c r="AM121" t="str">
        <f>HYPERLINK(".\links\SWISSP\TI_asb-209-SWISSP.txt","Protein FAM198B OS=Homo sapiens GN=FAM198B PE=2 SV=1")</f>
        <v>Protein FAM198B OS=Homo sapiens GN=FAM198B PE=2 SV=1</v>
      </c>
      <c r="AN121" s="19" t="str">
        <f>HYPERLINK("http://www.uniprot.org/uniprot/Q6UWH4","5.3")</f>
        <v>5.3</v>
      </c>
      <c r="AO121" t="str">
        <f>HYPERLINK(".\links\SWISSP\TI_asb-209-SWISSP.txt"," 1")</f>
        <v xml:space="preserve"> 1</v>
      </c>
      <c r="AP121" t="s">
        <v>1373</v>
      </c>
      <c r="AQ121">
        <v>32</v>
      </c>
      <c r="AR121">
        <v>43</v>
      </c>
      <c r="AS121">
        <v>519</v>
      </c>
      <c r="AT121">
        <v>34</v>
      </c>
      <c r="AU121">
        <v>8</v>
      </c>
      <c r="AV121">
        <v>28</v>
      </c>
      <c r="AW121">
        <v>0</v>
      </c>
      <c r="AX121">
        <v>68</v>
      </c>
      <c r="AY121">
        <v>363</v>
      </c>
      <c r="AZ121">
        <v>1</v>
      </c>
      <c r="BA121">
        <v>-2</v>
      </c>
      <c r="BB121" t="s">
        <v>53</v>
      </c>
      <c r="BC121" t="s">
        <v>64</v>
      </c>
      <c r="BD121" t="s">
        <v>330</v>
      </c>
      <c r="BE121" t="s">
        <v>1374</v>
      </c>
      <c r="BF121" t="s">
        <v>1375</v>
      </c>
      <c r="BG121" t="str">
        <f>HYPERLINK(".\links\PREV-RHOD-PEP\TI_asb-209-PREV-RHOD-PEP.txt","Contig8150_1")</f>
        <v>Contig8150_1</v>
      </c>
      <c r="BH121" s="7">
        <v>2.0000000000000002E-15</v>
      </c>
      <c r="BI121" t="str">
        <f>HYPERLINK(".\links\PREV-RHOD-PEP\TI_asb-209-PREV-RHOD-PEP.txt"," 10")</f>
        <v xml:space="preserve"> 10</v>
      </c>
      <c r="BJ121" t="s">
        <v>1376</v>
      </c>
      <c r="BK121">
        <v>79.3</v>
      </c>
      <c r="BL121">
        <v>35</v>
      </c>
      <c r="BM121">
        <v>35</v>
      </c>
      <c r="BN121">
        <v>100</v>
      </c>
      <c r="BO121">
        <v>100</v>
      </c>
      <c r="BP121">
        <v>0</v>
      </c>
      <c r="BQ121">
        <v>0</v>
      </c>
      <c r="BR121">
        <v>1</v>
      </c>
      <c r="BS121">
        <v>124</v>
      </c>
      <c r="BT121">
        <v>1</v>
      </c>
      <c r="BU121" t="s">
        <v>64</v>
      </c>
      <c r="BV121" t="s">
        <v>1377</v>
      </c>
      <c r="BW121" t="s">
        <v>56</v>
      </c>
      <c r="BX121" t="str">
        <f>HYPERLINK(".\links\PREV-RHOD-CDS\TI_asb-209-PREV-RHOD-CDS.txt","Contig8150_1")</f>
        <v>Contig8150_1</v>
      </c>
      <c r="BY121" s="7">
        <v>8E-55</v>
      </c>
      <c r="BZ121" t="s">
        <v>1376</v>
      </c>
      <c r="CA121">
        <v>214</v>
      </c>
      <c r="CB121">
        <v>107</v>
      </c>
      <c r="CC121">
        <v>108</v>
      </c>
      <c r="CD121">
        <v>100</v>
      </c>
      <c r="CE121">
        <v>100</v>
      </c>
      <c r="CF121">
        <v>0</v>
      </c>
      <c r="CG121">
        <v>0</v>
      </c>
      <c r="CH121">
        <v>1</v>
      </c>
      <c r="CI121">
        <v>121</v>
      </c>
      <c r="CJ121">
        <v>1</v>
      </c>
      <c r="CK121" t="s">
        <v>64</v>
      </c>
      <c r="CL121" t="s">
        <v>1378</v>
      </c>
      <c r="CM121">
        <f>HYPERLINK(".\links\GO\TI_asb-209-GO.txt",3.3)</f>
        <v>3.3</v>
      </c>
      <c r="CN121" t="s">
        <v>474</v>
      </c>
      <c r="CO121" t="s">
        <v>185</v>
      </c>
      <c r="CP121" t="s">
        <v>186</v>
      </c>
      <c r="CQ121" t="s">
        <v>475</v>
      </c>
      <c r="CR121" s="5">
        <v>7.4</v>
      </c>
      <c r="CS121" t="s">
        <v>1379</v>
      </c>
      <c r="CT121" t="s">
        <v>75</v>
      </c>
      <c r="CU121" t="s">
        <v>76</v>
      </c>
      <c r="CV121" t="s">
        <v>1380</v>
      </c>
      <c r="CW121" s="5">
        <v>7.4</v>
      </c>
      <c r="CX121" t="s">
        <v>1381</v>
      </c>
      <c r="CY121" t="s">
        <v>185</v>
      </c>
      <c r="CZ121" t="s">
        <v>186</v>
      </c>
      <c r="DA121" t="s">
        <v>1382</v>
      </c>
      <c r="DB121" s="5">
        <v>7.4</v>
      </c>
      <c r="DC121" t="s">
        <v>56</v>
      </c>
      <c r="DD121" t="s">
        <v>56</v>
      </c>
      <c r="DE121" t="s">
        <v>56</v>
      </c>
      <c r="DF121" t="str">
        <f>HYPERLINK(".\links\PFAM\TI_asb-209-PFAM.txt","Cw-hydrolase")</f>
        <v>Cw-hydrolase</v>
      </c>
      <c r="DG121" t="str">
        <f>HYPERLINK("http://pfam.sanger.ac.uk/family?acc=PF10695","1E-011")</f>
        <v>1E-011</v>
      </c>
      <c r="DH121" t="s">
        <v>56</v>
      </c>
      <c r="DI121" s="6" t="s">
        <v>56</v>
      </c>
      <c r="DJ121" s="6" t="s">
        <v>56</v>
      </c>
      <c r="DN121" t="s">
        <v>56</v>
      </c>
      <c r="DO121" t="s">
        <v>56</v>
      </c>
      <c r="DP121" s="3" t="str">
        <f>HYPERLINK(".\links\RRNA\TI_asb-209-RRNA.txt","Homo sapiens 28S ribosomal RNA (LOC100008589)")</f>
        <v>Homo sapiens 28S ribosomal RNA (LOC100008589)</v>
      </c>
      <c r="DQ121" s="3" t="str">
        <f>HYPERLINK("http://www.ncbi.nlm.nih.gov/entrez/viewer.fcgi?db=nucleotide&amp;val=124517661","1E-115")</f>
        <v>1E-115</v>
      </c>
      <c r="DR121" s="3" t="str">
        <f>HYPERLINK("http://www.ncbi.nlm.nih.gov/entrez/viewer.fcgi?db=nucleotide&amp;val=124517661","gi|124517661")</f>
        <v>gi|124517661</v>
      </c>
      <c r="DS121" s="3">
        <v>412</v>
      </c>
      <c r="DT121" s="3">
        <v>275</v>
      </c>
      <c r="DU121" s="3">
        <v>5035</v>
      </c>
      <c r="DV121" s="3">
        <v>93</v>
      </c>
      <c r="DW121" s="3">
        <v>5</v>
      </c>
      <c r="DX121" s="3">
        <v>17</v>
      </c>
      <c r="DY121" s="3">
        <v>0</v>
      </c>
      <c r="DZ121" s="3">
        <v>4327</v>
      </c>
      <c r="EA121" s="3">
        <v>117</v>
      </c>
      <c r="EB121" s="3">
        <v>1</v>
      </c>
      <c r="EC121" s="3" t="s">
        <v>54</v>
      </c>
      <c r="ED121" s="3" t="s">
        <v>56</v>
      </c>
    </row>
    <row r="122" spans="1:134">
      <c r="A122" t="str">
        <f>HYPERLINK(".\links\seq\TI_asb-211-seq.txt","TI_asb-211")</f>
        <v>TI_asb-211</v>
      </c>
      <c r="B122">
        <v>211</v>
      </c>
      <c r="C122" t="str">
        <f>HYPERLINK(".\links\tsa\TI_asb-211-tsa.txt","1")</f>
        <v>1</v>
      </c>
      <c r="D122">
        <v>1</v>
      </c>
      <c r="E122">
        <v>705</v>
      </c>
      <c r="G122" t="str">
        <f>HYPERLINK(".\links\qual\TI_asb-211-qual.txt","55")</f>
        <v>55</v>
      </c>
      <c r="H122">
        <v>1</v>
      </c>
      <c r="I122">
        <v>0</v>
      </c>
      <c r="J122">
        <f t="shared" si="6"/>
        <v>1</v>
      </c>
      <c r="K122" s="6">
        <f t="shared" si="7"/>
        <v>1</v>
      </c>
      <c r="L122" s="6" t="s">
        <v>3965</v>
      </c>
      <c r="M122" s="6" t="s">
        <v>3966</v>
      </c>
      <c r="N122" s="6" t="s">
        <v>3872</v>
      </c>
      <c r="O122" s="7">
        <v>3.0000000000000001E-70</v>
      </c>
      <c r="P122" s="6">
        <v>67</v>
      </c>
      <c r="Q122" s="3">
        <v>705</v>
      </c>
      <c r="R122" s="3">
        <v>687</v>
      </c>
      <c r="S122" s="3" t="s">
        <v>3601</v>
      </c>
      <c r="T122" s="3">
        <v>2</v>
      </c>
      <c r="U122" t="str">
        <f>HYPERLINK(".\links\NR-LIGHT\TI_asb-211-NR-LIGHT.txt","AGAP011055-PA")</f>
        <v>AGAP011055-PA</v>
      </c>
      <c r="V122" t="str">
        <f>HYPERLINK("http://www.ncbi.nlm.nih.gov/sutils/blink.cgi?pid=158285039","1E-100")</f>
        <v>1E-100</v>
      </c>
      <c r="W122" t="str">
        <f>HYPERLINK(".\links\NR-LIGHT\TI_asb-211-NR-LIGHT.txt"," 10")</f>
        <v xml:space="preserve"> 10</v>
      </c>
      <c r="X122" t="str">
        <f>HYPERLINK("http://www.ncbi.nlm.nih.gov/protein/158285039","gi|158285039")</f>
        <v>gi|158285039</v>
      </c>
      <c r="Y122">
        <v>367</v>
      </c>
      <c r="Z122">
        <v>221</v>
      </c>
      <c r="AA122">
        <v>954</v>
      </c>
      <c r="AB122">
        <v>78</v>
      </c>
      <c r="AC122">
        <v>23</v>
      </c>
      <c r="AD122">
        <v>47</v>
      </c>
      <c r="AE122">
        <v>0</v>
      </c>
      <c r="AF122">
        <v>641</v>
      </c>
      <c r="AG122">
        <v>41</v>
      </c>
      <c r="AH122">
        <v>1</v>
      </c>
      <c r="AI122">
        <v>2</v>
      </c>
      <c r="AJ122" t="s">
        <v>53</v>
      </c>
      <c r="AK122" t="s">
        <v>54</v>
      </c>
      <c r="AL122" t="s">
        <v>1161</v>
      </c>
      <c r="AM122" t="str">
        <f>HYPERLINK(".\links\SWISSP\TI_asb-211-SWISSP.txt","Cell division protein kinase 11B OS=Homo sapiens GN=CDK11B PE=1 SV=3")</f>
        <v>Cell division protein kinase 11B OS=Homo sapiens GN=CDK11B PE=1 SV=3</v>
      </c>
      <c r="AN122" s="19" t="str">
        <f>HYPERLINK("http://www.uniprot.org/uniprot/P21127","2E-093")</f>
        <v>2E-093</v>
      </c>
      <c r="AO122" t="str">
        <f>HYPERLINK(".\links\SWISSP\TI_asb-211-SWISSP.txt"," 10")</f>
        <v xml:space="preserve"> 10</v>
      </c>
      <c r="AP122" t="s">
        <v>1383</v>
      </c>
      <c r="AQ122">
        <v>341</v>
      </c>
      <c r="AR122">
        <v>221</v>
      </c>
      <c r="AS122">
        <v>795</v>
      </c>
      <c r="AT122">
        <v>73</v>
      </c>
      <c r="AU122">
        <v>28</v>
      </c>
      <c r="AV122">
        <v>58</v>
      </c>
      <c r="AW122">
        <v>0</v>
      </c>
      <c r="AX122">
        <v>519</v>
      </c>
      <c r="AY122">
        <v>41</v>
      </c>
      <c r="AZ122">
        <v>1</v>
      </c>
      <c r="BA122">
        <v>2</v>
      </c>
      <c r="BB122" t="s">
        <v>53</v>
      </c>
      <c r="BC122" t="s">
        <v>54</v>
      </c>
      <c r="BD122" t="s">
        <v>330</v>
      </c>
      <c r="BE122" t="s">
        <v>1384</v>
      </c>
      <c r="BF122" t="s">
        <v>1385</v>
      </c>
      <c r="BG122" t="str">
        <f>HYPERLINK(".\links\PREV-RHOD-PEP\TI_asb-211-PREV-RHOD-PEP.txt","Contig17852_67")</f>
        <v>Contig17852_67</v>
      </c>
      <c r="BH122" s="7">
        <v>9.9999999999999995E-127</v>
      </c>
      <c r="BI122" t="str">
        <f>HYPERLINK(".\links\PREV-RHOD-PEP\TI_asb-211-PREV-RHOD-PEP.txt"," 10")</f>
        <v xml:space="preserve"> 10</v>
      </c>
      <c r="BJ122" t="s">
        <v>1386</v>
      </c>
      <c r="BK122">
        <v>447</v>
      </c>
      <c r="BL122">
        <v>221</v>
      </c>
      <c r="BM122">
        <v>761</v>
      </c>
      <c r="BN122">
        <v>99</v>
      </c>
      <c r="BO122">
        <v>29</v>
      </c>
      <c r="BP122">
        <v>2</v>
      </c>
      <c r="BQ122">
        <v>0</v>
      </c>
      <c r="BR122">
        <v>483</v>
      </c>
      <c r="BS122">
        <v>41</v>
      </c>
      <c r="BT122">
        <v>1</v>
      </c>
      <c r="BU122" t="s">
        <v>54</v>
      </c>
      <c r="BV122" t="s">
        <v>1387</v>
      </c>
      <c r="BW122" t="s">
        <v>56</v>
      </c>
      <c r="BX122" t="str">
        <f>HYPERLINK(".\links\PREV-RHOD-CDS\TI_asb-211-PREV-RHOD-CDS.txt","Contig17852_67")</f>
        <v>Contig17852_67</v>
      </c>
      <c r="BY122" s="6">
        <v>0</v>
      </c>
      <c r="BZ122" t="s">
        <v>1386</v>
      </c>
      <c r="CA122">
        <v>676</v>
      </c>
      <c r="CB122">
        <v>652</v>
      </c>
      <c r="CC122">
        <v>2286</v>
      </c>
      <c r="CD122">
        <v>88</v>
      </c>
      <c r="CE122">
        <v>29</v>
      </c>
      <c r="CF122">
        <v>78</v>
      </c>
      <c r="CG122">
        <v>0</v>
      </c>
      <c r="CH122">
        <v>1459</v>
      </c>
      <c r="CI122">
        <v>53</v>
      </c>
      <c r="CJ122">
        <v>1</v>
      </c>
      <c r="CK122" t="s">
        <v>54</v>
      </c>
      <c r="CL122" t="s">
        <v>1388</v>
      </c>
      <c r="CM122">
        <f>HYPERLINK(".\links\GO\TI_asb-211-GO.txt",2E-94)</f>
        <v>1.9999999999999999E-94</v>
      </c>
      <c r="CN122" t="s">
        <v>1389</v>
      </c>
      <c r="CO122" t="s">
        <v>129</v>
      </c>
      <c r="CP122" t="s">
        <v>151</v>
      </c>
      <c r="CQ122" t="s">
        <v>1390</v>
      </c>
      <c r="CR122" s="7">
        <v>3.9999999999999996E-93</v>
      </c>
      <c r="CS122" t="s">
        <v>224</v>
      </c>
      <c r="CT122" t="s">
        <v>75</v>
      </c>
      <c r="CU122" t="s">
        <v>76</v>
      </c>
      <c r="CV122" t="s">
        <v>225</v>
      </c>
      <c r="CW122" s="7">
        <v>3.9999999999999996E-93</v>
      </c>
      <c r="CX122" t="s">
        <v>758</v>
      </c>
      <c r="CY122" t="s">
        <v>129</v>
      </c>
      <c r="CZ122" t="s">
        <v>151</v>
      </c>
      <c r="DA122" t="s">
        <v>759</v>
      </c>
      <c r="DB122" s="7">
        <v>3.9999999999999996E-93</v>
      </c>
      <c r="DC122" t="str">
        <f>HYPERLINK(".\links\CDD\TI_asb-211-CDD.txt","S_TKc")</f>
        <v>S_TKc</v>
      </c>
      <c r="DD122" t="str">
        <f>HYPERLINK("http://www.ncbi.nlm.nih.gov/Structure/cdd/cddsrv.cgi?uid=cd00180&amp;version=v4.0","7E-049")</f>
        <v>7E-049</v>
      </c>
      <c r="DE122" t="s">
        <v>1391</v>
      </c>
      <c r="DF122" t="str">
        <f>HYPERLINK(".\links\PFAM\TI_asb-211-PFAM.txt","Pkinase")</f>
        <v>Pkinase</v>
      </c>
      <c r="DG122" t="str">
        <f>HYPERLINK("http://pfam.sanger.ac.uk/family?acc=PF00069","5E-051")</f>
        <v>5E-051</v>
      </c>
      <c r="DH122" t="str">
        <f>HYPERLINK(".\links\PRK\TI_asb-211-PRK.txt","cyclin-dependent protein kinase")</f>
        <v>cyclin-dependent protein kinase</v>
      </c>
      <c r="DI122" s="7">
        <v>9.9999999999999997E-61</v>
      </c>
      <c r="DJ122" s="6" t="str">
        <f>HYPERLINK(".\links\KOG\TI_asb-211-KOG.txt","Protein kinase PITSLRE and related kinases")</f>
        <v>Protein kinase PITSLRE and related kinases</v>
      </c>
      <c r="DK122" s="6" t="str">
        <f>HYPERLINK("http://www.ncbi.nlm.nih.gov/COG/grace/shokog.cgi?KOG0663","1E-102")</f>
        <v>1E-102</v>
      </c>
      <c r="DL122" s="6" t="s">
        <v>4337</v>
      </c>
      <c r="DM122" s="6" t="str">
        <f>HYPERLINK(".\links\KOG\TI_asb-211-KOG.txt","KOG0663")</f>
        <v>KOG0663</v>
      </c>
      <c r="DN122" t="str">
        <f>HYPERLINK(".\links\SMART\TI_asb-211-SMART.txt","S_TKc")</f>
        <v>S_TKc</v>
      </c>
      <c r="DO122" t="str">
        <f>HYPERLINK("http://smart.embl-heidelberg.de/smart/do_annotation.pl?DOMAIN=S_TKc&amp;BLAST=DUMMY","6E-054")</f>
        <v>6E-054</v>
      </c>
      <c r="DP122" s="3" t="s">
        <v>56</v>
      </c>
      <c r="ED122" s="3" t="s">
        <v>56</v>
      </c>
    </row>
    <row r="123" spans="1:134" s="26" customFormat="1">
      <c r="A123" s="26" t="str">
        <f>HYPERLINK(".\links\seq\TI_asb-214-seq.txt","TI_asb-214")</f>
        <v>TI_asb-214</v>
      </c>
      <c r="B123" s="26">
        <v>214</v>
      </c>
      <c r="C123" s="27" t="str">
        <f>HYPERLINK(".\links\tsa\TI_asb-214-tsa.txt","5")</f>
        <v>5</v>
      </c>
      <c r="D123" s="26">
        <v>5</v>
      </c>
      <c r="E123" s="26">
        <v>545</v>
      </c>
      <c r="F123" s="26">
        <v>512</v>
      </c>
      <c r="G123" s="26" t="str">
        <f>HYPERLINK(".\links\qual\TI_asb-214-qual.txt","90")</f>
        <v>90</v>
      </c>
      <c r="H123" s="26">
        <v>3</v>
      </c>
      <c r="I123" s="26">
        <v>2</v>
      </c>
      <c r="J123" s="26">
        <f t="shared" si="6"/>
        <v>1</v>
      </c>
      <c r="K123" s="26">
        <f t="shared" si="7"/>
        <v>1</v>
      </c>
      <c r="L123" s="26" t="s">
        <v>3967</v>
      </c>
      <c r="M123" s="26" t="s">
        <v>3886</v>
      </c>
      <c r="N123" s="26" t="s">
        <v>3864</v>
      </c>
      <c r="O123" s="26">
        <v>7.0000000000000005E-14</v>
      </c>
      <c r="P123" s="26">
        <v>85.5</v>
      </c>
      <c r="Q123" s="26">
        <v>545</v>
      </c>
      <c r="R123" s="26">
        <v>405</v>
      </c>
      <c r="S123" s="26" t="s">
        <v>3602</v>
      </c>
      <c r="T123" s="26">
        <v>2</v>
      </c>
      <c r="U123" s="26" t="str">
        <f>HYPERLINK(".\links\NR-LIGHT\TI_asb-214-NR-LIGHT.txt","putative fatbody protein 3Rev-G1")</f>
        <v>putative fatbody protein 3Rev-G1</v>
      </c>
      <c r="V123" s="26" t="str">
        <f>HYPERLINK("http://www.ncbi.nlm.nih.gov/sutils/blink.cgi?pid=306518634","7E-014")</f>
        <v>7E-014</v>
      </c>
      <c r="W123" s="26" t="str">
        <f>HYPERLINK(".\links\NR-LIGHT\TI_asb-214-NR-LIGHT.txt"," 10")</f>
        <v xml:space="preserve"> 10</v>
      </c>
      <c r="X123" s="26" t="str">
        <f>HYPERLINK("http://www.ncbi.nlm.nih.gov/protein/306518634","gi|306518634")</f>
        <v>gi|306518634</v>
      </c>
      <c r="Y123" s="26">
        <v>79</v>
      </c>
      <c r="Z123" s="26">
        <v>101</v>
      </c>
      <c r="AA123" s="26">
        <v>118</v>
      </c>
      <c r="AB123" s="26">
        <v>41</v>
      </c>
      <c r="AC123" s="26">
        <v>86</v>
      </c>
      <c r="AD123" s="26">
        <v>59</v>
      </c>
      <c r="AE123" s="26">
        <v>0</v>
      </c>
      <c r="AF123" s="26">
        <v>17</v>
      </c>
      <c r="AG123" s="26">
        <v>128</v>
      </c>
      <c r="AH123" s="26">
        <v>1</v>
      </c>
      <c r="AI123" s="26">
        <v>2</v>
      </c>
      <c r="AJ123" s="26" t="s">
        <v>53</v>
      </c>
      <c r="AK123" s="26" t="s">
        <v>54</v>
      </c>
      <c r="AL123" s="26" t="s">
        <v>279</v>
      </c>
      <c r="AM123" s="26" t="str">
        <f>HYPERLINK(".\links\SWISSP\TI_asb-214-SWISSP.txt","Nucleolar protein 12 OS=Yarrowia lipolytica GN=NOP12 PE=3 SV=1")</f>
        <v>Nucleolar protein 12 OS=Yarrowia lipolytica GN=NOP12 PE=3 SV=1</v>
      </c>
      <c r="AN123" s="29" t="str">
        <f>HYPERLINK("http://www.uniprot.org/uniprot/Q6C2Q7","0.83")</f>
        <v>0.83</v>
      </c>
      <c r="AO123" s="26" t="str">
        <f>HYPERLINK(".\links\SWISSP\TI_asb-214-SWISSP.txt"," 7")</f>
        <v xml:space="preserve"> 7</v>
      </c>
      <c r="AP123" s="26" t="s">
        <v>1395</v>
      </c>
      <c r="AQ123" s="26">
        <v>33.5</v>
      </c>
      <c r="AR123" s="26">
        <v>52</v>
      </c>
      <c r="AS123" s="26">
        <v>509</v>
      </c>
      <c r="AT123" s="26">
        <v>32</v>
      </c>
      <c r="AU123" s="26">
        <v>10</v>
      </c>
      <c r="AV123" s="26">
        <v>35</v>
      </c>
      <c r="AW123" s="26">
        <v>0</v>
      </c>
      <c r="AX123" s="26">
        <v>288</v>
      </c>
      <c r="AY123" s="26">
        <v>63</v>
      </c>
      <c r="AZ123" s="26">
        <v>1</v>
      </c>
      <c r="BA123" s="26">
        <v>-1</v>
      </c>
      <c r="BB123" s="26" t="s">
        <v>53</v>
      </c>
      <c r="BC123" s="26" t="s">
        <v>64</v>
      </c>
      <c r="BD123" s="26" t="s">
        <v>1396</v>
      </c>
      <c r="BE123" s="26" t="s">
        <v>1397</v>
      </c>
      <c r="BF123" s="26" t="s">
        <v>1398</v>
      </c>
      <c r="BG123" s="26" t="str">
        <f>HYPERLINK(".\links\PREV-RHOD-PEP\TI_asb-214-PREV-RHOD-PEP.txt","Contig17940_72")</f>
        <v>Contig17940_72</v>
      </c>
      <c r="BH123" s="28">
        <v>6.0000000000000006E-39</v>
      </c>
      <c r="BI123" s="26" t="str">
        <f>HYPERLINK(".\links\PREV-RHOD-PEP\TI_asb-214-PREV-RHOD-PEP.txt"," 10")</f>
        <v xml:space="preserve"> 10</v>
      </c>
      <c r="BJ123" s="26" t="s">
        <v>280</v>
      </c>
      <c r="BK123" s="26">
        <v>156</v>
      </c>
      <c r="BL123" s="26">
        <v>108</v>
      </c>
      <c r="BM123" s="26">
        <v>126</v>
      </c>
      <c r="BN123" s="26">
        <v>68</v>
      </c>
      <c r="BO123" s="26">
        <v>86</v>
      </c>
      <c r="BP123" s="26">
        <v>34</v>
      </c>
      <c r="BQ123" s="26">
        <v>0</v>
      </c>
      <c r="BR123" s="26">
        <v>20</v>
      </c>
      <c r="BS123" s="26">
        <v>107</v>
      </c>
      <c r="BT123" s="26">
        <v>1</v>
      </c>
      <c r="BU123" s="26" t="s">
        <v>54</v>
      </c>
      <c r="BV123" s="26" t="s">
        <v>1399</v>
      </c>
      <c r="BW123" s="26" t="s">
        <v>56</v>
      </c>
      <c r="BX123" s="26" t="str">
        <f>HYPERLINK(".\links\PREV-RHOD-CDS\TI_asb-214-PREV-RHOD-CDS.txt","Contig17940_68")</f>
        <v>Contig17940_68</v>
      </c>
      <c r="BY123" s="28">
        <v>2E-8</v>
      </c>
      <c r="BZ123" s="26" t="s">
        <v>1400</v>
      </c>
      <c r="CA123" s="26">
        <v>60</v>
      </c>
      <c r="CB123" s="26">
        <v>283</v>
      </c>
      <c r="CC123" s="26">
        <v>326</v>
      </c>
      <c r="CD123" s="26">
        <v>85</v>
      </c>
      <c r="CE123" s="26">
        <v>87</v>
      </c>
      <c r="CF123" s="26">
        <v>11</v>
      </c>
      <c r="CG123" s="26">
        <v>0</v>
      </c>
      <c r="CH123" s="26">
        <v>1</v>
      </c>
      <c r="CI123" s="26">
        <v>50</v>
      </c>
      <c r="CJ123" s="26">
        <v>2</v>
      </c>
      <c r="CK123" s="26" t="s">
        <v>54</v>
      </c>
      <c r="CL123" s="26" t="s">
        <v>724</v>
      </c>
      <c r="CM123" s="26">
        <f>HYPERLINK(".\links\GO\TI_asb-214-GO.txt",0.94)</f>
        <v>0.94</v>
      </c>
      <c r="CN123" s="26" t="s">
        <v>58</v>
      </c>
      <c r="CO123" s="26" t="s">
        <v>58</v>
      </c>
      <c r="CQ123" s="26" t="s">
        <v>59</v>
      </c>
      <c r="CR123" s="26">
        <v>0.94</v>
      </c>
      <c r="CS123" s="26" t="s">
        <v>60</v>
      </c>
      <c r="CT123" s="26" t="s">
        <v>60</v>
      </c>
      <c r="CV123" s="26" t="s">
        <v>61</v>
      </c>
      <c r="CW123" s="26">
        <v>0.94</v>
      </c>
      <c r="CX123" s="26" t="s">
        <v>62</v>
      </c>
      <c r="CY123" s="26" t="s">
        <v>58</v>
      </c>
      <c r="DA123" s="26" t="s">
        <v>63</v>
      </c>
      <c r="DB123" s="26">
        <v>0.94</v>
      </c>
      <c r="DC123" s="26" t="s">
        <v>56</v>
      </c>
      <c r="DD123" s="26" t="s">
        <v>56</v>
      </c>
      <c r="DE123" s="26" t="s">
        <v>56</v>
      </c>
      <c r="DF123" s="26" t="s">
        <v>56</v>
      </c>
      <c r="DG123" s="26" t="s">
        <v>56</v>
      </c>
      <c r="DH123" s="26" t="str">
        <f>HYPERLINK(".\links\PRK\TI_asb-214-PRK.txt","NADH dehydrogenase subunit 4L")</f>
        <v>NADH dehydrogenase subunit 4L</v>
      </c>
      <c r="DI123" s="26">
        <v>2E-3</v>
      </c>
      <c r="DJ123" s="26" t="s">
        <v>56</v>
      </c>
      <c r="DN123" s="26" t="str">
        <f>HYPERLINK(".\links\SMART\TI_asb-214-SMART.txt","AAA_PrkA")</f>
        <v>AAA_PrkA</v>
      </c>
      <c r="DO123" s="26">
        <v>1.7999999999999999E-2</v>
      </c>
      <c r="DP123" s="26" t="s">
        <v>56</v>
      </c>
      <c r="ED123" s="26" t="s">
        <v>56</v>
      </c>
    </row>
    <row r="124" spans="1:134">
      <c r="A124" t="str">
        <f>HYPERLINK(".\links\seq\TI_asb-215-seq.txt","TI_asb-215")</f>
        <v>TI_asb-215</v>
      </c>
      <c r="B124">
        <v>215</v>
      </c>
      <c r="C124" t="str">
        <f>HYPERLINK(".\links\tsa\TI_asb-215-tsa.txt","2")</f>
        <v>2</v>
      </c>
      <c r="D124">
        <v>2</v>
      </c>
      <c r="E124">
        <v>856</v>
      </c>
      <c r="F124">
        <v>838</v>
      </c>
      <c r="G124" t="str">
        <f>HYPERLINK(".\links\qual\TI_asb-215-qual.txt","59")</f>
        <v>59</v>
      </c>
      <c r="H124">
        <v>0</v>
      </c>
      <c r="I124">
        <v>2</v>
      </c>
      <c r="J124">
        <f t="shared" si="6"/>
        <v>2</v>
      </c>
      <c r="K124" s="6">
        <f t="shared" si="7"/>
        <v>-2</v>
      </c>
      <c r="L124" s="6" t="s">
        <v>3888</v>
      </c>
      <c r="M124" s="6" t="s">
        <v>3886</v>
      </c>
      <c r="N124" s="6" t="s">
        <v>3872</v>
      </c>
      <c r="O124" s="6">
        <v>0</v>
      </c>
      <c r="P124" s="6">
        <v>5</v>
      </c>
      <c r="Q124" s="3">
        <v>856</v>
      </c>
      <c r="R124" s="3">
        <v>279</v>
      </c>
      <c r="S124" s="3" t="s">
        <v>3603</v>
      </c>
      <c r="T124" s="3">
        <v>5</v>
      </c>
      <c r="U124" t="str">
        <f>HYPERLINK(".\links\NR-LIGHT\TI_asb-215-NR-LIGHT.txt","similar to profilin isoform 3")</f>
        <v>similar to profilin isoform 3</v>
      </c>
      <c r="V124" t="str">
        <f>HYPERLINK("http://www.ncbi.nlm.nih.gov/sutils/blink.cgi?pid=193603643","4E-018")</f>
        <v>4E-018</v>
      </c>
      <c r="W124" t="str">
        <f>HYPERLINK(".\links\NR-LIGHT\TI_asb-215-NR-LIGHT.txt"," 10")</f>
        <v xml:space="preserve"> 10</v>
      </c>
      <c r="X124" t="str">
        <f>HYPERLINK("http://www.ncbi.nlm.nih.gov/protein/193603643","gi|193603643")</f>
        <v>gi|193603643</v>
      </c>
      <c r="Y124">
        <v>61.6</v>
      </c>
      <c r="Z124">
        <v>37</v>
      </c>
      <c r="AA124">
        <v>107</v>
      </c>
      <c r="AB124">
        <v>70</v>
      </c>
      <c r="AC124">
        <v>35</v>
      </c>
      <c r="AD124">
        <v>11</v>
      </c>
      <c r="AE124">
        <v>0</v>
      </c>
      <c r="AF124">
        <v>3</v>
      </c>
      <c r="AG124">
        <v>70</v>
      </c>
      <c r="AH124">
        <v>2</v>
      </c>
      <c r="AI124">
        <v>1</v>
      </c>
      <c r="AJ124" t="s">
        <v>65</v>
      </c>
      <c r="AK124" t="s">
        <v>54</v>
      </c>
      <c r="AL124" t="s">
        <v>177</v>
      </c>
      <c r="AM124" t="str">
        <f>HYPERLINK(".\links\SWISSP\TI_asb-215-SWISSP.txt","Profilin OS=Bombyx mori PE=2 SV=1")</f>
        <v>Profilin OS=Bombyx mori PE=2 SV=1</v>
      </c>
      <c r="AN124" s="19" t="str">
        <f>HYPERLINK("http://www.uniprot.org/uniprot/Q68HB4","4E-012")</f>
        <v>4E-012</v>
      </c>
      <c r="AO124" t="str">
        <f>HYPERLINK(".\links\SWISSP\TI_asb-215-SWISSP.txt"," 10")</f>
        <v xml:space="preserve"> 10</v>
      </c>
      <c r="AP124" t="s">
        <v>1401</v>
      </c>
      <c r="AQ124">
        <v>72.400000000000006</v>
      </c>
      <c r="AR124">
        <v>46</v>
      </c>
      <c r="AS124">
        <v>126</v>
      </c>
      <c r="AT124">
        <v>71</v>
      </c>
      <c r="AU124">
        <v>37</v>
      </c>
      <c r="AV124">
        <v>13</v>
      </c>
      <c r="AW124">
        <v>0</v>
      </c>
      <c r="AX124">
        <v>1</v>
      </c>
      <c r="AY124">
        <v>67</v>
      </c>
      <c r="AZ124">
        <v>2</v>
      </c>
      <c r="BA124">
        <v>1</v>
      </c>
      <c r="BB124" t="s">
        <v>65</v>
      </c>
      <c r="BC124" t="s">
        <v>54</v>
      </c>
      <c r="BD124" t="s">
        <v>279</v>
      </c>
      <c r="BE124" t="s">
        <v>1402</v>
      </c>
      <c r="BF124" t="s">
        <v>1403</v>
      </c>
      <c r="BG124" t="str">
        <f>HYPERLINK(".\links\PREV-RHOD-PEP\TI_asb-215-PREV-RHOD-PEP.txt","Contig17157_5")</f>
        <v>Contig17157_5</v>
      </c>
      <c r="BH124" s="7">
        <v>5E-15</v>
      </c>
      <c r="BI124" t="str">
        <f>HYPERLINK(".\links\PREV-RHOD-PEP\TI_asb-215-PREV-RHOD-PEP.txt"," 4")</f>
        <v xml:space="preserve"> 4</v>
      </c>
      <c r="BJ124" t="s">
        <v>1404</v>
      </c>
      <c r="BK124">
        <v>77.8</v>
      </c>
      <c r="BL124">
        <v>38</v>
      </c>
      <c r="BM124">
        <v>126</v>
      </c>
      <c r="BN124">
        <v>92</v>
      </c>
      <c r="BO124">
        <v>30</v>
      </c>
      <c r="BP124">
        <v>3</v>
      </c>
      <c r="BQ124">
        <v>0</v>
      </c>
      <c r="BR124">
        <v>1</v>
      </c>
      <c r="BS124">
        <v>67</v>
      </c>
      <c r="BT124">
        <v>2</v>
      </c>
      <c r="BU124" t="s">
        <v>54</v>
      </c>
      <c r="BV124" t="s">
        <v>1405</v>
      </c>
      <c r="BW124" t="s">
        <v>56</v>
      </c>
      <c r="BX124" t="str">
        <f>HYPERLINK(".\links\PREV-RHOD-CDS\TI_asb-215-PREV-RHOD-CDS.txt","Contig17157_5")</f>
        <v>Contig17157_5</v>
      </c>
      <c r="BY124" s="7">
        <v>3.0000000000000003E-42</v>
      </c>
      <c r="BZ124" t="s">
        <v>1404</v>
      </c>
      <c r="CA124">
        <v>172</v>
      </c>
      <c r="CB124">
        <v>380</v>
      </c>
      <c r="CC124">
        <v>381</v>
      </c>
      <c r="CD124">
        <v>94</v>
      </c>
      <c r="CE124">
        <v>100</v>
      </c>
      <c r="CF124">
        <v>6</v>
      </c>
      <c r="CG124">
        <v>0</v>
      </c>
      <c r="CH124">
        <v>1</v>
      </c>
      <c r="CI124">
        <v>67</v>
      </c>
      <c r="CJ124">
        <v>2</v>
      </c>
      <c r="CK124" t="s">
        <v>54</v>
      </c>
      <c r="CL124" t="s">
        <v>1406</v>
      </c>
      <c r="CM124">
        <f>HYPERLINK(".\links\GO\TI_asb-215-GO.txt",0.00000000008)</f>
        <v>7.9999999999999995E-11</v>
      </c>
      <c r="CN124" t="s">
        <v>474</v>
      </c>
      <c r="CO124" t="s">
        <v>185</v>
      </c>
      <c r="CP124" t="s">
        <v>186</v>
      </c>
      <c r="CQ124" t="s">
        <v>475</v>
      </c>
      <c r="CR124" s="6">
        <v>2.9000000000000001E-2</v>
      </c>
      <c r="CS124" t="s">
        <v>1407</v>
      </c>
      <c r="CT124" t="s">
        <v>75</v>
      </c>
      <c r="CU124" t="s">
        <v>76</v>
      </c>
      <c r="CV124" t="s">
        <v>1408</v>
      </c>
      <c r="CW124" s="6">
        <v>2.9000000000000001E-2</v>
      </c>
      <c r="CX124" t="s">
        <v>1409</v>
      </c>
      <c r="CY124" t="s">
        <v>185</v>
      </c>
      <c r="CZ124" t="s">
        <v>186</v>
      </c>
      <c r="DA124" t="s">
        <v>1410</v>
      </c>
      <c r="DB124" s="6">
        <v>2.9000000000000001E-2</v>
      </c>
      <c r="DC124" t="str">
        <f>HYPERLINK(".\links\CDD\TI_asb-215-CDD.txt","PROF")</f>
        <v>PROF</v>
      </c>
      <c r="DD124" t="str">
        <f>HYPERLINK("http://www.ncbi.nlm.nih.gov/Structure/cdd/cddsrv.cgi?uid=smart00392&amp;version=v4.0","7E-009")</f>
        <v>7E-009</v>
      </c>
      <c r="DE124" t="s">
        <v>1411</v>
      </c>
      <c r="DF124" t="str">
        <f>HYPERLINK(".\links\PFAM\TI_asb-215-PFAM.txt","Profilin")</f>
        <v>Profilin</v>
      </c>
      <c r="DG124" t="str">
        <f>HYPERLINK("http://pfam.sanger.ac.uk/family?acc=PF00235","3E-009")</f>
        <v>3E-009</v>
      </c>
      <c r="DH124" t="str">
        <f>HYPERLINK(".\links\PRK\TI_asb-215-PRK.txt","NADH dehydrogenase subunit 5")</f>
        <v>NADH dehydrogenase subunit 5</v>
      </c>
      <c r="DI124" s="6">
        <v>0.01</v>
      </c>
      <c r="DJ124" s="6" t="str">
        <f>HYPERLINK(".\links\KOG\TI_asb-215-KOG.txt","Nuclear protein, contains WD40 repeats")</f>
        <v>Nuclear protein, contains WD40 repeats</v>
      </c>
      <c r="DK124" s="6" t="str">
        <f>HYPERLINK("http://www.ncbi.nlm.nih.gov/COG/grace/shokog.cgi?KOG1916","0.0")</f>
        <v>0.0</v>
      </c>
      <c r="DL124" s="6" t="s">
        <v>4337</v>
      </c>
      <c r="DM124" s="6" t="str">
        <f>HYPERLINK(".\links\KOG\TI_asb-215-KOG.txt","KOG1916")</f>
        <v>KOG1916</v>
      </c>
      <c r="DN124" t="str">
        <f>HYPERLINK(".\links\SMART\TI_asb-215-SMART.txt","PROF")</f>
        <v>PROF</v>
      </c>
      <c r="DO124" t="str">
        <f>HYPERLINK("http://smart.embl-heidelberg.de/smart/do_annotation.pl?DOMAIN=PROF&amp;BLAST=DUMMY","8E-011")</f>
        <v>8E-011</v>
      </c>
      <c r="DP124" s="3" t="s">
        <v>56</v>
      </c>
      <c r="ED124" s="3" t="s">
        <v>56</v>
      </c>
    </row>
    <row r="125" spans="1:134">
      <c r="A125" t="str">
        <f>HYPERLINK(".\links\seq\TI_asb-216-seq.txt","TI_asb-216")</f>
        <v>TI_asb-216</v>
      </c>
      <c r="B125">
        <v>216</v>
      </c>
      <c r="C125" t="str">
        <f>HYPERLINK(".\links\tsa\TI_asb-216-tsa.txt","2")</f>
        <v>2</v>
      </c>
      <c r="D125">
        <v>2</v>
      </c>
      <c r="E125">
        <v>534</v>
      </c>
      <c r="F125">
        <v>506</v>
      </c>
      <c r="G125" t="str">
        <f>HYPERLINK(".\links\qual\TI_asb-216-qual.txt","61")</f>
        <v>61</v>
      </c>
      <c r="H125">
        <v>0</v>
      </c>
      <c r="I125">
        <v>2</v>
      </c>
      <c r="J125">
        <f t="shared" si="6"/>
        <v>2</v>
      </c>
      <c r="K125" s="6">
        <f t="shared" si="7"/>
        <v>-2</v>
      </c>
      <c r="L125" s="6" t="s">
        <v>3968</v>
      </c>
      <c r="M125" s="6" t="s">
        <v>3886</v>
      </c>
      <c r="N125" s="6" t="s">
        <v>3864</v>
      </c>
      <c r="O125" s="7">
        <v>6.0000000000000002E-26</v>
      </c>
      <c r="P125" s="6">
        <v>100</v>
      </c>
      <c r="Q125" s="3">
        <v>534</v>
      </c>
      <c r="R125" s="3">
        <v>297</v>
      </c>
      <c r="S125" s="6" t="s">
        <v>3604</v>
      </c>
      <c r="T125" s="3">
        <v>1</v>
      </c>
      <c r="U125" t="str">
        <f>HYPERLINK(".\links\NR-LIGHT\TI_asb-216-NR-LIGHT.txt","hypothetical protein")</f>
        <v>hypothetical protein</v>
      </c>
      <c r="V125" t="str">
        <f>HYPERLINK("http://www.ncbi.nlm.nih.gov/sutils/blink.cgi?pid=111379887","6E-026")</f>
        <v>6E-026</v>
      </c>
      <c r="W125" t="str">
        <f>HYPERLINK(".\links\NR-LIGHT\TI_asb-216-NR-LIGHT.txt"," 10")</f>
        <v xml:space="preserve"> 10</v>
      </c>
      <c r="X125" t="str">
        <f>HYPERLINK("http://www.ncbi.nlm.nih.gov/protein/111379887","gi|111379887")</f>
        <v>gi|111379887</v>
      </c>
      <c r="Y125">
        <v>119</v>
      </c>
      <c r="Z125">
        <v>58</v>
      </c>
      <c r="AA125">
        <v>58</v>
      </c>
      <c r="AB125">
        <v>96</v>
      </c>
      <c r="AC125">
        <v>100</v>
      </c>
      <c r="AD125">
        <v>2</v>
      </c>
      <c r="AE125">
        <v>0</v>
      </c>
      <c r="AF125">
        <v>1</v>
      </c>
      <c r="AG125">
        <v>190</v>
      </c>
      <c r="AH125">
        <v>1</v>
      </c>
      <c r="AI125">
        <v>1</v>
      </c>
      <c r="AJ125" t="s">
        <v>53</v>
      </c>
      <c r="AK125" t="s">
        <v>54</v>
      </c>
      <c r="AL125" t="s">
        <v>1412</v>
      </c>
      <c r="AM125" t="str">
        <f>HYPERLINK(".\links\SWISSP\TI_asb-216-SWISSP.txt","Xylose repressor OS=Lactobacillus pentosus GN=xylR PE=3 SV=2")</f>
        <v>Xylose repressor OS=Lactobacillus pentosus GN=xylR PE=3 SV=2</v>
      </c>
      <c r="AN125" s="19" t="str">
        <f>HYPERLINK("http://www.uniprot.org/uniprot/P21940","8.8")</f>
        <v>8.8</v>
      </c>
      <c r="AO125" t="str">
        <f>HYPERLINK(".\links\SWISSP\TI_asb-216-SWISSP.txt"," 1")</f>
        <v xml:space="preserve"> 1</v>
      </c>
      <c r="AP125" t="s">
        <v>1413</v>
      </c>
      <c r="AQ125">
        <v>30</v>
      </c>
      <c r="AR125">
        <v>39</v>
      </c>
      <c r="AS125">
        <v>388</v>
      </c>
      <c r="AT125">
        <v>33</v>
      </c>
      <c r="AU125">
        <v>10</v>
      </c>
      <c r="AV125">
        <v>26</v>
      </c>
      <c r="AW125">
        <v>0</v>
      </c>
      <c r="AX125">
        <v>127</v>
      </c>
      <c r="AY125">
        <v>181</v>
      </c>
      <c r="AZ125">
        <v>1</v>
      </c>
      <c r="BA125">
        <v>-1</v>
      </c>
      <c r="BB125" t="s">
        <v>53</v>
      </c>
      <c r="BC125" t="s">
        <v>64</v>
      </c>
      <c r="BD125" t="s">
        <v>1414</v>
      </c>
      <c r="BE125" t="s">
        <v>1415</v>
      </c>
      <c r="BF125" t="s">
        <v>1416</v>
      </c>
      <c r="BG125" t="str">
        <f>HYPERLINK(".\links\PREV-RHOD-PEP\TI_asb-216-PREV-RHOD-PEP.txt","Contig17907_20")</f>
        <v>Contig17907_20</v>
      </c>
      <c r="BH125" s="7">
        <v>5.0000000000000003E-33</v>
      </c>
      <c r="BI125" t="str">
        <f>HYPERLINK(".\links\PREV-RHOD-PEP\TI_asb-216-PREV-RHOD-PEP.txt"," 6")</f>
        <v xml:space="preserve"> 6</v>
      </c>
      <c r="BJ125" t="s">
        <v>1417</v>
      </c>
      <c r="BK125">
        <v>136</v>
      </c>
      <c r="BL125">
        <v>99</v>
      </c>
      <c r="BM125">
        <v>95</v>
      </c>
      <c r="BN125">
        <v>69</v>
      </c>
      <c r="BO125">
        <v>104</v>
      </c>
      <c r="BP125">
        <v>30</v>
      </c>
      <c r="BQ125">
        <v>1</v>
      </c>
      <c r="BR125">
        <v>1</v>
      </c>
      <c r="BS125">
        <v>70</v>
      </c>
      <c r="BT125">
        <v>1</v>
      </c>
      <c r="BU125" t="s">
        <v>54</v>
      </c>
      <c r="BV125" t="s">
        <v>1418</v>
      </c>
      <c r="BW125" t="s">
        <v>56</v>
      </c>
      <c r="BX125" t="str">
        <f>HYPERLINK(".\links\PREV-RHOD-CDS\TI_asb-216-PREV-RHOD-CDS.txt","Contig17907_20")</f>
        <v>Contig17907_20</v>
      </c>
      <c r="BY125" s="7">
        <v>5.0000000000000004E-18</v>
      </c>
      <c r="BZ125" t="s">
        <v>1417</v>
      </c>
      <c r="CA125">
        <v>91.7</v>
      </c>
      <c r="CB125">
        <v>181</v>
      </c>
      <c r="CC125">
        <v>288</v>
      </c>
      <c r="CD125">
        <v>81</v>
      </c>
      <c r="CE125">
        <v>63</v>
      </c>
      <c r="CF125">
        <v>34</v>
      </c>
      <c r="CG125">
        <v>0</v>
      </c>
      <c r="CH125">
        <v>82</v>
      </c>
      <c r="CI125">
        <v>163</v>
      </c>
      <c r="CJ125">
        <v>1</v>
      </c>
      <c r="CK125" t="s">
        <v>54</v>
      </c>
      <c r="CL125" t="s">
        <v>1419</v>
      </c>
      <c r="CM125">
        <f>HYPERLINK(".\links\GO\TI_asb-216-GO.txt",0.000000002)</f>
        <v>2.0000000000000001E-9</v>
      </c>
      <c r="CN125" t="s">
        <v>58</v>
      </c>
      <c r="CO125" t="s">
        <v>58</v>
      </c>
      <c r="CQ125" t="s">
        <v>59</v>
      </c>
      <c r="CR125" s="6">
        <v>10</v>
      </c>
      <c r="CS125" t="s">
        <v>1420</v>
      </c>
      <c r="CT125" t="s">
        <v>540</v>
      </c>
      <c r="CU125" t="s">
        <v>1137</v>
      </c>
      <c r="CV125" t="s">
        <v>1421</v>
      </c>
      <c r="CW125" s="6">
        <v>10</v>
      </c>
      <c r="CX125" t="s">
        <v>62</v>
      </c>
      <c r="CY125" t="s">
        <v>58</v>
      </c>
      <c r="DA125" t="s">
        <v>63</v>
      </c>
      <c r="DB125" s="6">
        <v>10</v>
      </c>
      <c r="DC125" t="str">
        <f>HYPERLINK(".\links\CDD\TI_asb-216-CDD.txt","ATP6")</f>
        <v>ATP6</v>
      </c>
      <c r="DD125" t="str">
        <f>HYPERLINK("http://www.ncbi.nlm.nih.gov/Structure/cdd/cddsrv.cgi?uid=MTH00087&amp;version=v4.0","0.093")</f>
        <v>0.093</v>
      </c>
      <c r="DE125" t="s">
        <v>1422</v>
      </c>
      <c r="DF125" t="str">
        <f>HYPERLINK(".\links\PFAM\TI_asb-216-PFAM.txt","Cu_amine_oxid")</f>
        <v>Cu_amine_oxid</v>
      </c>
      <c r="DG125" t="str">
        <f>HYPERLINK("http://pfam.sanger.ac.uk/family?acc=PF01179","0.052")</f>
        <v>0.052</v>
      </c>
      <c r="DH125" t="str">
        <f>HYPERLINK(".\links\PRK\TI_asb-216-PRK.txt","2-phosphoglycerate kinase")</f>
        <v>2-phosphoglycerate kinase</v>
      </c>
      <c r="DI125" s="6">
        <v>9.4E-2</v>
      </c>
      <c r="DJ125" s="6" t="s">
        <v>56</v>
      </c>
      <c r="DN125" t="str">
        <f>HYPERLINK(".\links\SMART\TI_asb-216-SMART.txt","PSN")</f>
        <v>PSN</v>
      </c>
      <c r="DO125" t="str">
        <f>HYPERLINK("http://smart.embl-heidelberg.de/smart/do_annotation.pl?DOMAIN=PSN&amp;BLAST=DUMMY","0.080")</f>
        <v>0.080</v>
      </c>
      <c r="DP125" s="3" t="s">
        <v>56</v>
      </c>
      <c r="ED125" s="3" t="s">
        <v>56</v>
      </c>
    </row>
    <row r="126" spans="1:134">
      <c r="A126" t="str">
        <f>HYPERLINK(".\links\seq\TI_asb-217-seq.txt","TI_asb-217")</f>
        <v>TI_asb-217</v>
      </c>
      <c r="B126">
        <v>217</v>
      </c>
      <c r="C126" t="str">
        <f>HYPERLINK(".\links\tsa\TI_asb-217-tsa.txt","3")</f>
        <v>3</v>
      </c>
      <c r="D126">
        <v>3</v>
      </c>
      <c r="E126">
        <v>586</v>
      </c>
      <c r="F126">
        <v>552</v>
      </c>
      <c r="G126" t="str">
        <f>HYPERLINK(".\links\qual\TI_asb-217-qual.txt","88")</f>
        <v>88</v>
      </c>
      <c r="H126">
        <v>0</v>
      </c>
      <c r="I126">
        <v>3</v>
      </c>
      <c r="J126">
        <f t="shared" si="6"/>
        <v>3</v>
      </c>
      <c r="K126" s="6">
        <f t="shared" si="7"/>
        <v>-3</v>
      </c>
      <c r="L126" s="6" t="s">
        <v>3969</v>
      </c>
      <c r="M126" s="6" t="s">
        <v>3966</v>
      </c>
      <c r="N126" s="6" t="s">
        <v>3872</v>
      </c>
      <c r="O126" s="7">
        <v>4.0000000000000003E-37</v>
      </c>
      <c r="P126" s="6">
        <v>80.599999999999994</v>
      </c>
      <c r="Q126" s="3">
        <v>586</v>
      </c>
      <c r="R126" s="3">
        <v>540</v>
      </c>
      <c r="S126" s="6" t="s">
        <v>3605</v>
      </c>
      <c r="T126" s="3">
        <v>1</v>
      </c>
      <c r="U126" t="str">
        <f>HYPERLINK(".\links\NR-LIGHT\TI_asb-217-NR-LIGHT.txt","truncated histone H1")</f>
        <v>truncated histone H1</v>
      </c>
      <c r="V126" t="str">
        <f>HYPERLINK("http://www.ncbi.nlm.nih.gov/sutils/blink.cgi?pid=149689210","2E-035")</f>
        <v>2E-035</v>
      </c>
      <c r="W126" t="str">
        <f>HYPERLINK(".\links\NR-LIGHT\TI_asb-217-NR-LIGHT.txt"," 10")</f>
        <v xml:space="preserve"> 10</v>
      </c>
      <c r="X126" t="str">
        <f>HYPERLINK("http://www.ncbi.nlm.nih.gov/protein/149689210","gi|149689210")</f>
        <v>gi|149689210</v>
      </c>
      <c r="Y126">
        <v>150</v>
      </c>
      <c r="Z126">
        <v>117</v>
      </c>
      <c r="AA126">
        <v>197</v>
      </c>
      <c r="AB126">
        <v>72</v>
      </c>
      <c r="AC126">
        <v>59</v>
      </c>
      <c r="AD126">
        <v>32</v>
      </c>
      <c r="AE126">
        <v>0</v>
      </c>
      <c r="AF126">
        <v>1</v>
      </c>
      <c r="AG126">
        <v>10</v>
      </c>
      <c r="AH126">
        <v>1</v>
      </c>
      <c r="AI126">
        <v>1</v>
      </c>
      <c r="AJ126" t="s">
        <v>53</v>
      </c>
      <c r="AK126" t="s">
        <v>54</v>
      </c>
      <c r="AL126" t="s">
        <v>55</v>
      </c>
      <c r="AM126" t="str">
        <f>HYPERLINK(".\links\SWISSP\TI_asb-217-SWISSP.txt","Histone H1 OS=Drosophila melanogaster GN=His1 PE=1 SV=1")</f>
        <v>Histone H1 OS=Drosophila melanogaster GN=His1 PE=1 SV=1</v>
      </c>
      <c r="AN126" s="19" t="str">
        <f>HYPERLINK("http://www.uniprot.org/uniprot/P02255","2E-023")</f>
        <v>2E-023</v>
      </c>
      <c r="AO126" t="str">
        <f>HYPERLINK(".\links\SWISSP\TI_asb-217-SWISSP.txt"," 10")</f>
        <v xml:space="preserve"> 10</v>
      </c>
      <c r="AP126" t="s">
        <v>1423</v>
      </c>
      <c r="AQ126">
        <v>108</v>
      </c>
      <c r="AR126">
        <v>75</v>
      </c>
      <c r="AS126">
        <v>256</v>
      </c>
      <c r="AT126">
        <v>68</v>
      </c>
      <c r="AU126">
        <v>29</v>
      </c>
      <c r="AV126">
        <v>24</v>
      </c>
      <c r="AW126">
        <v>0</v>
      </c>
      <c r="AX126">
        <v>46</v>
      </c>
      <c r="AY126">
        <v>130</v>
      </c>
      <c r="AZ126">
        <v>1</v>
      </c>
      <c r="BA126">
        <v>1</v>
      </c>
      <c r="BB126" t="s">
        <v>53</v>
      </c>
      <c r="BC126" t="s">
        <v>54</v>
      </c>
      <c r="BD126" t="s">
        <v>143</v>
      </c>
      <c r="BE126" t="s">
        <v>1424</v>
      </c>
      <c r="BF126" t="s">
        <v>1425</v>
      </c>
      <c r="BG126" t="str">
        <f>HYPERLINK(".\links\PREV-RHOD-PEP\TI_asb-217-PREV-RHOD-PEP.txt","Contig18070_21")</f>
        <v>Contig18070_21</v>
      </c>
      <c r="BH126" s="7">
        <v>4.0000000000000003E-37</v>
      </c>
      <c r="BI126" t="str">
        <f>HYPERLINK(".\links\PREV-RHOD-PEP\TI_asb-217-PREV-RHOD-PEP.txt"," 10")</f>
        <v xml:space="preserve"> 10</v>
      </c>
      <c r="BJ126" t="s">
        <v>290</v>
      </c>
      <c r="BK126">
        <v>150</v>
      </c>
      <c r="BL126">
        <v>116</v>
      </c>
      <c r="BM126">
        <v>208</v>
      </c>
      <c r="BN126">
        <v>70</v>
      </c>
      <c r="BO126">
        <v>56</v>
      </c>
      <c r="BP126">
        <v>34</v>
      </c>
      <c r="BQ126">
        <v>0</v>
      </c>
      <c r="BR126">
        <v>1</v>
      </c>
      <c r="BS126">
        <v>10</v>
      </c>
      <c r="BT126">
        <v>1</v>
      </c>
      <c r="BU126" t="s">
        <v>54</v>
      </c>
      <c r="BV126" t="s">
        <v>1426</v>
      </c>
      <c r="BW126" t="s">
        <v>56</v>
      </c>
      <c r="BX126" t="str">
        <f>HYPERLINK(".\links\PREV-RHOD-CDS\TI_asb-217-PREV-RHOD-CDS.txt","Contig18070_21")</f>
        <v>Contig18070_21</v>
      </c>
      <c r="BY126" s="7">
        <v>6.0000000000000002E-27</v>
      </c>
      <c r="BZ126" t="s">
        <v>290</v>
      </c>
      <c r="CA126">
        <v>121</v>
      </c>
      <c r="CB126">
        <v>382</v>
      </c>
      <c r="CC126">
        <v>627</v>
      </c>
      <c r="CD126">
        <v>82</v>
      </c>
      <c r="CE126">
        <v>61</v>
      </c>
      <c r="CF126">
        <v>34</v>
      </c>
      <c r="CG126">
        <v>0</v>
      </c>
      <c r="CH126">
        <v>121</v>
      </c>
      <c r="CI126">
        <v>130</v>
      </c>
      <c r="CJ126">
        <v>2</v>
      </c>
      <c r="CK126" t="s">
        <v>54</v>
      </c>
      <c r="CL126" t="s">
        <v>1427</v>
      </c>
      <c r="CM126">
        <f>HYPERLINK(".\links\GO\TI_asb-217-GO.txt",7E-24)</f>
        <v>6.9999999999999993E-24</v>
      </c>
      <c r="CN126" t="s">
        <v>221</v>
      </c>
      <c r="CO126" t="s">
        <v>185</v>
      </c>
      <c r="CP126" t="s">
        <v>222</v>
      </c>
      <c r="CQ126" t="s">
        <v>223</v>
      </c>
      <c r="CR126" s="7">
        <v>6.9999999999999993E-24</v>
      </c>
      <c r="CS126" t="s">
        <v>224</v>
      </c>
      <c r="CT126" t="s">
        <v>75</v>
      </c>
      <c r="CU126" t="s">
        <v>76</v>
      </c>
      <c r="CV126" t="s">
        <v>225</v>
      </c>
      <c r="CW126" s="7">
        <v>6.9999999999999993E-24</v>
      </c>
      <c r="CX126" t="s">
        <v>1428</v>
      </c>
      <c r="CY126" t="s">
        <v>185</v>
      </c>
      <c r="CZ126" t="s">
        <v>222</v>
      </c>
      <c r="DA126" t="s">
        <v>1429</v>
      </c>
      <c r="DB126" s="7">
        <v>6.9999999999999993E-24</v>
      </c>
      <c r="DC126" t="str">
        <f>HYPERLINK(".\links\CDD\TI_asb-217-CDD.txt","H15")</f>
        <v>H15</v>
      </c>
      <c r="DD126" t="str">
        <f>HYPERLINK("http://www.ncbi.nlm.nih.gov/Structure/cdd/cddsrv.cgi?uid=cd00073&amp;version=v4.0","2E-028")</f>
        <v>2E-028</v>
      </c>
      <c r="DE126" t="s">
        <v>1430</v>
      </c>
      <c r="DF126" t="str">
        <f>HYPERLINK(".\links\PFAM\TI_asb-217-PFAM.txt","Linker_histone")</f>
        <v>Linker_histone</v>
      </c>
      <c r="DG126" t="str">
        <f>HYPERLINK("http://pfam.sanger.ac.uk/family?acc=PF00538","3E-026")</f>
        <v>3E-026</v>
      </c>
      <c r="DH126" t="str">
        <f>HYPERLINK(".\links\PRK\TI_asb-217-PRK.txt","adenylate kinase")</f>
        <v>adenylate kinase</v>
      </c>
      <c r="DI126" s="7">
        <v>1E-10</v>
      </c>
      <c r="DJ126" s="6" t="str">
        <f>HYPERLINK(".\links\KOG\TI_asb-217-KOG.txt","Histone H1")</f>
        <v>Histone H1</v>
      </c>
      <c r="DK126" s="6" t="str">
        <f>HYPERLINK("http://www.ncbi.nlm.nih.gov/COG/grace/shokog.cgi?KOG4012","4E-037")</f>
        <v>4E-037</v>
      </c>
      <c r="DL126" s="6" t="s">
        <v>4354</v>
      </c>
      <c r="DM126" s="6" t="str">
        <f>HYPERLINK(".\links\KOG\TI_asb-217-KOG.txt","KOG4012")</f>
        <v>KOG4012</v>
      </c>
      <c r="DN126" t="str">
        <f>HYPERLINK(".\links\SMART\TI_asb-217-SMART.txt","H15")</f>
        <v>H15</v>
      </c>
      <c r="DO126" t="str">
        <f>HYPERLINK("http://smart.embl-heidelberg.de/smart/do_annotation.pl?DOMAIN=H15&amp;BLAST=DUMMY","1E-024")</f>
        <v>1E-024</v>
      </c>
      <c r="DP126" s="3" t="s">
        <v>56</v>
      </c>
      <c r="ED126" s="3" t="s">
        <v>56</v>
      </c>
    </row>
    <row r="127" spans="1:134">
      <c r="A127" t="str">
        <f>HYPERLINK(".\links\seq\TI_asb-218-seq.txt","TI_asb-218")</f>
        <v>TI_asb-218</v>
      </c>
      <c r="B127">
        <v>218</v>
      </c>
      <c r="C127" t="str">
        <f>HYPERLINK(".\links\tsa\TI_asb-218-tsa.txt","3")</f>
        <v>3</v>
      </c>
      <c r="D127">
        <v>3</v>
      </c>
      <c r="E127">
        <v>731</v>
      </c>
      <c r="F127">
        <v>714</v>
      </c>
      <c r="G127" t="str">
        <f>HYPERLINK(".\links\qual\TI_asb-218-qual.txt","62")</f>
        <v>62</v>
      </c>
      <c r="H127">
        <v>2</v>
      </c>
      <c r="I127">
        <v>1</v>
      </c>
      <c r="J127">
        <f t="shared" si="6"/>
        <v>1</v>
      </c>
      <c r="K127" s="6">
        <f t="shared" si="7"/>
        <v>1</v>
      </c>
      <c r="L127" s="6" t="s">
        <v>3970</v>
      </c>
      <c r="M127" s="6" t="s">
        <v>3934</v>
      </c>
      <c r="N127" s="6" t="s">
        <v>3864</v>
      </c>
      <c r="O127" s="7">
        <v>9.9999999999999997E-48</v>
      </c>
      <c r="P127" s="6">
        <v>7.9</v>
      </c>
      <c r="Q127" s="3">
        <v>731</v>
      </c>
      <c r="R127" s="3">
        <v>729</v>
      </c>
      <c r="S127" s="6" t="s">
        <v>3606</v>
      </c>
      <c r="T127" s="3">
        <v>1</v>
      </c>
      <c r="U127" t="str">
        <f>HYPERLINK(".\links\NR-LIGHT\TI_asb-218-NR-LIGHT.txt","polyprotein")</f>
        <v>polyprotein</v>
      </c>
      <c r="V127" t="str">
        <f>HYPERLINK("http://www.ncbi.nlm.nih.gov/sutils/blink.cgi?pid=297578409","1E-047")</f>
        <v>1E-047</v>
      </c>
      <c r="W127" t="str">
        <f>HYPERLINK(".\links\NR-LIGHT\TI_asb-218-NR-LIGHT.txt"," 10")</f>
        <v xml:space="preserve"> 10</v>
      </c>
      <c r="X127" t="str">
        <f>HYPERLINK("http://www.ncbi.nlm.nih.gov/protein/297578409","gi|297578409")</f>
        <v>gi|297578409</v>
      </c>
      <c r="Y127">
        <v>191</v>
      </c>
      <c r="Z127">
        <v>235</v>
      </c>
      <c r="AA127">
        <v>2964</v>
      </c>
      <c r="AB127">
        <v>42</v>
      </c>
      <c r="AC127">
        <v>8</v>
      </c>
      <c r="AD127">
        <v>134</v>
      </c>
      <c r="AE127">
        <v>8</v>
      </c>
      <c r="AF127">
        <v>903</v>
      </c>
      <c r="AG127">
        <v>28</v>
      </c>
      <c r="AH127">
        <v>1</v>
      </c>
      <c r="AI127">
        <v>1</v>
      </c>
      <c r="AJ127" t="s">
        <v>53</v>
      </c>
      <c r="AK127" t="s">
        <v>54</v>
      </c>
      <c r="AL127" t="s">
        <v>1431</v>
      </c>
      <c r="AM127" t="str">
        <f>HYPERLINK(".\links\SWISSP\TI_asb-218-SWISSP.txt","Furin-like protease 2 OS=Drosophila melanogaster GN=Fur2 PE=1 SV=2")</f>
        <v>Furin-like protease 2 OS=Drosophila melanogaster GN=Fur2 PE=1 SV=2</v>
      </c>
      <c r="AN127" s="19" t="str">
        <f>HYPERLINK("http://www.uniprot.org/uniprot/P30432","0.87")</f>
        <v>0.87</v>
      </c>
      <c r="AO127" t="str">
        <f>HYPERLINK(".\links\SWISSP\TI_asb-218-SWISSP.txt"," 2")</f>
        <v xml:space="preserve"> 2</v>
      </c>
      <c r="AP127" t="s">
        <v>1432</v>
      </c>
      <c r="AQ127">
        <v>34.299999999999997</v>
      </c>
      <c r="AR127">
        <v>42</v>
      </c>
      <c r="AS127">
        <v>1679</v>
      </c>
      <c r="AT127">
        <v>35</v>
      </c>
      <c r="AU127">
        <v>3</v>
      </c>
      <c r="AV127">
        <v>27</v>
      </c>
      <c r="AW127">
        <v>0</v>
      </c>
      <c r="AX127">
        <v>1586</v>
      </c>
      <c r="AY127">
        <v>355</v>
      </c>
      <c r="AZ127">
        <v>1</v>
      </c>
      <c r="BA127">
        <v>1</v>
      </c>
      <c r="BB127" t="s">
        <v>53</v>
      </c>
      <c r="BC127" t="s">
        <v>54</v>
      </c>
      <c r="BD127" t="s">
        <v>143</v>
      </c>
      <c r="BE127" t="s">
        <v>1433</v>
      </c>
      <c r="BF127" t="s">
        <v>1434</v>
      </c>
      <c r="BG127" t="str">
        <f>HYPERLINK(".\links\PREV-RHOD-PEP\TI_asb-218-PREV-RHOD-PEP.txt","Contig17822_5")</f>
        <v>Contig17822_5</v>
      </c>
      <c r="BH127" s="6">
        <v>0.12</v>
      </c>
      <c r="BI127" t="str">
        <f>HYPERLINK(".\links\PREV-RHOD-PEP\TI_asb-218-PREV-RHOD-PEP.txt"," 6")</f>
        <v xml:space="preserve"> 6</v>
      </c>
      <c r="BJ127" t="s">
        <v>1435</v>
      </c>
      <c r="BK127">
        <v>33.1</v>
      </c>
      <c r="BL127">
        <v>96</v>
      </c>
      <c r="BM127">
        <v>537</v>
      </c>
      <c r="BN127">
        <v>27</v>
      </c>
      <c r="BO127">
        <v>18</v>
      </c>
      <c r="BP127">
        <v>70</v>
      </c>
      <c r="BQ127">
        <v>0</v>
      </c>
      <c r="BR127">
        <v>202</v>
      </c>
      <c r="BS127">
        <v>424</v>
      </c>
      <c r="BT127">
        <v>1</v>
      </c>
      <c r="BU127" t="s">
        <v>54</v>
      </c>
      <c r="BV127" t="s">
        <v>1436</v>
      </c>
      <c r="BW127" t="s">
        <v>56</v>
      </c>
      <c r="BX127" t="str">
        <f>HYPERLINK(".\links\PREV-RHOD-CDS\TI_asb-218-PREV-RHOD-CDS.txt","Contig17971_259")</f>
        <v>Contig17971_259</v>
      </c>
      <c r="BY127" s="6">
        <v>0.36</v>
      </c>
      <c r="BZ127" t="s">
        <v>1437</v>
      </c>
      <c r="CA127">
        <v>36.200000000000003</v>
      </c>
      <c r="CB127">
        <v>21</v>
      </c>
      <c r="CC127">
        <v>3306</v>
      </c>
      <c r="CD127">
        <v>95</v>
      </c>
      <c r="CE127">
        <v>1</v>
      </c>
      <c r="CF127">
        <v>1</v>
      </c>
      <c r="CG127">
        <v>0</v>
      </c>
      <c r="CH127">
        <v>2006</v>
      </c>
      <c r="CI127">
        <v>44</v>
      </c>
      <c r="CJ127">
        <v>1</v>
      </c>
      <c r="CK127" t="s">
        <v>54</v>
      </c>
      <c r="CL127" t="s">
        <v>1438</v>
      </c>
      <c r="CM127">
        <f>HYPERLINK(".\links\GO\TI_asb-218-GO.txt",0.25)</f>
        <v>0.25</v>
      </c>
      <c r="CN127" t="s">
        <v>1439</v>
      </c>
      <c r="CO127" t="s">
        <v>129</v>
      </c>
      <c r="CP127" t="s">
        <v>166</v>
      </c>
      <c r="CQ127" t="s">
        <v>1440</v>
      </c>
      <c r="CR127" s="6">
        <v>0.25</v>
      </c>
      <c r="CS127" t="s">
        <v>153</v>
      </c>
      <c r="CT127" t="s">
        <v>75</v>
      </c>
      <c r="CU127" t="s">
        <v>92</v>
      </c>
      <c r="CV127" t="s">
        <v>154</v>
      </c>
      <c r="CW127" s="6">
        <v>0.25</v>
      </c>
      <c r="CX127" t="s">
        <v>301</v>
      </c>
      <c r="CY127" t="s">
        <v>129</v>
      </c>
      <c r="CZ127" t="s">
        <v>166</v>
      </c>
      <c r="DA127" t="s">
        <v>302</v>
      </c>
      <c r="DB127" s="6">
        <v>0.25</v>
      </c>
      <c r="DC127" t="str">
        <f>HYPERLINK(".\links\CDD\TI_asb-218-CDD.txt","CRPV_capsid")</f>
        <v>CRPV_capsid</v>
      </c>
      <c r="DD127" t="str">
        <f>HYPERLINK("http://www.ncbi.nlm.nih.gov/Structure/cdd/cddsrv.cgi?uid=pfam08762&amp;version=v4.0","8E-007")</f>
        <v>8E-007</v>
      </c>
      <c r="DE127" t="s">
        <v>1441</v>
      </c>
      <c r="DF127" t="str">
        <f>HYPERLINK(".\links\PFAM\TI_asb-218-PFAM.txt","CRPV_capsid")</f>
        <v>CRPV_capsid</v>
      </c>
      <c r="DG127" t="str">
        <f>HYPERLINK("http://pfam.sanger.ac.uk/family?acc=PF08762","2E-007")</f>
        <v>2E-007</v>
      </c>
      <c r="DH127" t="s">
        <v>56</v>
      </c>
      <c r="DI127" s="6" t="s">
        <v>56</v>
      </c>
      <c r="DJ127" s="6" t="s">
        <v>56</v>
      </c>
      <c r="DN127" t="s">
        <v>56</v>
      </c>
      <c r="DO127" t="s">
        <v>56</v>
      </c>
      <c r="DP127" s="3" t="s">
        <v>56</v>
      </c>
      <c r="ED127" s="3" t="s">
        <v>56</v>
      </c>
    </row>
    <row r="128" spans="1:134">
      <c r="A128" t="str">
        <f>HYPERLINK(".\links\seq\TI_asb-219-seq.txt","TI_asb-219")</f>
        <v>TI_asb-219</v>
      </c>
      <c r="B128">
        <v>219</v>
      </c>
      <c r="C128" t="str">
        <f>HYPERLINK(".\links\tsa\TI_asb-219-tsa.txt","2")</f>
        <v>2</v>
      </c>
      <c r="D128">
        <v>2</v>
      </c>
      <c r="E128">
        <v>490</v>
      </c>
      <c r="G128" t="str">
        <f>HYPERLINK(".\links\qual\TI_asb-219-qual.txt","58")</f>
        <v>58</v>
      </c>
      <c r="H128">
        <v>2</v>
      </c>
      <c r="I128">
        <v>0</v>
      </c>
      <c r="J128">
        <f t="shared" si="6"/>
        <v>2</v>
      </c>
      <c r="K128" s="6">
        <f t="shared" si="7"/>
        <v>2</v>
      </c>
      <c r="L128" s="6" t="s">
        <v>3971</v>
      </c>
      <c r="M128" s="6" t="s">
        <v>3966</v>
      </c>
      <c r="N128" s="6" t="s">
        <v>3872</v>
      </c>
      <c r="O128" s="7">
        <v>7.9999999999999998E-28</v>
      </c>
      <c r="P128" s="6">
        <v>29.8</v>
      </c>
      <c r="Q128" s="3">
        <v>490</v>
      </c>
      <c r="R128" s="3">
        <v>207</v>
      </c>
      <c r="S128" s="3" t="s">
        <v>3607</v>
      </c>
      <c r="T128" s="3">
        <v>3</v>
      </c>
      <c r="U128" t="str">
        <f>HYPERLINK(".\links\NR-LIGHT\TI_asb-219-NR-LIGHT.txt","similar to CCNDBP1 interactor")</f>
        <v>similar to CCNDBP1 interactor</v>
      </c>
      <c r="V128" t="str">
        <f>HYPERLINK("http://www.ncbi.nlm.nih.gov/sutils/blink.cgi?pid=48098295","2E-026")</f>
        <v>2E-026</v>
      </c>
      <c r="W128" t="str">
        <f>HYPERLINK(".\links\NR-LIGHT\TI_asb-219-NR-LIGHT.txt"," 10")</f>
        <v xml:space="preserve"> 10</v>
      </c>
      <c r="X128" t="str">
        <f>HYPERLINK("http://www.ncbi.nlm.nih.gov/protein/48098295","gi|48098295")</f>
        <v>gi|48098295</v>
      </c>
      <c r="Y128">
        <v>120</v>
      </c>
      <c r="Z128">
        <v>69</v>
      </c>
      <c r="AA128">
        <v>230</v>
      </c>
      <c r="AB128">
        <v>81</v>
      </c>
      <c r="AC128">
        <v>30</v>
      </c>
      <c r="AD128">
        <v>13</v>
      </c>
      <c r="AE128">
        <v>0</v>
      </c>
      <c r="AF128">
        <v>162</v>
      </c>
      <c r="AG128">
        <v>3</v>
      </c>
      <c r="AH128">
        <v>1</v>
      </c>
      <c r="AI128">
        <v>3</v>
      </c>
      <c r="AJ128" t="s">
        <v>53</v>
      </c>
      <c r="AK128" t="s">
        <v>54</v>
      </c>
      <c r="AL128" t="s">
        <v>344</v>
      </c>
      <c r="AM128" t="str">
        <f>HYPERLINK(".\links\SWISSP\TI_asb-219-SWISSP.txt","Pre-mRNA-splicing factor syf2 OS=Gecko japonicus GN=syf2 PE=2 SV=1")</f>
        <v>Pre-mRNA-splicing factor syf2 OS=Gecko japonicus GN=syf2 PE=2 SV=1</v>
      </c>
      <c r="AN128" s="19" t="str">
        <f>HYPERLINK("http://www.uniprot.org/uniprot/Q6DV01","4E-027")</f>
        <v>4E-027</v>
      </c>
      <c r="AO128" t="str">
        <f>HYPERLINK(".\links\SWISSP\TI_asb-219-SWISSP.txt"," 10")</f>
        <v xml:space="preserve"> 10</v>
      </c>
      <c r="AP128" t="s">
        <v>1442</v>
      </c>
      <c r="AQ128">
        <v>120</v>
      </c>
      <c r="AR128">
        <v>68</v>
      </c>
      <c r="AS128">
        <v>249</v>
      </c>
      <c r="AT128">
        <v>85</v>
      </c>
      <c r="AU128">
        <v>27</v>
      </c>
      <c r="AV128">
        <v>10</v>
      </c>
      <c r="AW128">
        <v>0</v>
      </c>
      <c r="AX128">
        <v>182</v>
      </c>
      <c r="AY128">
        <v>6</v>
      </c>
      <c r="AZ128">
        <v>1</v>
      </c>
      <c r="BA128">
        <v>3</v>
      </c>
      <c r="BB128" t="s">
        <v>53</v>
      </c>
      <c r="BC128" t="s">
        <v>54</v>
      </c>
      <c r="BD128" t="s">
        <v>1443</v>
      </c>
      <c r="BE128" t="s">
        <v>1444</v>
      </c>
      <c r="BF128" t="s">
        <v>1445</v>
      </c>
      <c r="BG128" t="str">
        <f>HYPERLINK(".\links\PREV-RHOD-PEP\TI_asb-219-PREV-RHOD-PEP.txt","Contig17854_91")</f>
        <v>Contig17854_91</v>
      </c>
      <c r="BH128" s="7">
        <v>6E-34</v>
      </c>
      <c r="BI128" t="str">
        <f>HYPERLINK(".\links\PREV-RHOD-PEP\TI_asb-219-PREV-RHOD-PEP.txt"," 6")</f>
        <v xml:space="preserve"> 6</v>
      </c>
      <c r="BJ128" t="s">
        <v>1446</v>
      </c>
      <c r="BK128">
        <v>139</v>
      </c>
      <c r="BL128">
        <v>69</v>
      </c>
      <c r="BM128">
        <v>230</v>
      </c>
      <c r="BN128">
        <v>94</v>
      </c>
      <c r="BO128">
        <v>30</v>
      </c>
      <c r="BP128">
        <v>4</v>
      </c>
      <c r="BQ128">
        <v>0</v>
      </c>
      <c r="BR128">
        <v>162</v>
      </c>
      <c r="BS128">
        <v>3</v>
      </c>
      <c r="BT128">
        <v>1</v>
      </c>
      <c r="BU128" t="s">
        <v>54</v>
      </c>
      <c r="BV128" t="s">
        <v>1447</v>
      </c>
      <c r="BW128" t="s">
        <v>56</v>
      </c>
      <c r="BX128" t="str">
        <f>HYPERLINK(".\links\PREV-RHOD-CDS\TI_asb-219-PREV-RHOD-CDS.txt","Contig17854_91")</f>
        <v>Contig17854_91</v>
      </c>
      <c r="BY128" s="7">
        <v>9.9999999999999997E-65</v>
      </c>
      <c r="BZ128" t="s">
        <v>1446</v>
      </c>
      <c r="CA128">
        <v>246</v>
      </c>
      <c r="CB128">
        <v>211</v>
      </c>
      <c r="CC128">
        <v>693</v>
      </c>
      <c r="CD128">
        <v>89</v>
      </c>
      <c r="CE128">
        <v>31</v>
      </c>
      <c r="CF128">
        <v>22</v>
      </c>
      <c r="CG128">
        <v>0</v>
      </c>
      <c r="CH128">
        <v>482</v>
      </c>
      <c r="CI128">
        <v>1</v>
      </c>
      <c r="CJ128">
        <v>1</v>
      </c>
      <c r="CK128" t="s">
        <v>54</v>
      </c>
      <c r="CL128" t="s">
        <v>1448</v>
      </c>
      <c r="CM128">
        <f>HYPERLINK(".\links\GO\TI_asb-219-GO.txt",3E-26)</f>
        <v>3.0000000000000001E-26</v>
      </c>
      <c r="CN128" t="s">
        <v>1392</v>
      </c>
      <c r="CO128" t="s">
        <v>129</v>
      </c>
      <c r="CP128" t="s">
        <v>1393</v>
      </c>
      <c r="CQ128" t="s">
        <v>1394</v>
      </c>
      <c r="CR128" s="6">
        <v>2.0000000000000001E-13</v>
      </c>
      <c r="CS128" t="s">
        <v>1311</v>
      </c>
      <c r="CT128" t="s">
        <v>75</v>
      </c>
      <c r="CU128" t="s">
        <v>76</v>
      </c>
      <c r="CV128" t="s">
        <v>1312</v>
      </c>
      <c r="CW128" s="6">
        <v>2.0000000000000001E-13</v>
      </c>
      <c r="CX128" t="s">
        <v>1313</v>
      </c>
      <c r="CY128" t="s">
        <v>129</v>
      </c>
      <c r="CZ128" t="s">
        <v>1393</v>
      </c>
      <c r="DA128" t="s">
        <v>1314</v>
      </c>
      <c r="DB128" s="6">
        <v>2.0000000000000001E-13</v>
      </c>
      <c r="DC128" t="str">
        <f>HYPERLINK(".\links\CDD\TI_asb-219-CDD.txt","SYF2")</f>
        <v>SYF2</v>
      </c>
      <c r="DD128" t="str">
        <f>HYPERLINK("http://www.ncbi.nlm.nih.gov/Structure/cdd/cddsrv.cgi?uid=pfam08231&amp;version=v4.0","3E-027")</f>
        <v>3E-027</v>
      </c>
      <c r="DE128" t="s">
        <v>1449</v>
      </c>
      <c r="DF128" t="str">
        <f>HYPERLINK(".\links\PFAM\TI_asb-219-PFAM.txt","SYF2")</f>
        <v>SYF2</v>
      </c>
      <c r="DG128" t="str">
        <f>HYPERLINK("http://pfam.sanger.ac.uk/family?acc=PF08231","5E-030")</f>
        <v>5E-030</v>
      </c>
      <c r="DH128" t="str">
        <f>HYPERLINK(".\links\PRK\TI_asb-219-PRK.txt","NADH dehydrogenase subunit 5")</f>
        <v>NADH dehydrogenase subunit 5</v>
      </c>
      <c r="DI128" s="6">
        <v>6.8000000000000005E-2</v>
      </c>
      <c r="DJ128" s="6" t="str">
        <f>HYPERLINK(".\links\KOG\TI_asb-219-KOG.txt","Cyclin D-interacting protein GCIP")</f>
        <v>Cyclin D-interacting protein GCIP</v>
      </c>
      <c r="DK128" s="6" t="str">
        <f>HYPERLINK("http://www.ncbi.nlm.nih.gov/COG/grace/shokog.cgi?KOG2609","8E-028")</f>
        <v>8E-028</v>
      </c>
      <c r="DL128" s="6" t="s">
        <v>4363</v>
      </c>
      <c r="DM128" s="6" t="str">
        <f>HYPERLINK(".\links\KOG\TI_asb-219-KOG.txt","KOG2609")</f>
        <v>KOG2609</v>
      </c>
      <c r="DN128" t="s">
        <v>56</v>
      </c>
      <c r="DO128" t="s">
        <v>56</v>
      </c>
      <c r="DP128" s="3" t="s">
        <v>56</v>
      </c>
      <c r="ED128" s="3" t="s">
        <v>56</v>
      </c>
    </row>
    <row r="129" spans="1:147">
      <c r="A129" t="str">
        <f>HYPERLINK(".\links\seq\TI_asb-220-seq.txt","TI_asb-220")</f>
        <v>TI_asb-220</v>
      </c>
      <c r="B129">
        <v>220</v>
      </c>
      <c r="C129" t="str">
        <f>HYPERLINK(".\links\tsa\TI_asb-220-tsa.txt","7")</f>
        <v>7</v>
      </c>
      <c r="D129">
        <v>7</v>
      </c>
      <c r="E129">
        <v>661</v>
      </c>
      <c r="F129">
        <v>586</v>
      </c>
      <c r="G129" t="str">
        <f>HYPERLINK(".\links\qual\TI_asb-220-qual.txt","72")</f>
        <v>72</v>
      </c>
      <c r="H129">
        <v>5</v>
      </c>
      <c r="I129">
        <v>2</v>
      </c>
      <c r="J129">
        <f t="shared" si="6"/>
        <v>3</v>
      </c>
      <c r="K129" s="6">
        <f t="shared" si="7"/>
        <v>3</v>
      </c>
      <c r="L129" s="6" t="s">
        <v>3972</v>
      </c>
      <c r="M129" s="6" t="s">
        <v>3934</v>
      </c>
      <c r="N129" s="6" t="s">
        <v>3864</v>
      </c>
      <c r="O129" s="7">
        <v>9.9999999999999998E-20</v>
      </c>
      <c r="P129" s="6">
        <v>3.8</v>
      </c>
      <c r="Q129" s="3">
        <v>661</v>
      </c>
      <c r="R129" s="3">
        <v>450</v>
      </c>
      <c r="S129" s="6" t="s">
        <v>3608</v>
      </c>
      <c r="T129" s="3">
        <v>1</v>
      </c>
      <c r="U129" t="str">
        <f>HYPERLINK(".\links\NR-LIGHT\TI_asb-220-NR-LIGHT.txt","polyprotein")</f>
        <v>polyprotein</v>
      </c>
      <c r="V129" t="str">
        <f>HYPERLINK("http://www.ncbi.nlm.nih.gov/sutils/blink.cgi?pid=296005647","1E-019")</f>
        <v>1E-019</v>
      </c>
      <c r="W129" t="str">
        <f>HYPERLINK(".\links\NR-LIGHT\TI_asb-220-NR-LIGHT.txt"," 10")</f>
        <v xml:space="preserve"> 10</v>
      </c>
      <c r="X129" t="str">
        <f>HYPERLINK("http://www.ncbi.nlm.nih.gov/protein/296005647","gi|296005647")</f>
        <v>gi|296005647</v>
      </c>
      <c r="Y129">
        <v>98.6</v>
      </c>
      <c r="Z129">
        <v>115</v>
      </c>
      <c r="AA129">
        <v>2964</v>
      </c>
      <c r="AB129">
        <v>43</v>
      </c>
      <c r="AC129">
        <v>4</v>
      </c>
      <c r="AD129">
        <v>65</v>
      </c>
      <c r="AE129">
        <v>0</v>
      </c>
      <c r="AF129">
        <v>2849</v>
      </c>
      <c r="AG129">
        <v>25</v>
      </c>
      <c r="AH129">
        <v>1</v>
      </c>
      <c r="AI129">
        <v>1</v>
      </c>
      <c r="AJ129" t="s">
        <v>53</v>
      </c>
      <c r="AK129" t="s">
        <v>54</v>
      </c>
      <c r="AL129" t="s">
        <v>1431</v>
      </c>
      <c r="AM129" t="str">
        <f>HYPERLINK(".\links\SWISSP\TI_asb-220-SWISSP.txt","Genome polyprotein OS=Rice tungro spherical virus (strain A) PE=1 SV=1")</f>
        <v>Genome polyprotein OS=Rice tungro spherical virus (strain A) PE=1 SV=1</v>
      </c>
      <c r="AN129" s="19" t="str">
        <f>HYPERLINK("http://www.uniprot.org/uniprot/Q83034","4E-006")</f>
        <v>4E-006</v>
      </c>
      <c r="AO129" t="str">
        <f>HYPERLINK(".\links\SWISSP\TI_asb-220-SWISSP.txt"," 10")</f>
        <v xml:space="preserve"> 10</v>
      </c>
      <c r="AP129" t="s">
        <v>1450</v>
      </c>
      <c r="AQ129">
        <v>51.6</v>
      </c>
      <c r="AR129">
        <v>79</v>
      </c>
      <c r="AS129">
        <v>3473</v>
      </c>
      <c r="AT129">
        <v>36</v>
      </c>
      <c r="AU129">
        <v>2</v>
      </c>
      <c r="AV129">
        <v>50</v>
      </c>
      <c r="AW129">
        <v>0</v>
      </c>
      <c r="AX129">
        <v>3318</v>
      </c>
      <c r="AY129">
        <v>76</v>
      </c>
      <c r="AZ129">
        <v>1</v>
      </c>
      <c r="BA129">
        <v>1</v>
      </c>
      <c r="BB129" t="s">
        <v>53</v>
      </c>
      <c r="BC129" t="s">
        <v>54</v>
      </c>
      <c r="BD129" t="s">
        <v>1451</v>
      </c>
      <c r="BE129" t="s">
        <v>1452</v>
      </c>
      <c r="BF129" t="s">
        <v>1453</v>
      </c>
      <c r="BG129" t="str">
        <f>HYPERLINK(".\links\PREV-RHOD-PEP\TI_asb-220-PREV-RHOD-PEP.txt","Contig17916_72")</f>
        <v>Contig17916_72</v>
      </c>
      <c r="BH129" s="6">
        <v>5.5</v>
      </c>
      <c r="BI129" t="str">
        <f>HYPERLINK(".\links\PREV-RHOD-PEP\TI_asb-220-PREV-RHOD-PEP.txt"," 3")</f>
        <v xml:space="preserve"> 3</v>
      </c>
      <c r="BJ129" t="s">
        <v>1454</v>
      </c>
      <c r="BK129">
        <v>27.3</v>
      </c>
      <c r="BL129">
        <v>38</v>
      </c>
      <c r="BM129">
        <v>371</v>
      </c>
      <c r="BN129">
        <v>34</v>
      </c>
      <c r="BO129">
        <v>10</v>
      </c>
      <c r="BP129">
        <v>25</v>
      </c>
      <c r="BQ129">
        <v>0</v>
      </c>
      <c r="BR129">
        <v>118</v>
      </c>
      <c r="BS129">
        <v>136</v>
      </c>
      <c r="BT129">
        <v>1</v>
      </c>
      <c r="BU129" t="s">
        <v>54</v>
      </c>
      <c r="BV129" t="s">
        <v>1455</v>
      </c>
      <c r="BW129" t="s">
        <v>56</v>
      </c>
      <c r="BX129" t="str">
        <f>HYPERLINK(".\links\PREV-RHOD-CDS\TI_asb-220-PREV-RHOD-CDS.txt","Contig4873_6")</f>
        <v>Contig4873_6</v>
      </c>
      <c r="BY129" s="6">
        <v>5.0000000000000001E-3</v>
      </c>
      <c r="BZ129" t="s">
        <v>1456</v>
      </c>
      <c r="CA129">
        <v>42.1</v>
      </c>
      <c r="CB129">
        <v>20</v>
      </c>
      <c r="CC129">
        <v>672</v>
      </c>
      <c r="CD129">
        <v>100</v>
      </c>
      <c r="CE129">
        <v>3</v>
      </c>
      <c r="CF129">
        <v>0</v>
      </c>
      <c r="CG129">
        <v>0</v>
      </c>
      <c r="CH129">
        <v>426</v>
      </c>
      <c r="CI129">
        <v>192</v>
      </c>
      <c r="CJ129">
        <v>1</v>
      </c>
      <c r="CK129" t="s">
        <v>54</v>
      </c>
      <c r="CL129" t="s">
        <v>1457</v>
      </c>
      <c r="CM129">
        <f>HYPERLINK(".\links\GO\TI_asb-220-GO.txt",2.3)</f>
        <v>2.2999999999999998</v>
      </c>
      <c r="CN129" t="s">
        <v>58</v>
      </c>
      <c r="CO129" t="s">
        <v>58</v>
      </c>
      <c r="CQ129" t="s">
        <v>59</v>
      </c>
      <c r="CR129" s="6">
        <v>3.9</v>
      </c>
      <c r="CS129" t="s">
        <v>60</v>
      </c>
      <c r="CT129" t="s">
        <v>60</v>
      </c>
      <c r="CV129" t="s">
        <v>61</v>
      </c>
      <c r="CW129" s="6">
        <v>3.9</v>
      </c>
      <c r="CX129" t="s">
        <v>1458</v>
      </c>
      <c r="CY129" t="s">
        <v>58</v>
      </c>
      <c r="DA129" t="s">
        <v>1459</v>
      </c>
      <c r="DB129" s="6">
        <v>3.9</v>
      </c>
      <c r="DC129" t="str">
        <f>HYPERLINK(".\links\CDD\TI_asb-220-CDD.txt","RdRP_1")</f>
        <v>RdRP_1</v>
      </c>
      <c r="DD129" t="str">
        <f>HYPERLINK("http://www.ncbi.nlm.nih.gov/Structure/cdd/cddsrv.cgi?uid=pfam00680&amp;version=v4.0","3E-008")</f>
        <v>3E-008</v>
      </c>
      <c r="DE129" t="s">
        <v>1460</v>
      </c>
      <c r="DF129" t="str">
        <f>HYPERLINK(".\links\PFAM\TI_asb-220-PFAM.txt","RdRP_1")</f>
        <v>RdRP_1</v>
      </c>
      <c r="DG129" t="str">
        <f>HYPERLINK("http://pfam.sanger.ac.uk/family?acc=PF00680","1E-007")</f>
        <v>1E-007</v>
      </c>
      <c r="DH129" t="s">
        <v>56</v>
      </c>
      <c r="DI129" s="6" t="s">
        <v>56</v>
      </c>
      <c r="DJ129" s="6" t="s">
        <v>56</v>
      </c>
      <c r="DN129" t="str">
        <f>HYPERLINK(".\links\SMART\TI_asb-220-SMART.txt","CH")</f>
        <v>CH</v>
      </c>
      <c r="DO129" t="str">
        <f>HYPERLINK("http://smart.embl-heidelberg.de/smart/do_annotation.pl?DOMAIN=CH&amp;BLAST=DUMMY","0.091")</f>
        <v>0.091</v>
      </c>
      <c r="DP129" s="3" t="s">
        <v>56</v>
      </c>
      <c r="ED129" s="3" t="s">
        <v>56</v>
      </c>
    </row>
    <row r="130" spans="1:147">
      <c r="A130" t="str">
        <f>HYPERLINK(".\links\seq\TI_asb-223-seq.txt","TI_asb-223")</f>
        <v>TI_asb-223</v>
      </c>
      <c r="B130">
        <v>223</v>
      </c>
      <c r="C130" t="str">
        <f>HYPERLINK(".\links\tsa\TI_asb-223-tsa.txt","1")</f>
        <v>1</v>
      </c>
      <c r="D130">
        <v>1</v>
      </c>
      <c r="E130">
        <v>925</v>
      </c>
      <c r="F130">
        <v>898</v>
      </c>
      <c r="G130" t="str">
        <f>HYPERLINK(".\links\qual\TI_asb-223-qual.txt","44")</f>
        <v>44</v>
      </c>
      <c r="H130">
        <v>1</v>
      </c>
      <c r="I130">
        <v>0</v>
      </c>
      <c r="J130">
        <f t="shared" si="6"/>
        <v>1</v>
      </c>
      <c r="K130" s="6">
        <f t="shared" si="7"/>
        <v>1</v>
      </c>
      <c r="L130" s="6" t="s">
        <v>3868</v>
      </c>
      <c r="M130" s="6" t="s">
        <v>3869</v>
      </c>
      <c r="N130" s="6"/>
      <c r="O130" s="6"/>
      <c r="P130" s="6"/>
      <c r="Q130" s="3">
        <v>925</v>
      </c>
      <c r="R130" s="3">
        <v>144</v>
      </c>
      <c r="S130" s="3" t="s">
        <v>3609</v>
      </c>
      <c r="T130" s="3">
        <v>5</v>
      </c>
      <c r="U130" t="str">
        <f>HYPERLINK(".\links\NR-LIGHT\TI_asb-223-NR-LIGHT.txt","conserved Plasmodium membrane protein, unknown function")</f>
        <v>conserved Plasmodium membrane protein, unknown function</v>
      </c>
      <c r="V130" t="str">
        <f>HYPERLINK("http://www.ncbi.nlm.nih.gov/sutils/blink.cgi?pid=296005062","4.4")</f>
        <v>4.4</v>
      </c>
      <c r="W130" t="str">
        <f>HYPERLINK(".\links\NR-LIGHT\TI_asb-223-NR-LIGHT.txt"," 2")</f>
        <v xml:space="preserve"> 2</v>
      </c>
      <c r="X130" t="str">
        <f>HYPERLINK("http://www.ncbi.nlm.nih.gov/protein/296005062","gi|296005062")</f>
        <v>gi|296005062</v>
      </c>
      <c r="Y130">
        <v>34.700000000000003</v>
      </c>
      <c r="Z130">
        <v>90</v>
      </c>
      <c r="AA130">
        <v>1405</v>
      </c>
      <c r="AB130">
        <v>33</v>
      </c>
      <c r="AC130">
        <v>6</v>
      </c>
      <c r="AD130">
        <v>60</v>
      </c>
      <c r="AE130">
        <v>3</v>
      </c>
      <c r="AF130">
        <v>1276</v>
      </c>
      <c r="AG130">
        <v>5</v>
      </c>
      <c r="AH130">
        <v>1</v>
      </c>
      <c r="AI130">
        <v>2</v>
      </c>
      <c r="AJ130" t="s">
        <v>53</v>
      </c>
      <c r="AK130" t="s">
        <v>54</v>
      </c>
      <c r="AL130" t="s">
        <v>294</v>
      </c>
      <c r="AM130" t="s">
        <v>56</v>
      </c>
      <c r="AN130" s="19" t="s">
        <v>56</v>
      </c>
      <c r="AO130" t="s">
        <v>56</v>
      </c>
      <c r="AP130" t="s">
        <v>56</v>
      </c>
      <c r="AQ130" t="s">
        <v>56</v>
      </c>
      <c r="AR130" t="s">
        <v>56</v>
      </c>
      <c r="AS130" t="s">
        <v>56</v>
      </c>
      <c r="AT130" t="s">
        <v>56</v>
      </c>
      <c r="AU130" t="s">
        <v>56</v>
      </c>
      <c r="AV130" t="s">
        <v>56</v>
      </c>
      <c r="AW130" t="s">
        <v>56</v>
      </c>
      <c r="AX130" t="s">
        <v>56</v>
      </c>
      <c r="AY130" t="s">
        <v>56</v>
      </c>
      <c r="AZ130" t="s">
        <v>56</v>
      </c>
      <c r="BA130" t="s">
        <v>56</v>
      </c>
      <c r="BB130" t="s">
        <v>56</v>
      </c>
      <c r="BC130" t="s">
        <v>56</v>
      </c>
      <c r="BD130" t="s">
        <v>56</v>
      </c>
      <c r="BE130" t="s">
        <v>56</v>
      </c>
      <c r="BF130" t="s">
        <v>56</v>
      </c>
      <c r="BG130" t="str">
        <f>HYPERLINK(".\links\PREV-RHOD-PEP\TI_asb-223-PREV-RHOD-PEP.txt","Contig17619_51")</f>
        <v>Contig17619_51</v>
      </c>
      <c r="BH130" s="6">
        <v>8.9</v>
      </c>
      <c r="BI130" t="str">
        <f>HYPERLINK(".\links\PREV-RHOD-PEP\TI_asb-223-PREV-RHOD-PEP.txt"," 1")</f>
        <v xml:space="preserve"> 1</v>
      </c>
      <c r="BJ130" t="s">
        <v>1461</v>
      </c>
      <c r="BK130">
        <v>27.3</v>
      </c>
      <c r="BL130">
        <v>89</v>
      </c>
      <c r="BM130">
        <v>236</v>
      </c>
      <c r="BN130">
        <v>28</v>
      </c>
      <c r="BO130">
        <v>38</v>
      </c>
      <c r="BP130">
        <v>64</v>
      </c>
      <c r="BQ130">
        <v>2</v>
      </c>
      <c r="BR130">
        <v>154</v>
      </c>
      <c r="BS130">
        <v>391</v>
      </c>
      <c r="BT130">
        <v>1</v>
      </c>
      <c r="BU130" t="s">
        <v>64</v>
      </c>
      <c r="BV130" t="s">
        <v>1462</v>
      </c>
      <c r="BW130" t="s">
        <v>56</v>
      </c>
      <c r="BX130" t="str">
        <f>HYPERLINK(".\links\PREV-RHOD-CDS\TI_asb-223-PREV-RHOD-CDS.txt","Contig17908_116")</f>
        <v>Contig17908_116</v>
      </c>
      <c r="BY130" s="6">
        <v>2.9000000000000001E-2</v>
      </c>
      <c r="BZ130" t="s">
        <v>1463</v>
      </c>
      <c r="CA130">
        <v>40.1</v>
      </c>
      <c r="CB130">
        <v>19</v>
      </c>
      <c r="CC130">
        <v>249</v>
      </c>
      <c r="CD130">
        <v>100</v>
      </c>
      <c r="CE130">
        <v>8</v>
      </c>
      <c r="CF130">
        <v>0</v>
      </c>
      <c r="CG130">
        <v>0</v>
      </c>
      <c r="CH130">
        <v>173</v>
      </c>
      <c r="CI130">
        <v>766</v>
      </c>
      <c r="CJ130">
        <v>1</v>
      </c>
      <c r="CK130" t="s">
        <v>54</v>
      </c>
      <c r="CL130" t="s">
        <v>56</v>
      </c>
      <c r="CM130" t="s">
        <v>56</v>
      </c>
      <c r="CN130" t="s">
        <v>56</v>
      </c>
      <c r="CO130" t="s">
        <v>56</v>
      </c>
      <c r="CP130" t="s">
        <v>56</v>
      </c>
      <c r="CQ130" t="s">
        <v>56</v>
      </c>
      <c r="CR130" s="6" t="s">
        <v>56</v>
      </c>
      <c r="CS130" t="s">
        <v>56</v>
      </c>
      <c r="CT130" t="s">
        <v>56</v>
      </c>
      <c r="CU130" t="s">
        <v>56</v>
      </c>
      <c r="CV130" t="s">
        <v>56</v>
      </c>
      <c r="CW130" s="6" t="s">
        <v>56</v>
      </c>
      <c r="CX130" t="s">
        <v>56</v>
      </c>
      <c r="CY130" t="s">
        <v>56</v>
      </c>
      <c r="CZ130" t="s">
        <v>56</v>
      </c>
      <c r="DA130" t="s">
        <v>56</v>
      </c>
      <c r="DB130" s="6" t="s">
        <v>56</v>
      </c>
      <c r="DC130" t="str">
        <f>HYPERLINK(".\links\CDD\TI_asb-223-CDD.txt","ND2")</f>
        <v>ND2</v>
      </c>
      <c r="DD130" t="str">
        <f>HYPERLINK("http://www.ncbi.nlm.nih.gov/Structure/cdd/cddsrv.cgi?uid=MTH00091&amp;version=v4.0","2E-005")</f>
        <v>2E-005</v>
      </c>
      <c r="DE130" t="s">
        <v>1464</v>
      </c>
      <c r="DF130" t="str">
        <f>HYPERLINK(".\links\PFAM\TI_asb-223-PFAM.txt","7TM_GPCR_Srz")</f>
        <v>7TM_GPCR_Srz</v>
      </c>
      <c r="DG130" t="str">
        <f>HYPERLINK("http://pfam.sanger.ac.uk/family?acc=PF10325","4E-005")</f>
        <v>4E-005</v>
      </c>
      <c r="DH130" t="str">
        <f>HYPERLINK(".\links\PRK\TI_asb-223-PRK.txt","NADH dehydrogenase subunit 2")</f>
        <v>NADH dehydrogenase subunit 2</v>
      </c>
      <c r="DI130" s="7">
        <v>9.9999999999999995E-8</v>
      </c>
      <c r="DJ130" s="6" t="s">
        <v>56</v>
      </c>
      <c r="DN130" t="str">
        <f>HYPERLINK(".\links\SMART\TI_asb-223-SMART.txt","PSN")</f>
        <v>PSN</v>
      </c>
      <c r="DO130" t="str">
        <f>HYPERLINK("http://smart.embl-heidelberg.de/smart/do_annotation.pl?DOMAIN=PSN&amp;BLAST=DUMMY","0.062")</f>
        <v>0.062</v>
      </c>
      <c r="DP130" s="3" t="s">
        <v>56</v>
      </c>
      <c r="ED130" s="3" t="s">
        <v>56</v>
      </c>
    </row>
    <row r="131" spans="1:147">
      <c r="A131" t="str">
        <f>HYPERLINK(".\links\seq\TI_asb-225-seq.txt","TI_asb-225")</f>
        <v>TI_asb-225</v>
      </c>
      <c r="B131">
        <v>225</v>
      </c>
      <c r="C131" t="str">
        <f>HYPERLINK(".\links\tsa\TI_asb-225-tsa.txt","1")</f>
        <v>1</v>
      </c>
      <c r="D131">
        <v>1</v>
      </c>
      <c r="E131">
        <v>1013</v>
      </c>
      <c r="G131" t="str">
        <f>HYPERLINK(".\links\qual\TI_asb-225-qual.txt","36")</f>
        <v>36</v>
      </c>
      <c r="H131">
        <v>0</v>
      </c>
      <c r="I131">
        <v>1</v>
      </c>
      <c r="J131">
        <f t="shared" si="6"/>
        <v>1</v>
      </c>
      <c r="K131" s="6">
        <f t="shared" si="7"/>
        <v>-1</v>
      </c>
      <c r="L131" s="6" t="s">
        <v>3974</v>
      </c>
      <c r="M131" s="6" t="s">
        <v>3912</v>
      </c>
      <c r="N131" s="6" t="s">
        <v>3872</v>
      </c>
      <c r="O131" s="7">
        <v>1E-51</v>
      </c>
      <c r="P131" s="6">
        <v>78.400000000000006</v>
      </c>
      <c r="Q131" s="3">
        <v>1013</v>
      </c>
      <c r="R131" s="3">
        <v>609</v>
      </c>
      <c r="S131" s="3" t="s">
        <v>3610</v>
      </c>
      <c r="T131" s="3">
        <v>1</v>
      </c>
      <c r="U131" t="str">
        <f>HYPERLINK(".\links\NR-LIGHT\TI_asb-225-NR-LIGHT.txt","glutamate")</f>
        <v>glutamate</v>
      </c>
      <c r="V131" t="str">
        <f>HYPERLINK("http://www.ncbi.nlm.nih.gov/sutils/blink.cgi?pid=290560657","5E-059")</f>
        <v>5E-059</v>
      </c>
      <c r="W131" t="str">
        <f>HYPERLINK(".\links\NR-LIGHT\TI_asb-225-NR-LIGHT.txt"," 10")</f>
        <v xml:space="preserve"> 10</v>
      </c>
      <c r="X131" t="str">
        <f>HYPERLINK("http://www.ncbi.nlm.nih.gov/protein/290560657","gi|290560657")</f>
        <v>gi|290560657</v>
      </c>
      <c r="Y131">
        <v>230</v>
      </c>
      <c r="Z131">
        <v>203</v>
      </c>
      <c r="AA131">
        <v>315</v>
      </c>
      <c r="AB131">
        <v>57</v>
      </c>
      <c r="AC131">
        <v>64</v>
      </c>
      <c r="AD131">
        <v>87</v>
      </c>
      <c r="AE131">
        <v>0</v>
      </c>
      <c r="AF131">
        <v>114</v>
      </c>
      <c r="AG131">
        <v>1</v>
      </c>
      <c r="AH131">
        <v>1</v>
      </c>
      <c r="AI131">
        <v>1</v>
      </c>
      <c r="AJ131" t="s">
        <v>53</v>
      </c>
      <c r="AK131" t="s">
        <v>54</v>
      </c>
      <c r="AL131" t="s">
        <v>279</v>
      </c>
      <c r="AM131" t="str">
        <f>HYPERLINK(".\links\SWISSP\TI_asb-225-SWISSP.txt","Glutamate")</f>
        <v>Glutamate</v>
      </c>
      <c r="AN131" s="19" t="str">
        <f>HYPERLINK("http://www.uniprot.org/uniprot/Q6P6R0","4E-033")</f>
        <v>4E-033</v>
      </c>
      <c r="AO131" t="str">
        <f>HYPERLINK(".\links\SWISSP\TI_asb-225-SWISSP.txt"," 10")</f>
        <v xml:space="preserve"> 10</v>
      </c>
      <c r="AP131" t="s">
        <v>1472</v>
      </c>
      <c r="AQ131">
        <v>142</v>
      </c>
      <c r="AR131">
        <v>198</v>
      </c>
      <c r="AS131">
        <v>348</v>
      </c>
      <c r="AT131">
        <v>37</v>
      </c>
      <c r="AU131">
        <v>57</v>
      </c>
      <c r="AV131">
        <v>123</v>
      </c>
      <c r="AW131">
        <v>0</v>
      </c>
      <c r="AX131">
        <v>150</v>
      </c>
      <c r="AY131">
        <v>7</v>
      </c>
      <c r="AZ131">
        <v>1</v>
      </c>
      <c r="BA131">
        <v>1</v>
      </c>
      <c r="BB131" t="s">
        <v>53</v>
      </c>
      <c r="BC131" t="s">
        <v>54</v>
      </c>
      <c r="BD131" t="s">
        <v>122</v>
      </c>
      <c r="BE131" t="s">
        <v>1473</v>
      </c>
      <c r="BF131" t="s">
        <v>1474</v>
      </c>
      <c r="BG131" t="str">
        <f>HYPERLINK(".\links\PREV-RHOD-PEP\TI_asb-225-PREV-RHOD-PEP.txt","Contig17372_7")</f>
        <v>Contig17372_7</v>
      </c>
      <c r="BH131" s="7">
        <v>1E-26</v>
      </c>
      <c r="BI131" t="str">
        <f>HYPERLINK(".\links\PREV-RHOD-PEP\TI_asb-225-PREV-RHOD-PEP.txt"," 4")</f>
        <v xml:space="preserve"> 4</v>
      </c>
      <c r="BJ131" t="s">
        <v>1475</v>
      </c>
      <c r="BK131">
        <v>117</v>
      </c>
      <c r="BL131">
        <v>167</v>
      </c>
      <c r="BM131">
        <v>244</v>
      </c>
      <c r="BN131">
        <v>38</v>
      </c>
      <c r="BO131">
        <v>68</v>
      </c>
      <c r="BP131">
        <v>102</v>
      </c>
      <c r="BQ131">
        <v>0</v>
      </c>
      <c r="BR131">
        <v>78</v>
      </c>
      <c r="BS131">
        <v>91</v>
      </c>
      <c r="BT131">
        <v>1</v>
      </c>
      <c r="BU131" t="s">
        <v>54</v>
      </c>
      <c r="BV131" t="s">
        <v>1476</v>
      </c>
      <c r="BW131" t="s">
        <v>56</v>
      </c>
      <c r="BX131" t="str">
        <f>HYPERLINK(".\links\PREV-RHOD-CDS\TI_asb-225-PREV-RHOD-CDS.txt","Contig17930_146")</f>
        <v>Contig17930_146</v>
      </c>
      <c r="BY131" s="6">
        <v>0.5</v>
      </c>
      <c r="BZ131" t="s">
        <v>1477</v>
      </c>
      <c r="CA131">
        <v>36.200000000000003</v>
      </c>
      <c r="CB131">
        <v>17</v>
      </c>
      <c r="CC131">
        <v>1356</v>
      </c>
      <c r="CD131">
        <v>100</v>
      </c>
      <c r="CE131">
        <v>1</v>
      </c>
      <c r="CF131">
        <v>0</v>
      </c>
      <c r="CG131">
        <v>0</v>
      </c>
      <c r="CH131">
        <v>1303</v>
      </c>
      <c r="CI131">
        <v>397</v>
      </c>
      <c r="CJ131">
        <v>1</v>
      </c>
      <c r="CK131" t="s">
        <v>54</v>
      </c>
      <c r="CL131" t="s">
        <v>1478</v>
      </c>
      <c r="CM131">
        <f>HYPERLINK(".\links\GO\TI_asb-225-GO.txt",4E-58)</f>
        <v>4.0000000000000001E-58</v>
      </c>
      <c r="CN131" t="s">
        <v>58</v>
      </c>
      <c r="CO131" t="s">
        <v>58</v>
      </c>
      <c r="CQ131" t="s">
        <v>59</v>
      </c>
      <c r="CR131" s="7">
        <v>2E-35</v>
      </c>
      <c r="CS131" t="s">
        <v>60</v>
      </c>
      <c r="CT131" t="s">
        <v>60</v>
      </c>
      <c r="CV131" t="s">
        <v>61</v>
      </c>
      <c r="CW131" s="7">
        <v>2E-35</v>
      </c>
      <c r="CX131" t="s">
        <v>62</v>
      </c>
      <c r="CY131" t="s">
        <v>58</v>
      </c>
      <c r="DA131" t="s">
        <v>63</v>
      </c>
      <c r="DB131" s="7">
        <v>2E-35</v>
      </c>
      <c r="DC131" t="str">
        <f>HYPERLINK(".\links\CDD\TI_asb-225-CDD.txt","COG0670")</f>
        <v>COG0670</v>
      </c>
      <c r="DD131" t="str">
        <f>HYPERLINK("http://www.ncbi.nlm.nih.gov/Structure/cdd/cddsrv.cgi?uid=COG0670&amp;version=v4.0","4E-030")</f>
        <v>4E-030</v>
      </c>
      <c r="DE131" t="s">
        <v>1479</v>
      </c>
      <c r="DF131" t="str">
        <f>HYPERLINK(".\links\PFAM\TI_asb-225-PFAM.txt","UPF0005")</f>
        <v>UPF0005</v>
      </c>
      <c r="DG131" t="str">
        <f>HYPERLINK("http://pfam.sanger.ac.uk/family?acc=PF01027","2E-031")</f>
        <v>2E-031</v>
      </c>
      <c r="DH131" t="str">
        <f>HYPERLINK(".\links\PRK\TI_asb-225-PRK.txt","HflBKC-binding inner membrane protein")</f>
        <v>HflBKC-binding inner membrane protein</v>
      </c>
      <c r="DI131" s="7">
        <v>2E-8</v>
      </c>
      <c r="DJ131" s="6" t="str">
        <f>HYPERLINK(".\links\KOG\TI_asb-225-KOG.txt","N-methyl-D-aspartate receptor glutamate-binding subunit")</f>
        <v>N-methyl-D-aspartate receptor glutamate-binding subunit</v>
      </c>
      <c r="DK131" s="6" t="str">
        <f>HYPERLINK("http://www.ncbi.nlm.nih.gov/COG/grace/shokog.cgi?KOG2322","1E-051")</f>
        <v>1E-051</v>
      </c>
      <c r="DL131" s="6" t="s">
        <v>4342</v>
      </c>
      <c r="DM131" s="6" t="str">
        <f>HYPERLINK(".\links\KOG\TI_asb-225-KOG.txt","KOG2322")</f>
        <v>KOG2322</v>
      </c>
      <c r="DN131" t="str">
        <f>HYPERLINK(".\links\SMART\TI_asb-225-SMART.txt","VKc")</f>
        <v>VKc</v>
      </c>
      <c r="DO131" t="str">
        <f>HYPERLINK("http://smart.embl-heidelberg.de/smart/do_annotation.pl?DOMAIN=VKc&amp;BLAST=DUMMY","0.010")</f>
        <v>0.010</v>
      </c>
      <c r="DP131" s="3" t="s">
        <v>56</v>
      </c>
      <c r="ED131" s="3" t="s">
        <v>56</v>
      </c>
    </row>
    <row r="132" spans="1:147">
      <c r="A132" t="str">
        <f>HYPERLINK(".\links\seq\TI_asb-227-seq.txt","TI_asb-227")</f>
        <v>TI_asb-227</v>
      </c>
      <c r="B132">
        <v>227</v>
      </c>
      <c r="C132" t="str">
        <f>HYPERLINK(".\links\tsa\TI_asb-227-tsa.txt","1")</f>
        <v>1</v>
      </c>
      <c r="D132">
        <v>1</v>
      </c>
      <c r="E132">
        <v>431</v>
      </c>
      <c r="G132" t="str">
        <f>HYPERLINK(".\links\qual\TI_asb-227-qual.txt","24")</f>
        <v>24</v>
      </c>
      <c r="H132">
        <v>1</v>
      </c>
      <c r="I132">
        <v>0</v>
      </c>
      <c r="J132">
        <f t="shared" si="6"/>
        <v>1</v>
      </c>
      <c r="K132" s="6">
        <f t="shared" si="7"/>
        <v>1</v>
      </c>
      <c r="L132" s="6" t="s">
        <v>3975</v>
      </c>
      <c r="M132" s="6" t="s">
        <v>3976</v>
      </c>
      <c r="N132" s="6" t="s">
        <v>3909</v>
      </c>
      <c r="O132" s="7">
        <v>6.9999999999999997E-32</v>
      </c>
      <c r="P132" s="6">
        <v>100.8</v>
      </c>
      <c r="Q132" s="3">
        <v>431</v>
      </c>
      <c r="R132" s="3">
        <v>426</v>
      </c>
      <c r="S132" s="3" t="s">
        <v>3611</v>
      </c>
      <c r="T132" s="3">
        <v>2</v>
      </c>
      <c r="U132" t="str">
        <f>HYPERLINK(".\links\NR-LIGHT\TI_asb-227-NR-LIGHT.txt","lysozyme 2")</f>
        <v>lysozyme 2</v>
      </c>
      <c r="V132" t="str">
        <f>HYPERLINK("http://www.ncbi.nlm.nih.gov/sutils/blink.cgi?pid=115338587","4E-071")</f>
        <v>4E-071</v>
      </c>
      <c r="W132" t="str">
        <f>HYPERLINK(".\links\NR-LIGHT\TI_asb-227-NR-LIGHT.txt"," 10")</f>
        <v xml:space="preserve"> 10</v>
      </c>
      <c r="X132" t="str">
        <f>HYPERLINK("http://www.ncbi.nlm.nih.gov/protein/115338587","gi|115338587")</f>
        <v>gi|115338587</v>
      </c>
      <c r="Y132">
        <v>268</v>
      </c>
      <c r="Z132">
        <v>139</v>
      </c>
      <c r="AA132">
        <v>139</v>
      </c>
      <c r="AB132">
        <v>89</v>
      </c>
      <c r="AC132">
        <v>100</v>
      </c>
      <c r="AD132">
        <v>15</v>
      </c>
      <c r="AE132">
        <v>0</v>
      </c>
      <c r="AF132">
        <v>1</v>
      </c>
      <c r="AG132">
        <v>11</v>
      </c>
      <c r="AH132">
        <v>1</v>
      </c>
      <c r="AI132">
        <v>2</v>
      </c>
      <c r="AJ132" t="s">
        <v>53</v>
      </c>
      <c r="AK132" t="s">
        <v>54</v>
      </c>
      <c r="AL132" t="s">
        <v>55</v>
      </c>
      <c r="AM132" t="str">
        <f>HYPERLINK(".\links\SWISSP\TI_asb-227-SWISSP.txt","Lysozyme c-1 OS=Anopheles gambiae GN=AGAP007347 PE=2 SV=2")</f>
        <v>Lysozyme c-1 OS=Anopheles gambiae GN=AGAP007347 PE=2 SV=2</v>
      </c>
      <c r="AN132" s="19" t="str">
        <f>HYPERLINK("http://www.uniprot.org/uniprot/Q17005","1E-027")</f>
        <v>1E-027</v>
      </c>
      <c r="AO132" t="str">
        <f>HYPERLINK(".\links\SWISSP\TI_asb-227-SWISSP.txt"," 10")</f>
        <v xml:space="preserve"> 10</v>
      </c>
      <c r="AP132" t="s">
        <v>1480</v>
      </c>
      <c r="AQ132">
        <v>121</v>
      </c>
      <c r="AR132">
        <v>135</v>
      </c>
      <c r="AS132">
        <v>140</v>
      </c>
      <c r="AT132">
        <v>41</v>
      </c>
      <c r="AU132">
        <v>96</v>
      </c>
      <c r="AV132">
        <v>79</v>
      </c>
      <c r="AW132">
        <v>0</v>
      </c>
      <c r="AX132">
        <v>7</v>
      </c>
      <c r="AY132">
        <v>23</v>
      </c>
      <c r="AZ132">
        <v>1</v>
      </c>
      <c r="BA132">
        <v>2</v>
      </c>
      <c r="BB132" t="s">
        <v>53</v>
      </c>
      <c r="BC132" t="s">
        <v>54</v>
      </c>
      <c r="BD132" t="s">
        <v>81</v>
      </c>
      <c r="BE132" t="s">
        <v>1481</v>
      </c>
      <c r="BF132" t="s">
        <v>1482</v>
      </c>
      <c r="BG132" t="str">
        <f>HYPERLINK(".\links\PREV-RHOD-PEP\TI_asb-227-PREV-RHOD-PEP.txt","Contig17801_61")</f>
        <v>Contig17801_61</v>
      </c>
      <c r="BH132" s="7">
        <v>6.9999999999999999E-43</v>
      </c>
      <c r="BI132" t="str">
        <f>HYPERLINK(".\links\PREV-RHOD-PEP\TI_asb-227-PREV-RHOD-PEP.txt"," 10")</f>
        <v xml:space="preserve"> 10</v>
      </c>
      <c r="BJ132" t="s">
        <v>1483</v>
      </c>
      <c r="BK132">
        <v>168</v>
      </c>
      <c r="BL132">
        <v>139</v>
      </c>
      <c r="BM132">
        <v>687</v>
      </c>
      <c r="BN132">
        <v>54</v>
      </c>
      <c r="BO132">
        <v>20</v>
      </c>
      <c r="BP132">
        <v>63</v>
      </c>
      <c r="BQ132">
        <v>0</v>
      </c>
      <c r="BR132">
        <v>1</v>
      </c>
      <c r="BS132">
        <v>11</v>
      </c>
      <c r="BT132">
        <v>2</v>
      </c>
      <c r="BU132" t="s">
        <v>54</v>
      </c>
      <c r="BV132" t="s">
        <v>1484</v>
      </c>
      <c r="BW132" t="s">
        <v>56</v>
      </c>
      <c r="BX132" t="str">
        <f>HYPERLINK(".\links\PREV-RHOD-CDS\TI_asb-227-PREV-RHOD-CDS.txt","Contig17546_7")</f>
        <v>Contig17546_7</v>
      </c>
      <c r="BY132" s="6">
        <v>0.21</v>
      </c>
      <c r="BZ132" t="s">
        <v>1485</v>
      </c>
      <c r="CA132">
        <v>36.200000000000003</v>
      </c>
      <c r="CB132">
        <v>17</v>
      </c>
      <c r="CC132">
        <v>906</v>
      </c>
      <c r="CD132">
        <v>100</v>
      </c>
      <c r="CE132">
        <v>2</v>
      </c>
      <c r="CF132">
        <v>0</v>
      </c>
      <c r="CG132">
        <v>0</v>
      </c>
      <c r="CH132">
        <v>107</v>
      </c>
      <c r="CI132">
        <v>192</v>
      </c>
      <c r="CJ132">
        <v>1</v>
      </c>
      <c r="CK132" t="s">
        <v>54</v>
      </c>
      <c r="CL132" t="s">
        <v>1486</v>
      </c>
      <c r="CM132">
        <f>HYPERLINK(".\links\GO\TI_asb-227-GO.txt",2E-24)</f>
        <v>1.9999999999999998E-24</v>
      </c>
      <c r="CN132" t="s">
        <v>1487</v>
      </c>
      <c r="CO132" t="s">
        <v>129</v>
      </c>
      <c r="CP132" t="s">
        <v>166</v>
      </c>
      <c r="CQ132" t="s">
        <v>1488</v>
      </c>
      <c r="CR132" s="7">
        <v>3.0000000000000003E-20</v>
      </c>
      <c r="CS132" t="s">
        <v>56</v>
      </c>
      <c r="CT132" t="s">
        <v>56</v>
      </c>
      <c r="CU132" t="s">
        <v>56</v>
      </c>
      <c r="CV132" t="s">
        <v>56</v>
      </c>
      <c r="CW132" s="6" t="s">
        <v>56</v>
      </c>
      <c r="CX132" t="s">
        <v>1489</v>
      </c>
      <c r="CY132" t="s">
        <v>129</v>
      </c>
      <c r="CZ132" t="s">
        <v>166</v>
      </c>
      <c r="DA132" t="s">
        <v>1490</v>
      </c>
      <c r="DB132" s="7">
        <v>3.0000000000000003E-20</v>
      </c>
      <c r="DC132" t="str">
        <f>HYPERLINK(".\links\CDD\TI_asb-227-CDD.txt","LYZ1")</f>
        <v>LYZ1</v>
      </c>
      <c r="DD132" t="str">
        <f>HYPERLINK("http://www.ncbi.nlm.nih.gov/Structure/cdd/cddsrv.cgi?uid=cd00119&amp;version=v4.0","7E-032")</f>
        <v>7E-032</v>
      </c>
      <c r="DE132" t="s">
        <v>1491</v>
      </c>
      <c r="DF132" t="str">
        <f>HYPERLINK(".\links\PFAM\TI_asb-227-PFAM.txt","Lys")</f>
        <v>Lys</v>
      </c>
      <c r="DG132" t="str">
        <f>HYPERLINK("http://pfam.sanger.ac.uk/family?acc=PF00062","3E-026")</f>
        <v>3E-026</v>
      </c>
      <c r="DH132" t="s">
        <v>56</v>
      </c>
      <c r="DI132" s="6" t="s">
        <v>56</v>
      </c>
      <c r="DJ132" s="6" t="s">
        <v>56</v>
      </c>
      <c r="DN132" t="str">
        <f>HYPERLINK(".\links\SMART\TI_asb-227-SMART.txt","LYZ1")</f>
        <v>LYZ1</v>
      </c>
      <c r="DO132" t="str">
        <f>HYPERLINK("http://smart.embl-heidelberg.de/smart/do_annotation.pl?DOMAIN=LYZ1&amp;BLAST=DUMMY","2E-030")</f>
        <v>2E-030</v>
      </c>
      <c r="DP132" s="3" t="s">
        <v>56</v>
      </c>
      <c r="ED132" s="3" t="s">
        <v>56</v>
      </c>
    </row>
    <row r="133" spans="1:147">
      <c r="A133" t="str">
        <f>HYPERLINK(".\links\seq\TI_asb-228-seq.txt","TI_asb-228")</f>
        <v>TI_asb-228</v>
      </c>
      <c r="B133">
        <v>228</v>
      </c>
      <c r="C133" t="str">
        <f>HYPERLINK(".\links\tsa\TI_asb-228-tsa.txt","1")</f>
        <v>1</v>
      </c>
      <c r="D133">
        <v>1</v>
      </c>
      <c r="E133">
        <v>319</v>
      </c>
      <c r="G133" t="str">
        <f>HYPERLINK(".\links\qual\TI_asb-228-qual.txt","28")</f>
        <v>28</v>
      </c>
      <c r="H133">
        <v>1</v>
      </c>
      <c r="I133">
        <v>0</v>
      </c>
      <c r="J133">
        <f t="shared" si="6"/>
        <v>1</v>
      </c>
      <c r="K133" s="6">
        <f t="shared" si="7"/>
        <v>1</v>
      </c>
      <c r="L133" s="6" t="s">
        <v>3868</v>
      </c>
      <c r="M133" s="6" t="s">
        <v>3869</v>
      </c>
      <c r="N133" s="6"/>
      <c r="O133" s="6"/>
      <c r="P133" s="6"/>
      <c r="Q133" s="3">
        <v>319</v>
      </c>
      <c r="R133" s="3">
        <v>159</v>
      </c>
      <c r="S133" s="6" t="s">
        <v>3612</v>
      </c>
      <c r="T133" s="3">
        <v>4</v>
      </c>
      <c r="U133" t="s">
        <v>56</v>
      </c>
      <c r="V133" t="s">
        <v>56</v>
      </c>
      <c r="W133" t="s">
        <v>56</v>
      </c>
      <c r="X133" t="s">
        <v>56</v>
      </c>
      <c r="Y133" t="s">
        <v>56</v>
      </c>
      <c r="Z133" t="s">
        <v>56</v>
      </c>
      <c r="AA133" t="s">
        <v>56</v>
      </c>
      <c r="AB133" t="s">
        <v>56</v>
      </c>
      <c r="AC133" t="s">
        <v>56</v>
      </c>
      <c r="AD133" t="s">
        <v>56</v>
      </c>
      <c r="AE133" t="s">
        <v>56</v>
      </c>
      <c r="AF133" t="s">
        <v>56</v>
      </c>
      <c r="AG133" t="s">
        <v>56</v>
      </c>
      <c r="AH133" t="s">
        <v>56</v>
      </c>
      <c r="AI133" t="s">
        <v>56</v>
      </c>
      <c r="AJ133" t="s">
        <v>56</v>
      </c>
      <c r="AK133" t="s">
        <v>56</v>
      </c>
      <c r="AL133" t="s">
        <v>56</v>
      </c>
      <c r="AM133" t="s">
        <v>56</v>
      </c>
      <c r="AN133" s="19" t="s">
        <v>56</v>
      </c>
      <c r="AO133" t="s">
        <v>56</v>
      </c>
      <c r="AP133" t="s">
        <v>56</v>
      </c>
      <c r="AQ133" t="s">
        <v>56</v>
      </c>
      <c r="AR133" t="s">
        <v>56</v>
      </c>
      <c r="AS133" t="s">
        <v>56</v>
      </c>
      <c r="AT133" t="s">
        <v>56</v>
      </c>
      <c r="AU133" t="s">
        <v>56</v>
      </c>
      <c r="AV133" t="s">
        <v>56</v>
      </c>
      <c r="AW133" t="s">
        <v>56</v>
      </c>
      <c r="AX133" t="s">
        <v>56</v>
      </c>
      <c r="AY133" t="s">
        <v>56</v>
      </c>
      <c r="AZ133" t="s">
        <v>56</v>
      </c>
      <c r="BA133" t="s">
        <v>56</v>
      </c>
      <c r="BB133" t="s">
        <v>56</v>
      </c>
      <c r="BC133" t="s">
        <v>56</v>
      </c>
      <c r="BD133" t="s">
        <v>56</v>
      </c>
      <c r="BE133" t="s">
        <v>56</v>
      </c>
      <c r="BF133" t="s">
        <v>56</v>
      </c>
      <c r="BG133" t="str">
        <f>HYPERLINK(".\links\PREV-RHOD-PEP\TI_asb-228-PREV-RHOD-PEP.txt","Contig17934_11")</f>
        <v>Contig17934_11</v>
      </c>
      <c r="BH133" s="7">
        <v>5.0000000000000004E-6</v>
      </c>
      <c r="BI133" t="str">
        <f>HYPERLINK(".\links\PREV-RHOD-PEP\TI_asb-228-PREV-RHOD-PEP.txt"," 1")</f>
        <v xml:space="preserve"> 1</v>
      </c>
      <c r="BJ133" t="s">
        <v>1492</v>
      </c>
      <c r="BK133">
        <v>46.2</v>
      </c>
      <c r="BL133">
        <v>45</v>
      </c>
      <c r="BM133">
        <v>269</v>
      </c>
      <c r="BN133">
        <v>48</v>
      </c>
      <c r="BO133">
        <v>17</v>
      </c>
      <c r="BP133">
        <v>23</v>
      </c>
      <c r="BQ133">
        <v>0</v>
      </c>
      <c r="BR133">
        <v>223</v>
      </c>
      <c r="BS133">
        <v>4</v>
      </c>
      <c r="BT133">
        <v>1</v>
      </c>
      <c r="BU133" t="s">
        <v>54</v>
      </c>
      <c r="BV133" t="s">
        <v>1493</v>
      </c>
      <c r="BW133" t="s">
        <v>56</v>
      </c>
      <c r="BX133" t="str">
        <f>HYPERLINK(".\links\PREV-RHOD-CDS\TI_asb-228-PREV-RHOD-CDS.txt","Contig6977_5")</f>
        <v>Contig6977_5</v>
      </c>
      <c r="BY133" s="6">
        <v>0.15</v>
      </c>
      <c r="BZ133" t="s">
        <v>1494</v>
      </c>
      <c r="CA133">
        <v>36.200000000000003</v>
      </c>
      <c r="CB133">
        <v>17</v>
      </c>
      <c r="CC133">
        <v>2640</v>
      </c>
      <c r="CD133">
        <v>100</v>
      </c>
      <c r="CE133">
        <v>1</v>
      </c>
      <c r="CF133">
        <v>0</v>
      </c>
      <c r="CG133">
        <v>0</v>
      </c>
      <c r="CH133">
        <v>1733</v>
      </c>
      <c r="CI133">
        <v>71</v>
      </c>
      <c r="CJ133">
        <v>1</v>
      </c>
      <c r="CK133" t="s">
        <v>54</v>
      </c>
      <c r="CL133" t="s">
        <v>56</v>
      </c>
      <c r="CM133" t="s">
        <v>56</v>
      </c>
      <c r="CN133" t="s">
        <v>56</v>
      </c>
      <c r="CO133" t="s">
        <v>56</v>
      </c>
      <c r="CP133" t="s">
        <v>56</v>
      </c>
      <c r="CQ133" t="s">
        <v>56</v>
      </c>
      <c r="CR133" s="6" t="s">
        <v>56</v>
      </c>
      <c r="CS133" t="s">
        <v>56</v>
      </c>
      <c r="CT133" t="s">
        <v>56</v>
      </c>
      <c r="CU133" t="s">
        <v>56</v>
      </c>
      <c r="CV133" t="s">
        <v>56</v>
      </c>
      <c r="CW133" s="6" t="s">
        <v>56</v>
      </c>
      <c r="CX133" t="s">
        <v>56</v>
      </c>
      <c r="CY133" t="s">
        <v>56</v>
      </c>
      <c r="CZ133" t="s">
        <v>56</v>
      </c>
      <c r="DA133" t="s">
        <v>56</v>
      </c>
      <c r="DB133" s="6" t="s">
        <v>56</v>
      </c>
      <c r="DC133" t="s">
        <v>56</v>
      </c>
      <c r="DD133" t="s">
        <v>56</v>
      </c>
      <c r="DE133" t="s">
        <v>56</v>
      </c>
      <c r="DF133" t="s">
        <v>56</v>
      </c>
      <c r="DG133" t="s">
        <v>56</v>
      </c>
      <c r="DH133" t="str">
        <f>HYPERLINK(".\links\PRK\TI_asb-228-PRK.txt","NADH dehydrogenase subunit 5")</f>
        <v>NADH dehydrogenase subunit 5</v>
      </c>
      <c r="DI133" s="6">
        <v>4.0000000000000001E-3</v>
      </c>
      <c r="DJ133" s="6" t="s">
        <v>56</v>
      </c>
      <c r="DN133" t="s">
        <v>56</v>
      </c>
      <c r="DO133" t="s">
        <v>56</v>
      </c>
      <c r="DP133" s="3" t="s">
        <v>56</v>
      </c>
      <c r="ED133" s="3" t="s">
        <v>56</v>
      </c>
    </row>
    <row r="134" spans="1:147">
      <c r="A134" t="str">
        <f>HYPERLINK(".\links\seq\TI_asb-230-seq.txt","TI_asb-230")</f>
        <v>TI_asb-230</v>
      </c>
      <c r="B134">
        <v>230</v>
      </c>
      <c r="C134" t="str">
        <f>HYPERLINK(".\links\tsa\TI_asb-230-tsa.txt","2")</f>
        <v>2</v>
      </c>
      <c r="D134">
        <v>2</v>
      </c>
      <c r="E134">
        <v>634</v>
      </c>
      <c r="G134" t="str">
        <f>HYPERLINK(".\links\qual\TI_asb-230-qual.txt","72")</f>
        <v>72</v>
      </c>
      <c r="H134">
        <v>2</v>
      </c>
      <c r="I134">
        <v>0</v>
      </c>
      <c r="J134">
        <f t="shared" si="6"/>
        <v>2</v>
      </c>
      <c r="K134" s="6">
        <f t="shared" si="7"/>
        <v>2</v>
      </c>
      <c r="L134" s="6" t="s">
        <v>3977</v>
      </c>
      <c r="M134" s="6" t="s">
        <v>3978</v>
      </c>
      <c r="N134" s="6" t="s">
        <v>3864</v>
      </c>
      <c r="O134" s="7">
        <v>9.0000000000000002E-90</v>
      </c>
      <c r="P134" s="6">
        <v>49.7</v>
      </c>
      <c r="Q134" s="3">
        <v>634</v>
      </c>
      <c r="R134" s="3">
        <v>600</v>
      </c>
      <c r="S134" s="3" t="s">
        <v>3613</v>
      </c>
      <c r="T134" s="3">
        <v>3</v>
      </c>
      <c r="U134" t="str">
        <f>HYPERLINK(".\links\NR-LIGHT\TI_asb-230-NR-LIGHT.txt","infestin 1-7 precursor")</f>
        <v>infestin 1-7 precursor</v>
      </c>
      <c r="V134" t="str">
        <f>HYPERLINK("http://www.ncbi.nlm.nih.gov/sutils/blink.cgi?pid=83637828","1E-121")</f>
        <v>1E-121</v>
      </c>
      <c r="W134" t="str">
        <f>HYPERLINK(".\links\NR-LIGHT\TI_asb-230-NR-LIGHT.txt"," 10")</f>
        <v xml:space="preserve"> 10</v>
      </c>
      <c r="X134" t="str">
        <f>HYPERLINK("http://www.ncbi.nlm.nih.gov/protein/83637828","gi|83637828")</f>
        <v>gi|83637828</v>
      </c>
      <c r="Y134">
        <v>434</v>
      </c>
      <c r="Z134">
        <v>200</v>
      </c>
      <c r="AA134">
        <v>409</v>
      </c>
      <c r="AB134">
        <v>98</v>
      </c>
      <c r="AC134">
        <v>49</v>
      </c>
      <c r="AD134">
        <v>3</v>
      </c>
      <c r="AE134">
        <v>0</v>
      </c>
      <c r="AF134">
        <v>1</v>
      </c>
      <c r="AG134">
        <v>33</v>
      </c>
      <c r="AH134">
        <v>4</v>
      </c>
      <c r="AI134">
        <v>3</v>
      </c>
      <c r="AJ134" t="s">
        <v>53</v>
      </c>
      <c r="AK134" t="s">
        <v>54</v>
      </c>
      <c r="AL134" t="s">
        <v>55</v>
      </c>
      <c r="AM134" t="str">
        <f>HYPERLINK(".\links\SWISSP\TI_asb-230-SWISSP.txt","Serine protease inhibitor dipetalogastin (Fragment) OS=Dipetalogaster maximus")</f>
        <v>Serine protease inhibitor dipetalogastin (Fragment) OS=Dipetalogaster maximus</v>
      </c>
      <c r="AN134" s="19" t="str">
        <f>HYPERLINK("http://www.uniprot.org/uniprot/O96790","1E-059")</f>
        <v>1E-059</v>
      </c>
      <c r="AO134" t="str">
        <f>HYPERLINK(".\links\SWISSP\TI_asb-230-SWISSP.txt"," 10")</f>
        <v xml:space="preserve"> 10</v>
      </c>
      <c r="AP134" t="s">
        <v>1495</v>
      </c>
      <c r="AQ134">
        <v>229</v>
      </c>
      <c r="AR134">
        <v>180</v>
      </c>
      <c r="AS134">
        <v>351</v>
      </c>
      <c r="AT134">
        <v>59</v>
      </c>
      <c r="AU134">
        <v>51</v>
      </c>
      <c r="AV134">
        <v>73</v>
      </c>
      <c r="AW134">
        <v>2</v>
      </c>
      <c r="AX134">
        <v>14</v>
      </c>
      <c r="AY134">
        <v>93</v>
      </c>
      <c r="AZ134">
        <v>4</v>
      </c>
      <c r="BA134">
        <v>3</v>
      </c>
      <c r="BB134" t="s">
        <v>53</v>
      </c>
      <c r="BC134" t="s">
        <v>54</v>
      </c>
      <c r="BD134" t="s">
        <v>1496</v>
      </c>
      <c r="BE134" t="s">
        <v>1497</v>
      </c>
      <c r="BF134" t="s">
        <v>1498</v>
      </c>
      <c r="BG134" t="str">
        <f>HYPERLINK(".\links\PREV-RHOD-PEP\TI_asb-230-PREV-RHOD-PEP.txt","Contig17791_8")</f>
        <v>Contig17791_8</v>
      </c>
      <c r="BH134" s="7">
        <v>3E-37</v>
      </c>
      <c r="BI134" t="str">
        <f>HYPERLINK(".\links\PREV-RHOD-PEP\TI_asb-230-PREV-RHOD-PEP.txt"," 10")</f>
        <v xml:space="preserve"> 10</v>
      </c>
      <c r="BJ134" t="s">
        <v>1499</v>
      </c>
      <c r="BK134">
        <v>150</v>
      </c>
      <c r="BL134">
        <v>126</v>
      </c>
      <c r="BM134">
        <v>348</v>
      </c>
      <c r="BN134">
        <v>55</v>
      </c>
      <c r="BO134">
        <v>36</v>
      </c>
      <c r="BP134">
        <v>56</v>
      </c>
      <c r="BQ134">
        <v>9</v>
      </c>
      <c r="BR134">
        <v>3</v>
      </c>
      <c r="BS134">
        <v>36</v>
      </c>
      <c r="BT134">
        <v>4</v>
      </c>
      <c r="BU134" t="s">
        <v>54</v>
      </c>
      <c r="BV134" t="s">
        <v>1500</v>
      </c>
      <c r="BW134" t="s">
        <v>56</v>
      </c>
      <c r="BX134" t="str">
        <f>HYPERLINK(".\links\PREV-RHOD-CDS\TI_asb-230-PREV-RHOD-CDS.txt","Contig17791_6")</f>
        <v>Contig17791_6</v>
      </c>
      <c r="BY134" s="7">
        <v>8.0000000000000007E-5</v>
      </c>
      <c r="BZ134" t="s">
        <v>1501</v>
      </c>
      <c r="CA134">
        <v>48.1</v>
      </c>
      <c r="CB134">
        <v>63</v>
      </c>
      <c r="CC134">
        <v>1830</v>
      </c>
      <c r="CD134">
        <v>84</v>
      </c>
      <c r="CE134">
        <v>3</v>
      </c>
      <c r="CF134">
        <v>10</v>
      </c>
      <c r="CG134">
        <v>0</v>
      </c>
      <c r="CH134">
        <v>1453</v>
      </c>
      <c r="CI134">
        <v>117</v>
      </c>
      <c r="CJ134">
        <v>1</v>
      </c>
      <c r="CK134" t="s">
        <v>54</v>
      </c>
      <c r="CL134" t="s">
        <v>1502</v>
      </c>
      <c r="CM134">
        <f>HYPERLINK(".\links\GO\TI_asb-230-GO.txt",0.00000000000000002)</f>
        <v>2.0000000000000001E-17</v>
      </c>
      <c r="CN134" t="s">
        <v>1503</v>
      </c>
      <c r="CO134" t="s">
        <v>324</v>
      </c>
      <c r="CP134" t="s">
        <v>325</v>
      </c>
      <c r="CQ134" t="s">
        <v>1504</v>
      </c>
      <c r="CR134" s="7">
        <v>2.0000000000000001E-17</v>
      </c>
      <c r="CS134" t="s">
        <v>1505</v>
      </c>
      <c r="CT134" t="s">
        <v>75</v>
      </c>
      <c r="CU134" t="s">
        <v>1506</v>
      </c>
      <c r="CV134" t="s">
        <v>1507</v>
      </c>
      <c r="CW134" s="7">
        <v>2.0000000000000001E-17</v>
      </c>
      <c r="CX134" t="s">
        <v>1508</v>
      </c>
      <c r="CY134" t="s">
        <v>324</v>
      </c>
      <c r="CZ134" t="s">
        <v>325</v>
      </c>
      <c r="DA134" t="s">
        <v>1509</v>
      </c>
      <c r="DB134" s="7">
        <v>2.0000000000000001E-17</v>
      </c>
      <c r="DC134" t="str">
        <f>HYPERLINK(".\links\CDD\TI_asb-230-CDD.txt","KAZAL")</f>
        <v>KAZAL</v>
      </c>
      <c r="DD134" t="str">
        <f>HYPERLINK("http://www.ncbi.nlm.nih.gov/Structure/cdd/cddsrv.cgi?uid=smart00280&amp;version=v4.0","5E-013")</f>
        <v>5E-013</v>
      </c>
      <c r="DE134" t="s">
        <v>1510</v>
      </c>
      <c r="DF134" t="str">
        <f>HYPERLINK(".\links\PFAM\TI_asb-230-PFAM.txt","Kazal_2")</f>
        <v>Kazal_2</v>
      </c>
      <c r="DG134" t="str">
        <f>HYPERLINK("http://pfam.sanger.ac.uk/family?acc=PF07648","7E-012")</f>
        <v>7E-012</v>
      </c>
      <c r="DH134" t="str">
        <f>HYPERLINK(".\links\PRK\TI_asb-230-PRK.txt","NADH dehydrogenase subunit 1")</f>
        <v>NADH dehydrogenase subunit 1</v>
      </c>
      <c r="DI134" s="6">
        <v>3.0000000000000001E-3</v>
      </c>
      <c r="DJ134" s="6" t="str">
        <f>HYPERLINK(".\links\KOG\TI_asb-230-KOG.txt","Organic anion transporter")</f>
        <v>Organic anion transporter</v>
      </c>
      <c r="DK134" s="6" t="str">
        <f>HYPERLINK("http://www.ncbi.nlm.nih.gov/COG/grace/shokog.cgi?KOG3626","5E-006")</f>
        <v>5E-006</v>
      </c>
      <c r="DL134" s="6" t="s">
        <v>4346</v>
      </c>
      <c r="DM134" s="6" t="str">
        <f>HYPERLINK(".\links\KOG\TI_asb-230-KOG.txt","KOG3626")</f>
        <v>KOG3626</v>
      </c>
      <c r="DN134" t="str">
        <f>HYPERLINK(".\links\SMART\TI_asb-230-SMART.txt","KAZAL")</f>
        <v>KAZAL</v>
      </c>
      <c r="DO134" t="str">
        <f>HYPERLINK("http://smart.embl-heidelberg.de/smart/do_annotation.pl?DOMAIN=KAZAL&amp;BLAST=DUMMY","6E-015")</f>
        <v>6E-015</v>
      </c>
      <c r="DP134" s="3" t="s">
        <v>56</v>
      </c>
      <c r="ED134" s="3" t="s">
        <v>56</v>
      </c>
    </row>
    <row r="135" spans="1:147">
      <c r="A135" t="str">
        <f>HYPERLINK(".\links\seq\TI_asb-231-seq.txt","TI_asb-231")</f>
        <v>TI_asb-231</v>
      </c>
      <c r="B135">
        <v>231</v>
      </c>
      <c r="C135" t="str">
        <f>HYPERLINK(".\links\tsa\TI_asb-231-tsa.txt","7")</f>
        <v>7</v>
      </c>
      <c r="D135">
        <v>7</v>
      </c>
      <c r="E135">
        <v>757</v>
      </c>
      <c r="G135" t="str">
        <f>HYPERLINK(".\links\qual\TI_asb-231-qual.txt","78")</f>
        <v>78</v>
      </c>
      <c r="H135">
        <v>1</v>
      </c>
      <c r="I135">
        <v>6</v>
      </c>
      <c r="J135">
        <f t="shared" si="6"/>
        <v>5</v>
      </c>
      <c r="K135" s="6">
        <f t="shared" si="7"/>
        <v>-5</v>
      </c>
      <c r="L135" s="6" t="s">
        <v>3968</v>
      </c>
      <c r="M135" s="6" t="s">
        <v>3886</v>
      </c>
      <c r="N135" s="6" t="s">
        <v>3864</v>
      </c>
      <c r="O135" s="7">
        <v>1.0000000000000001E-63</v>
      </c>
      <c r="P135" s="6">
        <v>91.7</v>
      </c>
      <c r="Q135" s="3">
        <v>757</v>
      </c>
      <c r="R135" s="3">
        <v>441</v>
      </c>
      <c r="S135" s="6" t="s">
        <v>3614</v>
      </c>
      <c r="T135" s="3">
        <v>3</v>
      </c>
      <c r="U135" t="str">
        <f>HYPERLINK(".\links\NR-LIGHT\TI_asb-231-NR-LIGHT.txt","hypothetical protein")</f>
        <v>hypothetical protein</v>
      </c>
      <c r="V135" t="str">
        <f>HYPERLINK("http://www.ncbi.nlm.nih.gov/sutils/blink.cgi?pid=149898792","1E-063")</f>
        <v>1E-063</v>
      </c>
      <c r="W135" t="str">
        <f>HYPERLINK(".\links\NR-LIGHT\TI_asb-231-NR-LIGHT.txt"," 10")</f>
        <v xml:space="preserve"> 10</v>
      </c>
      <c r="X135" t="str">
        <f>HYPERLINK("http://www.ncbi.nlm.nih.gov/protein/149898792","gi|149898792")</f>
        <v>gi|149898792</v>
      </c>
      <c r="Y135">
        <v>244</v>
      </c>
      <c r="Z135">
        <v>123</v>
      </c>
      <c r="AA135">
        <v>134</v>
      </c>
      <c r="AB135">
        <v>92</v>
      </c>
      <c r="AC135">
        <v>92</v>
      </c>
      <c r="AD135">
        <v>9</v>
      </c>
      <c r="AE135">
        <v>0</v>
      </c>
      <c r="AF135">
        <v>1</v>
      </c>
      <c r="AG135">
        <v>276</v>
      </c>
      <c r="AH135">
        <v>1</v>
      </c>
      <c r="AI135">
        <v>3</v>
      </c>
      <c r="AJ135" t="s">
        <v>53</v>
      </c>
      <c r="AK135" t="s">
        <v>54</v>
      </c>
      <c r="AL135" t="s">
        <v>55</v>
      </c>
      <c r="AM135" t="str">
        <f>HYPERLINK(".\links\SWISSP\TI_asb-231-SWISSP.txt","Chaperone protein dnaJ OS=Acidithiobacillus ferrooxidans (strain ATCC 53993)")</f>
        <v>Chaperone protein dnaJ OS=Acidithiobacillus ferrooxidans (strain ATCC 53993)</v>
      </c>
      <c r="AN135" s="19" t="str">
        <f>HYPERLINK("http://www.uniprot.org/uniprot/B5ENA2","0.41")</f>
        <v>0.41</v>
      </c>
      <c r="AO135" t="str">
        <f>HYPERLINK(".\links\SWISSP\TI_asb-231-SWISSP.txt"," 10")</f>
        <v xml:space="preserve"> 10</v>
      </c>
      <c r="AP135" t="s">
        <v>1511</v>
      </c>
      <c r="AQ135">
        <v>35.4</v>
      </c>
      <c r="AR135">
        <v>77</v>
      </c>
      <c r="AS135">
        <v>375</v>
      </c>
      <c r="AT135">
        <v>32</v>
      </c>
      <c r="AU135">
        <v>21</v>
      </c>
      <c r="AV135">
        <v>52</v>
      </c>
      <c r="AW135">
        <v>14</v>
      </c>
      <c r="AX135">
        <v>134</v>
      </c>
      <c r="AY135">
        <v>399</v>
      </c>
      <c r="AZ135">
        <v>1</v>
      </c>
      <c r="BA135">
        <v>3</v>
      </c>
      <c r="BB135" t="s">
        <v>53</v>
      </c>
      <c r="BC135" t="s">
        <v>54</v>
      </c>
      <c r="BD135" t="s">
        <v>1512</v>
      </c>
      <c r="BE135" t="s">
        <v>1513</v>
      </c>
      <c r="BF135" t="s">
        <v>1514</v>
      </c>
      <c r="BG135" t="str">
        <f>HYPERLINK(".\links\PREV-RHOD-PEP\TI_asb-231-PREV-RHOD-PEP.txt","Contig17706_41")</f>
        <v>Contig17706_41</v>
      </c>
      <c r="BH135" s="7">
        <v>9.9999999999999997E-48</v>
      </c>
      <c r="BI135" t="str">
        <f>HYPERLINK(".\links\PREV-RHOD-PEP\TI_asb-231-PREV-RHOD-PEP.txt"," 9")</f>
        <v xml:space="preserve"> 9</v>
      </c>
      <c r="BJ135" t="s">
        <v>1515</v>
      </c>
      <c r="BK135">
        <v>185</v>
      </c>
      <c r="BL135">
        <v>96</v>
      </c>
      <c r="BM135">
        <v>126</v>
      </c>
      <c r="BN135">
        <v>88</v>
      </c>
      <c r="BO135">
        <v>76</v>
      </c>
      <c r="BP135">
        <v>11</v>
      </c>
      <c r="BQ135">
        <v>0</v>
      </c>
      <c r="BR135">
        <v>1</v>
      </c>
      <c r="BS135">
        <v>276</v>
      </c>
      <c r="BT135">
        <v>1</v>
      </c>
      <c r="BU135" t="s">
        <v>54</v>
      </c>
      <c r="BV135" t="s">
        <v>1516</v>
      </c>
      <c r="BW135" t="s">
        <v>56</v>
      </c>
      <c r="BX135" t="str">
        <f>HYPERLINK(".\links\PREV-RHOD-CDS\TI_asb-231-PREV-RHOD-CDS.txt","Contig17706_41")</f>
        <v>Contig17706_41</v>
      </c>
      <c r="BY135" s="7">
        <v>9.9999999999999997E-106</v>
      </c>
      <c r="BZ135" t="s">
        <v>1515</v>
      </c>
      <c r="CA135">
        <v>383</v>
      </c>
      <c r="CB135">
        <v>280</v>
      </c>
      <c r="CC135">
        <v>381</v>
      </c>
      <c r="CD135">
        <v>92</v>
      </c>
      <c r="CE135">
        <v>74</v>
      </c>
      <c r="CF135">
        <v>22</v>
      </c>
      <c r="CG135">
        <v>0</v>
      </c>
      <c r="CH135">
        <v>1</v>
      </c>
      <c r="CI135">
        <v>276</v>
      </c>
      <c r="CJ135">
        <v>1</v>
      </c>
      <c r="CK135" t="s">
        <v>54</v>
      </c>
      <c r="CL135" t="s">
        <v>1517</v>
      </c>
      <c r="CM135">
        <f>HYPERLINK(".\links\GO\TI_asb-231-GO.txt",2E-30)</f>
        <v>2.0000000000000002E-30</v>
      </c>
      <c r="CN135" t="s">
        <v>467</v>
      </c>
      <c r="CO135" t="s">
        <v>129</v>
      </c>
      <c r="CP135" t="s">
        <v>239</v>
      </c>
      <c r="CQ135" t="s">
        <v>468</v>
      </c>
      <c r="CR135" s="6">
        <v>1.3</v>
      </c>
      <c r="CS135" t="s">
        <v>1518</v>
      </c>
      <c r="CT135" t="s">
        <v>75</v>
      </c>
      <c r="CU135" t="s">
        <v>76</v>
      </c>
      <c r="CV135" t="s">
        <v>1519</v>
      </c>
      <c r="CW135" s="6">
        <v>1.3</v>
      </c>
      <c r="CX135" t="s">
        <v>1520</v>
      </c>
      <c r="CY135" t="s">
        <v>129</v>
      </c>
      <c r="CZ135" t="s">
        <v>239</v>
      </c>
      <c r="DA135" t="s">
        <v>1521</v>
      </c>
      <c r="DB135" s="6">
        <v>1.3</v>
      </c>
      <c r="DC135" t="str">
        <f>HYPERLINK(".\links\CDD\TI_asb-231-CDD.txt","HypA")</f>
        <v>HypA</v>
      </c>
      <c r="DD135" t="str">
        <f>HYPERLINK("http://www.ncbi.nlm.nih.gov/Structure/cdd/cddsrv.cgi?uid=pfam01155&amp;version=v4.0","0.072")</f>
        <v>0.072</v>
      </c>
      <c r="DE135" t="s">
        <v>1522</v>
      </c>
      <c r="DF135" t="str">
        <f>HYPERLINK(".\links\PFAM\TI_asb-231-PFAM.txt","HypA")</f>
        <v>HypA</v>
      </c>
      <c r="DG135" t="str">
        <f>HYPERLINK("http://pfam.sanger.ac.uk/family?acc=PF01155","0.016")</f>
        <v>0.016</v>
      </c>
      <c r="DH135" t="str">
        <f>HYPERLINK(".\links\PRK\TI_asb-231-PRK.txt","DNA polymerase II large subunit")</f>
        <v>DNA polymerase II large subunit</v>
      </c>
      <c r="DI135" s="6">
        <v>1.7000000000000001E-2</v>
      </c>
      <c r="DJ135" s="6" t="s">
        <v>56</v>
      </c>
      <c r="DN135" t="s">
        <v>56</v>
      </c>
      <c r="DO135" t="s">
        <v>56</v>
      </c>
      <c r="DP135" s="3" t="s">
        <v>56</v>
      </c>
      <c r="ED135" s="3" t="s">
        <v>56</v>
      </c>
    </row>
    <row r="136" spans="1:147">
      <c r="A136" t="str">
        <f>HYPERLINK(".\links\seq\TI_asb-232-seq.txt","TI_asb-232")</f>
        <v>TI_asb-232</v>
      </c>
      <c r="B136">
        <v>232</v>
      </c>
      <c r="C136" t="str">
        <f>HYPERLINK(".\links\tsa\TI_asb-232-tsa.txt","1")</f>
        <v>1</v>
      </c>
      <c r="D136">
        <v>1</v>
      </c>
      <c r="E136">
        <v>778</v>
      </c>
      <c r="F136">
        <v>756</v>
      </c>
      <c r="G136" t="str">
        <f>HYPERLINK(".\links\qual\TI_asb-232-qual.txt","39")</f>
        <v>39</v>
      </c>
      <c r="H136">
        <v>1</v>
      </c>
      <c r="I136">
        <v>0</v>
      </c>
      <c r="J136">
        <f t="shared" si="6"/>
        <v>1</v>
      </c>
      <c r="K136" s="6">
        <f t="shared" si="7"/>
        <v>1</v>
      </c>
      <c r="L136" s="6" t="s">
        <v>3868</v>
      </c>
      <c r="M136" s="6" t="s">
        <v>3869</v>
      </c>
      <c r="N136" s="6"/>
      <c r="O136" s="6"/>
      <c r="P136" s="6"/>
      <c r="Q136" s="3">
        <v>778</v>
      </c>
      <c r="R136" s="3">
        <v>366</v>
      </c>
      <c r="S136" s="3" t="s">
        <v>3615</v>
      </c>
      <c r="T136" s="3">
        <v>3</v>
      </c>
      <c r="U136" t="s">
        <v>56</v>
      </c>
      <c r="V136" t="s">
        <v>56</v>
      </c>
      <c r="W136" t="s">
        <v>56</v>
      </c>
      <c r="X136" t="s">
        <v>56</v>
      </c>
      <c r="Y136" t="s">
        <v>56</v>
      </c>
      <c r="Z136" t="s">
        <v>56</v>
      </c>
      <c r="AA136" t="s">
        <v>56</v>
      </c>
      <c r="AB136" t="s">
        <v>56</v>
      </c>
      <c r="AC136" t="s">
        <v>56</v>
      </c>
      <c r="AD136" t="s">
        <v>56</v>
      </c>
      <c r="AE136" t="s">
        <v>56</v>
      </c>
      <c r="AF136" t="s">
        <v>56</v>
      </c>
      <c r="AG136" t="s">
        <v>56</v>
      </c>
      <c r="AH136" t="s">
        <v>56</v>
      </c>
      <c r="AI136" t="s">
        <v>56</v>
      </c>
      <c r="AJ136" t="s">
        <v>56</v>
      </c>
      <c r="AK136" t="s">
        <v>56</v>
      </c>
      <c r="AL136" t="s">
        <v>56</v>
      </c>
      <c r="AM136" t="s">
        <v>56</v>
      </c>
      <c r="AN136" s="19" t="s">
        <v>56</v>
      </c>
      <c r="AO136" t="s">
        <v>56</v>
      </c>
      <c r="AP136" t="s">
        <v>56</v>
      </c>
      <c r="AQ136" t="s">
        <v>56</v>
      </c>
      <c r="AR136" t="s">
        <v>56</v>
      </c>
      <c r="AS136" t="s">
        <v>56</v>
      </c>
      <c r="AT136" t="s">
        <v>56</v>
      </c>
      <c r="AU136" t="s">
        <v>56</v>
      </c>
      <c r="AV136" t="s">
        <v>56</v>
      </c>
      <c r="AW136" t="s">
        <v>56</v>
      </c>
      <c r="AX136" t="s">
        <v>56</v>
      </c>
      <c r="AY136" t="s">
        <v>56</v>
      </c>
      <c r="AZ136" t="s">
        <v>56</v>
      </c>
      <c r="BA136" t="s">
        <v>56</v>
      </c>
      <c r="BB136" t="s">
        <v>56</v>
      </c>
      <c r="BC136" t="s">
        <v>56</v>
      </c>
      <c r="BD136" t="s">
        <v>56</v>
      </c>
      <c r="BE136" t="s">
        <v>56</v>
      </c>
      <c r="BF136" t="s">
        <v>56</v>
      </c>
      <c r="BG136" t="s">
        <v>56</v>
      </c>
      <c r="BH136" s="6" t="s">
        <v>56</v>
      </c>
      <c r="BI136" t="s">
        <v>56</v>
      </c>
      <c r="BJ136" t="s">
        <v>56</v>
      </c>
      <c r="BK136" t="s">
        <v>56</v>
      </c>
      <c r="BL136" t="s">
        <v>56</v>
      </c>
      <c r="BM136" t="s">
        <v>56</v>
      </c>
      <c r="BN136" t="s">
        <v>56</v>
      </c>
      <c r="BO136" t="s">
        <v>56</v>
      </c>
      <c r="BP136" t="s">
        <v>56</v>
      </c>
      <c r="BQ136" t="s">
        <v>56</v>
      </c>
      <c r="BR136" t="s">
        <v>56</v>
      </c>
      <c r="BS136" t="s">
        <v>56</v>
      </c>
      <c r="BT136" t="s">
        <v>56</v>
      </c>
      <c r="BU136" t="s">
        <v>56</v>
      </c>
      <c r="BV136" t="s">
        <v>56</v>
      </c>
      <c r="BW136" t="s">
        <v>56</v>
      </c>
      <c r="BX136" t="str">
        <f>HYPERLINK(".\links\PREV-RHOD-CDS\TI_asb-232-PREV-RHOD-CDS.txt","Contig17257_37")</f>
        <v>Contig17257_37</v>
      </c>
      <c r="BY136" s="6">
        <v>0.39</v>
      </c>
      <c r="BZ136" t="s">
        <v>1523</v>
      </c>
      <c r="CA136">
        <v>36.200000000000003</v>
      </c>
      <c r="CB136">
        <v>17</v>
      </c>
      <c r="CC136">
        <v>270</v>
      </c>
      <c r="CD136">
        <v>100</v>
      </c>
      <c r="CE136">
        <v>7</v>
      </c>
      <c r="CF136">
        <v>0</v>
      </c>
      <c r="CG136">
        <v>0</v>
      </c>
      <c r="CH136">
        <v>219</v>
      </c>
      <c r="CI136">
        <v>646</v>
      </c>
      <c r="CJ136">
        <v>1</v>
      </c>
      <c r="CK136" t="s">
        <v>54</v>
      </c>
      <c r="CL136" t="s">
        <v>56</v>
      </c>
      <c r="CM136" t="s">
        <v>56</v>
      </c>
      <c r="CN136" t="s">
        <v>56</v>
      </c>
      <c r="CO136" t="s">
        <v>56</v>
      </c>
      <c r="CP136" t="s">
        <v>56</v>
      </c>
      <c r="CQ136" t="s">
        <v>56</v>
      </c>
      <c r="CR136" s="6" t="s">
        <v>56</v>
      </c>
      <c r="CS136" t="s">
        <v>56</v>
      </c>
      <c r="CT136" t="s">
        <v>56</v>
      </c>
      <c r="CU136" t="s">
        <v>56</v>
      </c>
      <c r="CV136" t="s">
        <v>56</v>
      </c>
      <c r="CW136" s="6" t="s">
        <v>56</v>
      </c>
      <c r="CX136" t="s">
        <v>56</v>
      </c>
      <c r="CY136" t="s">
        <v>56</v>
      </c>
      <c r="CZ136" t="s">
        <v>56</v>
      </c>
      <c r="DA136" t="s">
        <v>56</v>
      </c>
      <c r="DB136" s="6" t="s">
        <v>56</v>
      </c>
      <c r="DC136" t="str">
        <f>HYPERLINK(".\links\CDD\TI_asb-232-CDD.txt","ND5")</f>
        <v>ND5</v>
      </c>
      <c r="DD136" t="str">
        <f>HYPERLINK("http://www.ncbi.nlm.nih.gov/Structure/cdd/cddsrv.cgi?uid=MTH00095&amp;version=v4.0","4E-008")</f>
        <v>4E-008</v>
      </c>
      <c r="DE136" t="s">
        <v>1524</v>
      </c>
      <c r="DF136" t="str">
        <f>HYPERLINK(".\links\PFAM\TI_asb-232-PFAM.txt","7TM_GPCR_Srz")</f>
        <v>7TM_GPCR_Srz</v>
      </c>
      <c r="DG136" t="str">
        <f>HYPERLINK("http://pfam.sanger.ac.uk/family?acc=PF10325","5E-006")</f>
        <v>5E-006</v>
      </c>
      <c r="DH136" t="str">
        <f>HYPERLINK(".\links\PRK\TI_asb-232-PRK.txt","NADH dehydrogenase subunit 5")</f>
        <v>NADH dehydrogenase subunit 5</v>
      </c>
      <c r="DI136" s="7">
        <v>3E-10</v>
      </c>
      <c r="DJ136" s="6" t="str">
        <f>HYPERLINK(".\links\KOG\TI_asb-232-KOG.txt","FGF receptor activating protein 1")</f>
        <v>FGF receptor activating protein 1</v>
      </c>
      <c r="DK136" s="6" t="str">
        <f>HYPERLINK("http://www.ncbi.nlm.nih.gov/COG/grace/shokog.cgi?KOG3979","0.005")</f>
        <v>0.005</v>
      </c>
      <c r="DL136" s="6" t="s">
        <v>4342</v>
      </c>
      <c r="DM136" s="6" t="str">
        <f>HYPERLINK(".\links\KOG\TI_asb-232-KOG.txt","KOG3979")</f>
        <v>KOG3979</v>
      </c>
      <c r="DN136" t="str">
        <f>HYPERLINK(".\links\SMART\TI_asb-232-SMART.txt","AgrB")</f>
        <v>AgrB</v>
      </c>
      <c r="DO136" t="str">
        <f>HYPERLINK("http://smart.embl-heidelberg.de/smart/do_annotation.pl?DOMAIN=AgrB&amp;BLAST=DUMMY","1E-004")</f>
        <v>1E-004</v>
      </c>
      <c r="DP136" s="3" t="s">
        <v>56</v>
      </c>
      <c r="ED136" s="3" t="s">
        <v>56</v>
      </c>
    </row>
    <row r="137" spans="1:147">
      <c r="A137" t="str">
        <f>HYPERLINK(".\links\seq\TI_asb-234-seq.txt","TI_asb-234")</f>
        <v>TI_asb-234</v>
      </c>
      <c r="B137">
        <v>234</v>
      </c>
      <c r="C137" t="str">
        <f>HYPERLINK(".\links\tsa\TI_asb-234-tsa.txt","1")</f>
        <v>1</v>
      </c>
      <c r="D137">
        <v>1</v>
      </c>
      <c r="E137">
        <v>556</v>
      </c>
      <c r="G137" t="str">
        <f>HYPERLINK(".\links\qual\TI_asb-234-qual.txt","54")</f>
        <v>54</v>
      </c>
      <c r="H137">
        <v>1</v>
      </c>
      <c r="I137">
        <v>0</v>
      </c>
      <c r="J137">
        <f t="shared" si="6"/>
        <v>1</v>
      </c>
      <c r="K137" s="6">
        <f t="shared" si="7"/>
        <v>1</v>
      </c>
      <c r="L137" s="6" t="s">
        <v>3979</v>
      </c>
      <c r="M137" s="6" t="s">
        <v>3866</v>
      </c>
      <c r="N137" s="6" t="s">
        <v>3864</v>
      </c>
      <c r="O137" s="7">
        <v>4E-52</v>
      </c>
      <c r="P137" s="6">
        <v>61</v>
      </c>
      <c r="Q137" s="3">
        <v>556</v>
      </c>
      <c r="R137" s="3">
        <v>465</v>
      </c>
      <c r="S137" s="3" t="s">
        <v>3616</v>
      </c>
      <c r="T137" s="3">
        <v>1</v>
      </c>
      <c r="U137" t="str">
        <f>HYPERLINK(".\links\NR-LIGHT\TI_asb-234-NR-LIGHT.txt","eukaryotic translation initiation factor 3 subunit, putative")</f>
        <v>eukaryotic translation initiation factor 3 subunit, putative</v>
      </c>
      <c r="V137" t="str">
        <f>HYPERLINK("http://www.ncbi.nlm.nih.gov/sutils/blink.cgi?pid=242021197","4E-052")</f>
        <v>4E-052</v>
      </c>
      <c r="W137" t="str">
        <f>HYPERLINK(".\links\NR-LIGHT\TI_asb-234-NR-LIGHT.txt"," 10")</f>
        <v xml:space="preserve"> 10</v>
      </c>
      <c r="X137" t="str">
        <f>HYPERLINK("http://www.ncbi.nlm.nih.gov/protein/242021197","gi|242021197")</f>
        <v>gi|242021197</v>
      </c>
      <c r="Y137">
        <v>206</v>
      </c>
      <c r="Z137">
        <v>210</v>
      </c>
      <c r="AA137">
        <v>344</v>
      </c>
      <c r="AB137">
        <v>51</v>
      </c>
      <c r="AC137">
        <v>61</v>
      </c>
      <c r="AD137">
        <v>102</v>
      </c>
      <c r="AE137">
        <v>55</v>
      </c>
      <c r="AF137">
        <v>2</v>
      </c>
      <c r="AG137">
        <v>91</v>
      </c>
      <c r="AH137">
        <v>1</v>
      </c>
      <c r="AI137">
        <v>1</v>
      </c>
      <c r="AJ137" t="s">
        <v>53</v>
      </c>
      <c r="AK137" t="s">
        <v>54</v>
      </c>
      <c r="AL137" t="s">
        <v>141</v>
      </c>
      <c r="AM137" t="str">
        <f>HYPERLINK(".\links\SWISSP\TI_asb-234-SWISSP.txt","Eukaryotic translation initiation factor 3 subunit H OS=Bombyx mori PE=2 SV=1")</f>
        <v>Eukaryotic translation initiation factor 3 subunit H OS=Bombyx mori PE=2 SV=1</v>
      </c>
      <c r="AN137" s="19" t="str">
        <f>HYPERLINK("http://www.uniprot.org/uniprot/Q9GV27","7E-051")</f>
        <v>7E-051</v>
      </c>
      <c r="AO137" t="str">
        <f>HYPERLINK(".\links\SWISSP\TI_asb-234-SWISSP.txt"," 10")</f>
        <v xml:space="preserve"> 10</v>
      </c>
      <c r="AP137" t="s">
        <v>1525</v>
      </c>
      <c r="AQ137">
        <v>199</v>
      </c>
      <c r="AR137">
        <v>209</v>
      </c>
      <c r="AS137">
        <v>337</v>
      </c>
      <c r="AT137">
        <v>52</v>
      </c>
      <c r="AU137">
        <v>62</v>
      </c>
      <c r="AV137">
        <v>100</v>
      </c>
      <c r="AW137">
        <v>55</v>
      </c>
      <c r="AX137">
        <v>9</v>
      </c>
      <c r="AY137">
        <v>94</v>
      </c>
      <c r="AZ137">
        <v>1</v>
      </c>
      <c r="BA137">
        <v>1</v>
      </c>
      <c r="BB137" t="s">
        <v>53</v>
      </c>
      <c r="BC137" t="s">
        <v>54</v>
      </c>
      <c r="BD137" t="s">
        <v>279</v>
      </c>
      <c r="BE137" t="s">
        <v>1526</v>
      </c>
      <c r="BF137" t="s">
        <v>1527</v>
      </c>
      <c r="BG137" t="str">
        <f>HYPERLINK(".\links\PREV-RHOD-PEP\TI_asb-234-PREV-RHOD-PEP.txt","Contig18047_205")</f>
        <v>Contig18047_205</v>
      </c>
      <c r="BH137" s="7">
        <v>1.9999999999999999E-74</v>
      </c>
      <c r="BI137" t="str">
        <f>HYPERLINK(".\links\PREV-RHOD-PEP\TI_asb-234-PREV-RHOD-PEP.txt"," 6")</f>
        <v xml:space="preserve"> 6</v>
      </c>
      <c r="BJ137" t="s">
        <v>1528</v>
      </c>
      <c r="BK137">
        <v>274</v>
      </c>
      <c r="BL137">
        <v>211</v>
      </c>
      <c r="BM137">
        <v>326</v>
      </c>
      <c r="BN137">
        <v>70</v>
      </c>
      <c r="BO137">
        <v>65</v>
      </c>
      <c r="BP137">
        <v>62</v>
      </c>
      <c r="BQ137">
        <v>56</v>
      </c>
      <c r="BR137">
        <v>1</v>
      </c>
      <c r="BS137">
        <v>91</v>
      </c>
      <c r="BT137">
        <v>1</v>
      </c>
      <c r="BU137" t="s">
        <v>54</v>
      </c>
      <c r="BV137" t="s">
        <v>1529</v>
      </c>
      <c r="BW137" t="s">
        <v>56</v>
      </c>
      <c r="BX137" t="str">
        <f>HYPERLINK(".\links\PREV-RHOD-CDS\TI_asb-234-PREV-RHOD-CDS.txt","Contig18047_205")</f>
        <v>Contig18047_205</v>
      </c>
      <c r="BY137" s="7">
        <v>1E-83</v>
      </c>
      <c r="BZ137" t="s">
        <v>1528</v>
      </c>
      <c r="CA137">
        <v>309</v>
      </c>
      <c r="CB137">
        <v>633</v>
      </c>
      <c r="CC137">
        <v>981</v>
      </c>
      <c r="CD137">
        <v>90</v>
      </c>
      <c r="CE137">
        <v>65</v>
      </c>
      <c r="CF137">
        <v>25</v>
      </c>
      <c r="CG137">
        <v>0</v>
      </c>
      <c r="CH137">
        <v>1</v>
      </c>
      <c r="CI137">
        <v>91</v>
      </c>
      <c r="CJ137">
        <v>2</v>
      </c>
      <c r="CK137" t="s">
        <v>54</v>
      </c>
      <c r="CL137" t="s">
        <v>1530</v>
      </c>
      <c r="CM137">
        <f>HYPERLINK(".\links\GO\TI_asb-234-GO.txt",4E-48)</f>
        <v>3.9999999999999999E-48</v>
      </c>
      <c r="CN137" t="s">
        <v>968</v>
      </c>
      <c r="CO137" t="s">
        <v>969</v>
      </c>
      <c r="CP137" t="s">
        <v>970</v>
      </c>
      <c r="CQ137" t="s">
        <v>971</v>
      </c>
      <c r="CR137" s="7">
        <v>3.9999999999999999E-48</v>
      </c>
      <c r="CS137" t="s">
        <v>972</v>
      </c>
      <c r="CT137" t="s">
        <v>75</v>
      </c>
      <c r="CU137" t="s">
        <v>76</v>
      </c>
      <c r="CV137" t="s">
        <v>973</v>
      </c>
      <c r="CW137" s="7">
        <v>3.9999999999999999E-48</v>
      </c>
      <c r="CX137" t="s">
        <v>1531</v>
      </c>
      <c r="CY137" t="s">
        <v>969</v>
      </c>
      <c r="CZ137" t="s">
        <v>970</v>
      </c>
      <c r="DA137" t="s">
        <v>1532</v>
      </c>
      <c r="DB137" s="7">
        <v>3.9999999999999999E-48</v>
      </c>
      <c r="DC137" t="str">
        <f>HYPERLINK(".\links\CDD\TI_asb-234-CDD.txt","Mov34")</f>
        <v>Mov34</v>
      </c>
      <c r="DD137" t="str">
        <f>HYPERLINK("http://www.ncbi.nlm.nih.gov/Structure/cdd/cddsrv.cgi?uid=pfam01398&amp;version=v4.0","3E-005")</f>
        <v>3E-005</v>
      </c>
      <c r="DE137" t="s">
        <v>1533</v>
      </c>
      <c r="DF137" t="str">
        <f>HYPERLINK(".\links\PFAM\TI_asb-234-PFAM.txt","Mov34")</f>
        <v>Mov34</v>
      </c>
      <c r="DG137" t="str">
        <f>HYPERLINK("http://pfam.sanger.ac.uk/family?acc=PF01398","3E-006")</f>
        <v>3E-006</v>
      </c>
      <c r="DH137" t="s">
        <v>56</v>
      </c>
      <c r="DI137" s="6" t="s">
        <v>56</v>
      </c>
      <c r="DJ137" s="6" t="str">
        <f>HYPERLINK(".\links\KOG\TI_asb-234-KOG.txt","Translation initiation factor 3, subunit h (eIF-3h)")</f>
        <v>Translation initiation factor 3, subunit h (eIF-3h)</v>
      </c>
      <c r="DK137" s="6" t="str">
        <f>HYPERLINK("http://www.ncbi.nlm.nih.gov/COG/grace/shokog.cgi?KOG1560","4E-022")</f>
        <v>4E-022</v>
      </c>
      <c r="DL137" s="6" t="s">
        <v>4333</v>
      </c>
      <c r="DM137" s="6" t="str">
        <f>HYPERLINK(".\links\KOG\TI_asb-234-KOG.txt","KOG1560")</f>
        <v>KOG1560</v>
      </c>
      <c r="DN137" t="str">
        <f>HYPERLINK(".\links\SMART\TI_asb-234-SMART.txt","JAB_MPN")</f>
        <v>JAB_MPN</v>
      </c>
      <c r="DO137" t="str">
        <f>HYPERLINK("http://smart.embl-heidelberg.de/smart/do_annotation.pl?DOMAIN=JAB_MPN&amp;BLAST=DUMMY","9E-007")</f>
        <v>9E-007</v>
      </c>
      <c r="DP137" s="3" t="s">
        <v>56</v>
      </c>
      <c r="ED137" s="3" t="s">
        <v>56</v>
      </c>
    </row>
    <row r="138" spans="1:147" s="26" customFormat="1">
      <c r="A138" s="27" t="str">
        <f>HYPERLINK(".\links\seq\TI_asb-239-seq.txt","TI_asb-239")</f>
        <v>TI_asb-239</v>
      </c>
      <c r="B138" s="26">
        <v>239</v>
      </c>
      <c r="C138" s="27" t="str">
        <f>HYPERLINK(".\links\tsa\TI_asb-239-tsa.txt","3")</f>
        <v>3</v>
      </c>
      <c r="D138" s="26">
        <v>3</v>
      </c>
      <c r="E138" s="26">
        <v>537</v>
      </c>
      <c r="F138" s="26">
        <v>488</v>
      </c>
      <c r="G138" s="26" t="str">
        <f>HYPERLINK(".\links\qual\TI_asb-239-qual.txt","94")</f>
        <v>94</v>
      </c>
      <c r="H138" s="26">
        <v>3</v>
      </c>
      <c r="I138" s="26">
        <v>0</v>
      </c>
      <c r="J138" s="26">
        <f t="shared" si="6"/>
        <v>3</v>
      </c>
      <c r="K138" s="26">
        <f t="shared" si="7"/>
        <v>3</v>
      </c>
      <c r="L138" s="26" t="s">
        <v>3981</v>
      </c>
      <c r="M138" s="26" t="s">
        <v>3886</v>
      </c>
      <c r="N138" s="26" t="s">
        <v>3864</v>
      </c>
      <c r="O138" s="28">
        <v>3.0000000000000002E-47</v>
      </c>
      <c r="P138" s="26">
        <v>98.6</v>
      </c>
      <c r="Q138" s="26">
        <v>537</v>
      </c>
      <c r="R138" s="26">
        <v>219</v>
      </c>
      <c r="S138" s="26" t="s">
        <v>3617</v>
      </c>
      <c r="T138" s="26">
        <v>2</v>
      </c>
      <c r="U138" s="26" t="str">
        <f>HYPERLINK(".\links\NR-LIGHT\TI_asb-239-NR-LIGHT.txt","NADH dehydrogenase subunit 6")</f>
        <v>NADH dehydrogenase subunit 6</v>
      </c>
      <c r="V138" s="26" t="str">
        <f>HYPERLINK("http://www.ncbi.nlm.nih.gov/sutils/blink.cgi?pid=149898874","3E-047")</f>
        <v>3E-047</v>
      </c>
      <c r="W138" s="26" t="str">
        <f>HYPERLINK(".\links\NR-LIGHT\TI_asb-239-NR-LIGHT.txt"," 10")</f>
        <v xml:space="preserve"> 10</v>
      </c>
      <c r="X138" s="26" t="str">
        <f>HYPERLINK("http://www.ncbi.nlm.nih.gov/protein/149898874","gi|149898874")</f>
        <v>gi|149898874</v>
      </c>
      <c r="Y138" s="26">
        <v>189</v>
      </c>
      <c r="Z138" s="26">
        <v>149</v>
      </c>
      <c r="AA138" s="26">
        <v>151</v>
      </c>
      <c r="AB138" s="26">
        <v>69</v>
      </c>
      <c r="AC138" s="26">
        <v>99</v>
      </c>
      <c r="AD138" s="26">
        <v>45</v>
      </c>
      <c r="AE138" s="26">
        <v>0</v>
      </c>
      <c r="AF138" s="26">
        <v>1</v>
      </c>
      <c r="AG138" s="26">
        <v>35</v>
      </c>
      <c r="AH138" s="26">
        <v>1</v>
      </c>
      <c r="AI138" s="26">
        <v>2</v>
      </c>
      <c r="AJ138" s="26" t="s">
        <v>53</v>
      </c>
      <c r="AK138" s="26" t="s">
        <v>54</v>
      </c>
      <c r="AL138" s="26" t="s">
        <v>55</v>
      </c>
      <c r="AM138" s="26" t="str">
        <f>HYPERLINK(".\links\SWISSP\TI_asb-239-SWISSP.txt","NADH-ubiquinone oxidoreductase chain 6 OS=Anopheles gambiae GN=mt:ND6 PE=3 SV=2")</f>
        <v>NADH-ubiquinone oxidoreductase chain 6 OS=Anopheles gambiae GN=mt:ND6 PE=3 SV=2</v>
      </c>
      <c r="AN138" s="29" t="str">
        <f>HYPERLINK("http://www.uniprot.org/uniprot/P34856","2E-016")</f>
        <v>2E-016</v>
      </c>
      <c r="AO138" s="26" t="str">
        <f>HYPERLINK(".\links\SWISSP\TI_asb-239-SWISSP.txt"," 10")</f>
        <v xml:space="preserve"> 10</v>
      </c>
      <c r="AP138" s="26" t="s">
        <v>1536</v>
      </c>
      <c r="AQ138" s="26">
        <v>85.5</v>
      </c>
      <c r="AR138" s="26">
        <v>165</v>
      </c>
      <c r="AS138" s="26">
        <v>174</v>
      </c>
      <c r="AT138" s="26">
        <v>30</v>
      </c>
      <c r="AU138" s="26">
        <v>95</v>
      </c>
      <c r="AV138" s="26">
        <v>115</v>
      </c>
      <c r="AW138" s="26">
        <v>6</v>
      </c>
      <c r="AX138" s="26">
        <v>7</v>
      </c>
      <c r="AY138" s="26">
        <v>2</v>
      </c>
      <c r="AZ138" s="26">
        <v>1</v>
      </c>
      <c r="BA138" s="26">
        <v>2</v>
      </c>
      <c r="BB138" s="26" t="s">
        <v>53</v>
      </c>
      <c r="BC138" s="26" t="s">
        <v>54</v>
      </c>
      <c r="BD138" s="26" t="s">
        <v>81</v>
      </c>
      <c r="BE138" s="26" t="s">
        <v>1537</v>
      </c>
      <c r="BF138" s="26" t="s">
        <v>1538</v>
      </c>
      <c r="BG138" s="26" t="str">
        <f>HYPERLINK(".\links\PREV-RHOD-PEP\TI_asb-239-PREV-RHOD-PEP.txt","Contig17518_14")</f>
        <v>Contig17518_14</v>
      </c>
      <c r="BH138" s="26">
        <v>8.8000000000000007</v>
      </c>
      <c r="BI138" s="26" t="str">
        <f>HYPERLINK(".\links\PREV-RHOD-PEP\TI_asb-239-PREV-RHOD-PEP.txt"," 1")</f>
        <v xml:space="preserve"> 1</v>
      </c>
      <c r="BJ138" s="26" t="s">
        <v>1539</v>
      </c>
      <c r="BK138" s="26">
        <v>26.2</v>
      </c>
      <c r="BL138" s="26">
        <v>24</v>
      </c>
      <c r="BM138" s="26">
        <v>1376</v>
      </c>
      <c r="BN138" s="26">
        <v>37</v>
      </c>
      <c r="BO138" s="26">
        <v>2</v>
      </c>
      <c r="BP138" s="26">
        <v>15</v>
      </c>
      <c r="BQ138" s="26">
        <v>0</v>
      </c>
      <c r="BR138" s="26">
        <v>701</v>
      </c>
      <c r="BS138" s="26">
        <v>219</v>
      </c>
      <c r="BT138" s="26">
        <v>1</v>
      </c>
      <c r="BU138" s="26" t="s">
        <v>54</v>
      </c>
      <c r="BV138" s="26" t="s">
        <v>1540</v>
      </c>
      <c r="BW138" s="26" t="s">
        <v>56</v>
      </c>
      <c r="BX138" s="26" t="str">
        <f>HYPERLINK(".\links\PREV-RHOD-CDS\TI_asb-239-PREV-RHOD-CDS.txt","Contig2580_1")</f>
        <v>Contig2580_1</v>
      </c>
      <c r="BY138" s="26">
        <v>4.0000000000000001E-3</v>
      </c>
      <c r="BZ138" s="26" t="s">
        <v>1541</v>
      </c>
      <c r="CA138" s="26">
        <v>42.1</v>
      </c>
      <c r="CB138" s="26">
        <v>20</v>
      </c>
      <c r="CC138" s="26">
        <v>57</v>
      </c>
      <c r="CD138" s="26">
        <v>100</v>
      </c>
      <c r="CE138" s="26">
        <v>37</v>
      </c>
      <c r="CF138" s="26">
        <v>0</v>
      </c>
      <c r="CG138" s="26">
        <v>0</v>
      </c>
      <c r="CH138" s="26">
        <v>1</v>
      </c>
      <c r="CI138" s="26">
        <v>275</v>
      </c>
      <c r="CJ138" s="26">
        <v>1</v>
      </c>
      <c r="CK138" s="26" t="s">
        <v>64</v>
      </c>
      <c r="CL138" s="26" t="s">
        <v>1542</v>
      </c>
      <c r="CM138" s="26">
        <f>HYPERLINK(".\links\GO\TI_asb-239-GO.txt",0.000000000000001)</f>
        <v>1.0000000000000001E-15</v>
      </c>
      <c r="CN138" s="26" t="s">
        <v>323</v>
      </c>
      <c r="CO138" s="26" t="s">
        <v>324</v>
      </c>
      <c r="CP138" s="26" t="s">
        <v>325</v>
      </c>
      <c r="CQ138" s="26" t="s">
        <v>326</v>
      </c>
      <c r="CR138" s="26">
        <v>7.6</v>
      </c>
      <c r="CS138" s="26" t="s">
        <v>91</v>
      </c>
      <c r="CT138" s="26" t="s">
        <v>75</v>
      </c>
      <c r="CU138" s="26" t="s">
        <v>92</v>
      </c>
      <c r="CV138" s="26" t="s">
        <v>93</v>
      </c>
      <c r="CW138" s="26">
        <v>7.6</v>
      </c>
      <c r="CX138" s="26" t="s">
        <v>327</v>
      </c>
      <c r="CY138" s="26" t="s">
        <v>324</v>
      </c>
      <c r="CZ138" s="26" t="s">
        <v>325</v>
      </c>
      <c r="DA138" s="26" t="s">
        <v>328</v>
      </c>
      <c r="DB138" s="26">
        <v>7.6</v>
      </c>
      <c r="DC138" s="26" t="str">
        <f>HYPERLINK(".\links\CDD\TI_asb-239-CDD.txt","Oxidored_q3")</f>
        <v>Oxidored_q3</v>
      </c>
      <c r="DD138" s="26" t="str">
        <f>HYPERLINK("http://www.ncbi.nlm.nih.gov/Structure/cdd/cddsrv.cgi?uid=pfam00499&amp;version=v4.0","3E-023")</f>
        <v>3E-023</v>
      </c>
      <c r="DE138" s="26" t="s">
        <v>1543</v>
      </c>
      <c r="DF138" s="26" t="str">
        <f>HYPERLINK(".\links\PFAM\TI_asb-239-PFAM.txt","Oxidored_q3")</f>
        <v>Oxidored_q3</v>
      </c>
      <c r="DG138" s="26" t="str">
        <f>HYPERLINK("http://pfam.sanger.ac.uk/family?acc=PF00499","1E-025")</f>
        <v>1E-025</v>
      </c>
      <c r="DH138" s="26" t="str">
        <f>HYPERLINK(".\links\PRK\TI_asb-239-PRK.txt","NADH dehydrogenase subunit 6")</f>
        <v>NADH dehydrogenase subunit 6</v>
      </c>
      <c r="DI138" s="28">
        <v>4.9999999999999998E-45</v>
      </c>
      <c r="DJ138" s="26" t="str">
        <f>HYPERLINK(".\links\KOG\TI_asb-239-KOG.txt","CBF1-interacting corepressor CIR and related proteins")</f>
        <v>CBF1-interacting corepressor CIR and related proteins</v>
      </c>
      <c r="DK138" s="26" t="str">
        <f>HYPERLINK("http://www.ncbi.nlm.nih.gov/COG/grace/shokog.cgi?KOG3794","0.015")</f>
        <v>0.015</v>
      </c>
      <c r="DL138" s="26" t="s">
        <v>4343</v>
      </c>
      <c r="DM138" s="26" t="str">
        <f>HYPERLINK(".\links\KOG\TI_asb-239-KOG.txt","KOG3794")</f>
        <v>KOG3794</v>
      </c>
      <c r="DN138" s="26" t="str">
        <f>HYPERLINK(".\links\SMART\TI_asb-239-SMART.txt","AgrB")</f>
        <v>AgrB</v>
      </c>
      <c r="DO138" s="26" t="str">
        <f>HYPERLINK("http://smart.embl-heidelberg.de/smart/do_annotation.pl?DOMAIN=AgrB&amp;BLAST=DUMMY","2E-004")</f>
        <v>2E-004</v>
      </c>
      <c r="DP138" s="26" t="s">
        <v>56</v>
      </c>
      <c r="ED138" s="26" t="str">
        <f>HYPERLINK(".\links\MIT-PLA\TI_asb-239-MIT-PLA.txt","Triatoma dimidiata mitochondrial DNA, complete genome")</f>
        <v>Triatoma dimidiata mitochondrial DNA, complete genome</v>
      </c>
      <c r="EE138" s="26" t="str">
        <f>HYPERLINK("http://www.ncbi.nlm.nih.gov/entrez/viewer.fcgi?db=nucleotide&amp;val=11139100","8E-044")</f>
        <v>8E-044</v>
      </c>
      <c r="EF138" s="26" t="str">
        <f>HYPERLINK("http://www.ncbi.nlm.nih.gov/entrez/viewer.fcgi?db=nucleotide&amp;val=11139100","gi|11139100")</f>
        <v>gi|11139100</v>
      </c>
      <c r="EG138" s="26">
        <v>176</v>
      </c>
      <c r="EH138" s="26">
        <v>426</v>
      </c>
      <c r="EI138" s="26">
        <v>17019</v>
      </c>
      <c r="EJ138" s="26">
        <v>88</v>
      </c>
      <c r="EK138" s="26">
        <v>3</v>
      </c>
      <c r="EL138" s="26">
        <v>19</v>
      </c>
      <c r="EM138" s="26">
        <v>0</v>
      </c>
      <c r="EN138" s="26">
        <v>9821</v>
      </c>
      <c r="EO138" s="26">
        <v>59</v>
      </c>
      <c r="EP138" s="26">
        <v>2</v>
      </c>
      <c r="EQ138" s="26" t="s">
        <v>54</v>
      </c>
    </row>
    <row r="139" spans="1:147">
      <c r="A139" t="str">
        <f>HYPERLINK(".\links\seq\TI_asb-240-seq.txt","TI_asb-240")</f>
        <v>TI_asb-240</v>
      </c>
      <c r="B139">
        <v>240</v>
      </c>
      <c r="C139" t="str">
        <f>HYPERLINK(".\links\tsa\TI_asb-240-tsa.txt","2")</f>
        <v>2</v>
      </c>
      <c r="D139">
        <v>2</v>
      </c>
      <c r="E139">
        <v>489</v>
      </c>
      <c r="F139">
        <v>462</v>
      </c>
      <c r="G139" t="str">
        <f>HYPERLINK(".\links\qual\TI_asb-240-qual.txt","75")</f>
        <v>75</v>
      </c>
      <c r="H139">
        <v>2</v>
      </c>
      <c r="I139">
        <v>0</v>
      </c>
      <c r="J139">
        <f t="shared" si="6"/>
        <v>2</v>
      </c>
      <c r="K139" s="6">
        <f t="shared" si="7"/>
        <v>2</v>
      </c>
      <c r="L139" s="6" t="s">
        <v>3868</v>
      </c>
      <c r="M139" s="6" t="s">
        <v>3869</v>
      </c>
      <c r="N139" s="6"/>
      <c r="O139" s="6"/>
      <c r="P139" s="6"/>
      <c r="Q139" s="3">
        <v>489</v>
      </c>
      <c r="R139" s="3">
        <v>180</v>
      </c>
      <c r="S139" s="3" t="s">
        <v>3618</v>
      </c>
      <c r="T139" s="3">
        <v>4</v>
      </c>
      <c r="U139" t="str">
        <f>HYPERLINK(".\links\NR-LIGHT\TI_asb-240-NR-LIGHT.txt","queuine tRNA-ribosyltransferase")</f>
        <v>queuine tRNA-ribosyltransferase</v>
      </c>
      <c r="V139" t="str">
        <f>HYPERLINK("http://www.ncbi.nlm.nih.gov/sutils/blink.cgi?pid=82753414","0.22")</f>
        <v>0.22</v>
      </c>
      <c r="W139" t="str">
        <f>HYPERLINK(".\links\NR-LIGHT\TI_asb-240-NR-LIGHT.txt"," 10")</f>
        <v xml:space="preserve"> 10</v>
      </c>
      <c r="X139" t="str">
        <f>HYPERLINK("http://www.ncbi.nlm.nih.gov/protein/82753414","gi|82753414")</f>
        <v>gi|82753414</v>
      </c>
      <c r="Y139">
        <v>37</v>
      </c>
      <c r="Z139">
        <v>93</v>
      </c>
      <c r="AA139">
        <v>236</v>
      </c>
      <c r="AB139">
        <v>34</v>
      </c>
      <c r="AC139">
        <v>39</v>
      </c>
      <c r="AD139">
        <v>61</v>
      </c>
      <c r="AE139">
        <v>6</v>
      </c>
      <c r="AF139">
        <v>144</v>
      </c>
      <c r="AG139">
        <v>174</v>
      </c>
      <c r="AH139">
        <v>1</v>
      </c>
      <c r="AI139">
        <v>3</v>
      </c>
      <c r="AJ139" t="s">
        <v>53</v>
      </c>
      <c r="AK139" t="s">
        <v>54</v>
      </c>
      <c r="AL139" t="s">
        <v>1544</v>
      </c>
      <c r="AM139" t="str">
        <f>HYPERLINK(".\links\SWISSP\TI_asb-240-SWISSP.txt","Serine/threonine-protein phosphatase 4 regulatory subunit 3 OS=Xenopus")</f>
        <v>Serine/threonine-protein phosphatase 4 regulatory subunit 3 OS=Xenopus</v>
      </c>
      <c r="AN139" s="19" t="str">
        <f>HYPERLINK("http://www.uniprot.org/uniprot/Q6DFT3","0.28")</f>
        <v>0.28</v>
      </c>
      <c r="AO139" t="str">
        <f>HYPERLINK(".\links\SWISSP\TI_asb-240-SWISSP.txt"," 6")</f>
        <v xml:space="preserve"> 6</v>
      </c>
      <c r="AP139" t="s">
        <v>1545</v>
      </c>
      <c r="AQ139">
        <v>34.700000000000003</v>
      </c>
      <c r="AR139">
        <v>70</v>
      </c>
      <c r="AS139">
        <v>820</v>
      </c>
      <c r="AT139">
        <v>35</v>
      </c>
      <c r="AU139">
        <v>9</v>
      </c>
      <c r="AV139">
        <v>45</v>
      </c>
      <c r="AW139">
        <v>1</v>
      </c>
      <c r="AX139">
        <v>536</v>
      </c>
      <c r="AY139">
        <v>201</v>
      </c>
      <c r="AZ139">
        <v>1</v>
      </c>
      <c r="BA139">
        <v>3</v>
      </c>
      <c r="BB139" t="s">
        <v>53</v>
      </c>
      <c r="BC139" t="s">
        <v>54</v>
      </c>
      <c r="BD139" t="s">
        <v>1302</v>
      </c>
      <c r="BE139" t="s">
        <v>1546</v>
      </c>
      <c r="BF139" t="s">
        <v>1547</v>
      </c>
      <c r="BG139" t="str">
        <f>HYPERLINK(".\links\PREV-RHOD-PEP\TI_asb-240-PREV-RHOD-PEP.txt","Contig17439_6")</f>
        <v>Contig17439_6</v>
      </c>
      <c r="BH139" s="6">
        <v>1.6E-2</v>
      </c>
      <c r="BI139" t="str">
        <f>HYPERLINK(".\links\PREV-RHOD-PEP\TI_asb-240-PREV-RHOD-PEP.txt"," 5")</f>
        <v xml:space="preserve"> 5</v>
      </c>
      <c r="BJ139" t="s">
        <v>1548</v>
      </c>
      <c r="BK139">
        <v>35</v>
      </c>
      <c r="BL139">
        <v>49</v>
      </c>
      <c r="BM139">
        <v>808</v>
      </c>
      <c r="BN139">
        <v>38</v>
      </c>
      <c r="BO139">
        <v>6</v>
      </c>
      <c r="BP139">
        <v>30</v>
      </c>
      <c r="BQ139">
        <v>0</v>
      </c>
      <c r="BR139">
        <v>78</v>
      </c>
      <c r="BS139">
        <v>237</v>
      </c>
      <c r="BT139">
        <v>1</v>
      </c>
      <c r="BU139" t="s">
        <v>54</v>
      </c>
      <c r="BV139" t="s">
        <v>1549</v>
      </c>
      <c r="BW139" t="s">
        <v>1550</v>
      </c>
      <c r="BX139" t="str">
        <f>HYPERLINK(".\links\PREV-RHOD-CDS\TI_asb-240-PREV-RHOD-CDS.txt","Contig17942_212")</f>
        <v>Contig17942_212</v>
      </c>
      <c r="BY139" s="6">
        <v>0.95</v>
      </c>
      <c r="BZ139" t="s">
        <v>1289</v>
      </c>
      <c r="CA139">
        <v>34.200000000000003</v>
      </c>
      <c r="CB139">
        <v>16</v>
      </c>
      <c r="CC139">
        <v>4056</v>
      </c>
      <c r="CD139">
        <v>100</v>
      </c>
      <c r="CF139">
        <v>0</v>
      </c>
      <c r="CG139">
        <v>0</v>
      </c>
      <c r="CH139">
        <v>2135</v>
      </c>
      <c r="CI139">
        <v>355</v>
      </c>
      <c r="CJ139">
        <v>1</v>
      </c>
      <c r="CK139" t="s">
        <v>54</v>
      </c>
      <c r="CL139" t="s">
        <v>1551</v>
      </c>
      <c r="CM139">
        <f>HYPERLINK(".\links\GO\TI_asb-240-GO.txt",0.15)</f>
        <v>0.15</v>
      </c>
      <c r="CN139" t="s">
        <v>58</v>
      </c>
      <c r="CO139" t="s">
        <v>58</v>
      </c>
      <c r="CQ139" t="s">
        <v>59</v>
      </c>
      <c r="CR139" s="6">
        <v>0.15</v>
      </c>
      <c r="CS139" t="s">
        <v>60</v>
      </c>
      <c r="CT139" t="s">
        <v>60</v>
      </c>
      <c r="CV139" t="s">
        <v>61</v>
      </c>
      <c r="CW139" s="6">
        <v>0.15</v>
      </c>
      <c r="CX139" t="s">
        <v>1552</v>
      </c>
      <c r="CY139" t="s">
        <v>58</v>
      </c>
      <c r="DA139" t="s">
        <v>1553</v>
      </c>
      <c r="DB139" s="6">
        <v>0.15</v>
      </c>
      <c r="DC139" t="str">
        <f>HYPERLINK(".\links\CDD\TI_asb-240-CDD.txt","DIE2_ALG10")</f>
        <v>DIE2_ALG10</v>
      </c>
      <c r="DD139" t="str">
        <f>HYPERLINK("http://www.ncbi.nlm.nih.gov/Structure/cdd/cddsrv.cgi?uid=pfam04922&amp;version=v4.0","0.006")</f>
        <v>0.006</v>
      </c>
      <c r="DE139" t="s">
        <v>1554</v>
      </c>
      <c r="DF139" t="str">
        <f>HYPERLINK(".\links\PFAM\TI_asb-240-PFAM.txt","DIE2_ALG10")</f>
        <v>DIE2_ALG10</v>
      </c>
      <c r="DG139" t="str">
        <f>HYPERLINK("http://pfam.sanger.ac.uk/family?acc=PF04922","7E-004")</f>
        <v>7E-004</v>
      </c>
      <c r="DH139" t="str">
        <f>HYPERLINK(".\links\PRK\TI_asb-240-PRK.txt","NADH dehydrogenase subunit 5")</f>
        <v>NADH dehydrogenase subunit 5</v>
      </c>
      <c r="DI139" s="6">
        <v>1.9E-2</v>
      </c>
      <c r="DJ139" s="6" t="str">
        <f>HYPERLINK(".\links\KOG\TI_asb-240-KOG.txt","Cyclic nucleotide-gated cation channel CNGA1-3 and related proteins")</f>
        <v>Cyclic nucleotide-gated cation channel CNGA1-3 and related proteins</v>
      </c>
      <c r="DK139" s="6" t="str">
        <f>HYPERLINK("http://www.ncbi.nlm.nih.gov/COG/grace/shokog.cgi?KOG0500","0.039")</f>
        <v>0.039</v>
      </c>
      <c r="DL139" s="6" t="s">
        <v>4364</v>
      </c>
      <c r="DM139" s="6" t="str">
        <f>HYPERLINK(".\links\KOG\TI_asb-240-KOG.txt","KOG0500")</f>
        <v>KOG0500</v>
      </c>
      <c r="DN139" t="s">
        <v>56</v>
      </c>
      <c r="DO139" t="s">
        <v>56</v>
      </c>
      <c r="DP139" s="3" t="s">
        <v>56</v>
      </c>
      <c r="ED139" s="3" t="s">
        <v>56</v>
      </c>
    </row>
    <row r="140" spans="1:147">
      <c r="A140" t="str">
        <f>HYPERLINK(".\links\seq\TI_asb-241-seq.txt","TI_asb-241")</f>
        <v>TI_asb-241</v>
      </c>
      <c r="B140">
        <v>241</v>
      </c>
      <c r="C140" t="str">
        <f>HYPERLINK(".\links\tsa\TI_asb-241-tsa.txt","2")</f>
        <v>2</v>
      </c>
      <c r="D140">
        <v>2</v>
      </c>
      <c r="E140">
        <v>916</v>
      </c>
      <c r="F140">
        <v>897</v>
      </c>
      <c r="G140" t="str">
        <f>HYPERLINK(".\links\qual\TI_asb-241-qual.txt","58")</f>
        <v>58</v>
      </c>
      <c r="H140">
        <v>2</v>
      </c>
      <c r="I140">
        <v>0</v>
      </c>
      <c r="J140">
        <f t="shared" si="6"/>
        <v>2</v>
      </c>
      <c r="K140" s="6">
        <f t="shared" si="7"/>
        <v>2</v>
      </c>
      <c r="L140" s="6" t="s">
        <v>3916</v>
      </c>
      <c r="M140" s="6" t="s">
        <v>3917</v>
      </c>
      <c r="N140" s="6" t="s">
        <v>3902</v>
      </c>
      <c r="O140" s="6">
        <v>1E-10</v>
      </c>
      <c r="P140" s="6">
        <v>101.7</v>
      </c>
      <c r="Q140" s="3">
        <v>916</v>
      </c>
      <c r="R140" s="3">
        <v>789</v>
      </c>
      <c r="S140" s="4" t="s">
        <v>3619</v>
      </c>
      <c r="T140" s="3">
        <v>2</v>
      </c>
      <c r="U140" t="str">
        <f>HYPERLINK(".\links\NR-LIGHT\TI_asb-241-NR-LIGHT.txt","hypothetical protein AaeL_AAEL012646")</f>
        <v>hypothetical protein AaeL_AAEL012646</v>
      </c>
      <c r="V140" t="str">
        <f>HYPERLINK("http://www.ncbi.nlm.nih.gov/sutils/blink.cgi?pid=157133152","5E-019")</f>
        <v>5E-019</v>
      </c>
      <c r="W140" t="str">
        <f>HYPERLINK(".\links\NR-LIGHT\TI_asb-241-NR-LIGHT.txt"," 10")</f>
        <v xml:space="preserve"> 10</v>
      </c>
      <c r="X140" t="str">
        <f>HYPERLINK("http://www.ncbi.nlm.nih.gov/protein/157133152","gi|157133152")</f>
        <v>gi|157133152</v>
      </c>
      <c r="Y140">
        <v>97.4</v>
      </c>
      <c r="Z140">
        <v>242</v>
      </c>
      <c r="AA140">
        <v>271</v>
      </c>
      <c r="AB140">
        <v>31</v>
      </c>
      <c r="AC140">
        <v>89</v>
      </c>
      <c r="AD140">
        <v>165</v>
      </c>
      <c r="AE140">
        <v>12</v>
      </c>
      <c r="AF140">
        <v>37</v>
      </c>
      <c r="AG140">
        <v>89</v>
      </c>
      <c r="AH140">
        <v>1</v>
      </c>
      <c r="AI140">
        <v>2</v>
      </c>
      <c r="AJ140" t="s">
        <v>53</v>
      </c>
      <c r="AK140" t="s">
        <v>54</v>
      </c>
      <c r="AL140" t="s">
        <v>120</v>
      </c>
      <c r="AM140" t="str">
        <f>HYPERLINK(".\links\SWISSP\TI_asb-241-SWISSP.txt","Probable endochitinase OS=Caenorhabditis elegans GN=cht-1 PE=1 SV=1")</f>
        <v>Probable endochitinase OS=Caenorhabditis elegans GN=cht-1 PE=1 SV=1</v>
      </c>
      <c r="AN140" s="19" t="str">
        <f>HYPERLINK("http://www.uniprot.org/uniprot/Q11174","0.006")</f>
        <v>0.006</v>
      </c>
      <c r="AO140" t="str">
        <f>HYPERLINK(".\links\SWISSP\TI_asb-241-SWISSP.txt"," 10")</f>
        <v xml:space="preserve"> 10</v>
      </c>
      <c r="AP140" t="s">
        <v>1555</v>
      </c>
      <c r="AQ140">
        <v>42</v>
      </c>
      <c r="AR140">
        <v>60</v>
      </c>
      <c r="AS140">
        <v>617</v>
      </c>
      <c r="AT140">
        <v>40</v>
      </c>
      <c r="AU140">
        <v>10</v>
      </c>
      <c r="AV140">
        <v>36</v>
      </c>
      <c r="AW140">
        <v>0</v>
      </c>
      <c r="AX140">
        <v>561</v>
      </c>
      <c r="AY140">
        <v>272</v>
      </c>
      <c r="AZ140">
        <v>1</v>
      </c>
      <c r="BA140">
        <v>2</v>
      </c>
      <c r="BB140" t="s">
        <v>53</v>
      </c>
      <c r="BC140" t="s">
        <v>54</v>
      </c>
      <c r="BD140" t="s">
        <v>385</v>
      </c>
      <c r="BE140" t="s">
        <v>1556</v>
      </c>
      <c r="BF140" t="s">
        <v>1557</v>
      </c>
      <c r="BG140" t="str">
        <f>HYPERLINK(".\links\PREV-RHOD-PEP\TI_asb-241-PREV-RHOD-PEP.txt","Contig18037_4")</f>
        <v>Contig18037_4</v>
      </c>
      <c r="BH140" s="7">
        <v>4.9999999999999999E-96</v>
      </c>
      <c r="BI140" t="str">
        <f>HYPERLINK(".\links\PREV-RHOD-PEP\TI_asb-241-PREV-RHOD-PEP.txt"," 10")</f>
        <v xml:space="preserve"> 10</v>
      </c>
      <c r="BJ140" t="s">
        <v>1558</v>
      </c>
      <c r="BK140">
        <v>347</v>
      </c>
      <c r="BL140">
        <v>252</v>
      </c>
      <c r="BM140">
        <v>574</v>
      </c>
      <c r="BN140">
        <v>63</v>
      </c>
      <c r="BO140">
        <v>44</v>
      </c>
      <c r="BP140">
        <v>92</v>
      </c>
      <c r="BQ140">
        <v>1</v>
      </c>
      <c r="BR140">
        <v>311</v>
      </c>
      <c r="BS140">
        <v>29</v>
      </c>
      <c r="BT140">
        <v>1</v>
      </c>
      <c r="BU140" t="s">
        <v>54</v>
      </c>
      <c r="BV140" t="s">
        <v>1559</v>
      </c>
      <c r="BW140" t="s">
        <v>56</v>
      </c>
      <c r="BX140" t="str">
        <f>HYPERLINK(".\links\PREV-RHOD-CDS\TI_asb-241-PREV-RHOD-CDS.txt","Contig18037_4")</f>
        <v>Contig18037_4</v>
      </c>
      <c r="BY140" s="7">
        <v>4.0000000000000003E-17</v>
      </c>
      <c r="BZ140" t="s">
        <v>1558</v>
      </c>
      <c r="CA140">
        <v>89.7</v>
      </c>
      <c r="CB140">
        <v>507</v>
      </c>
      <c r="CC140">
        <v>1725</v>
      </c>
      <c r="CD140">
        <v>79</v>
      </c>
      <c r="CE140">
        <v>29</v>
      </c>
      <c r="CF140">
        <v>47</v>
      </c>
      <c r="CG140">
        <v>0</v>
      </c>
      <c r="CH140">
        <v>1114</v>
      </c>
      <c r="CI140">
        <v>212</v>
      </c>
      <c r="CJ140">
        <v>2</v>
      </c>
      <c r="CK140" t="s">
        <v>54</v>
      </c>
      <c r="CL140" t="s">
        <v>565</v>
      </c>
      <c r="CM140">
        <f>HYPERLINK(".\links\GO\TI_asb-241-GO.txt",0.00002)</f>
        <v>2.0000000000000002E-5</v>
      </c>
      <c r="CN140" t="s">
        <v>1560</v>
      </c>
      <c r="CO140" t="s">
        <v>185</v>
      </c>
      <c r="CP140" t="s">
        <v>569</v>
      </c>
      <c r="CQ140" t="s">
        <v>1561</v>
      </c>
      <c r="CR140" s="6">
        <v>8.0000000000000002E-3</v>
      </c>
      <c r="CS140" t="s">
        <v>60</v>
      </c>
      <c r="CT140" t="s">
        <v>60</v>
      </c>
      <c r="CV140" t="s">
        <v>61</v>
      </c>
      <c r="CW140" s="6">
        <v>8.0000000000000002E-3</v>
      </c>
      <c r="CX140" t="s">
        <v>62</v>
      </c>
      <c r="CY140" t="s">
        <v>185</v>
      </c>
      <c r="CZ140" t="s">
        <v>569</v>
      </c>
      <c r="DA140" t="s">
        <v>63</v>
      </c>
      <c r="DB140" s="6">
        <v>8.0000000000000002E-3</v>
      </c>
      <c r="DC140" t="str">
        <f>HYPERLINK(".\links\CDD\TI_asb-241-CDD.txt","CBM_14")</f>
        <v>CBM_14</v>
      </c>
      <c r="DD140" t="str">
        <f>HYPERLINK("http://www.ncbi.nlm.nih.gov/Structure/cdd/cddsrv.cgi?uid=pfam01607&amp;version=v4.0","3E-009")</f>
        <v>3E-009</v>
      </c>
      <c r="DE140" t="s">
        <v>1562</v>
      </c>
      <c r="DF140" t="str">
        <f>HYPERLINK(".\links\PFAM\TI_asb-241-PFAM.txt","CBM_14")</f>
        <v>CBM_14</v>
      </c>
      <c r="DG140" t="str">
        <f>HYPERLINK("http://pfam.sanger.ac.uk/family?acc=PF01607","8E-010")</f>
        <v>8E-010</v>
      </c>
      <c r="DH140" t="s">
        <v>56</v>
      </c>
      <c r="DI140" s="6" t="s">
        <v>56</v>
      </c>
      <c r="DJ140" s="6" t="str">
        <f>HYPERLINK(".\links\KOG\TI_asb-241-KOG.txt","Fibrillins and related proteins containing Ca2+-binding EGF-like domains")</f>
        <v>Fibrillins and related proteins containing Ca2+-binding EGF-like domains</v>
      </c>
      <c r="DK140" s="6" t="str">
        <f>HYPERLINK("http://www.ncbi.nlm.nih.gov/COG/grace/shokog.cgi?KOG1217","3E-004")</f>
        <v>3E-004</v>
      </c>
      <c r="DL140" s="6" t="s">
        <v>4342</v>
      </c>
      <c r="DM140" s="6" t="str">
        <f>HYPERLINK(".\links\KOG\TI_asb-241-KOG.txt","KOG1217")</f>
        <v>KOG1217</v>
      </c>
      <c r="DN140" t="str">
        <f>HYPERLINK(".\links\SMART\TI_asb-241-SMART.txt","ChtBD2")</f>
        <v>ChtBD2</v>
      </c>
      <c r="DO140" t="str">
        <f>HYPERLINK("http://smart.embl-heidelberg.de/smart/do_annotation.pl?DOMAIN=ChtBD2&amp;BLAST=DUMMY","1E-010")</f>
        <v>1E-010</v>
      </c>
      <c r="DP140" s="3" t="s">
        <v>56</v>
      </c>
      <c r="ED140" s="3" t="s">
        <v>56</v>
      </c>
    </row>
    <row r="141" spans="1:147" s="26" customFormat="1">
      <c r="A141" s="26" t="str">
        <f>HYPERLINK(".\links\seq\TI_asb-242-seq.txt","TI_asb-242")</f>
        <v>TI_asb-242</v>
      </c>
      <c r="B141" s="26">
        <v>242</v>
      </c>
      <c r="C141" s="27" t="str">
        <f>HYPERLINK(".\links\tsa\TI_asb-242-tsa.txt","2")</f>
        <v>2</v>
      </c>
      <c r="D141" s="26">
        <v>2</v>
      </c>
      <c r="E141" s="26">
        <v>509</v>
      </c>
      <c r="F141" s="26">
        <v>475</v>
      </c>
      <c r="G141" s="26" t="str">
        <f>HYPERLINK(".\links\qual\TI_asb-242-qual.txt","86")</f>
        <v>86</v>
      </c>
      <c r="H141" s="26">
        <v>0</v>
      </c>
      <c r="I141" s="26">
        <v>2</v>
      </c>
      <c r="J141" s="26">
        <f t="shared" si="6"/>
        <v>2</v>
      </c>
      <c r="K141" s="26">
        <f t="shared" si="7"/>
        <v>-2</v>
      </c>
      <c r="L141" s="26" t="s">
        <v>3973</v>
      </c>
      <c r="M141" s="26" t="s">
        <v>3871</v>
      </c>
      <c r="N141" s="26" t="s">
        <v>3864</v>
      </c>
      <c r="O141" s="28">
        <v>2.0000000000000002E-31</v>
      </c>
      <c r="P141" s="26">
        <v>19.5</v>
      </c>
      <c r="Q141" s="26">
        <v>509</v>
      </c>
      <c r="R141" s="26">
        <v>498</v>
      </c>
      <c r="S141" s="26" t="s">
        <v>3620</v>
      </c>
      <c r="T141" s="26">
        <v>2</v>
      </c>
      <c r="U141" s="26" t="str">
        <f>HYPERLINK(".\links\NR-LIGHT\TI_asb-242-NR-LIGHT.txt","similar to inorganic phosphate cotransporter, putative")</f>
        <v>similar to inorganic phosphate cotransporter, putative</v>
      </c>
      <c r="V141" s="26" t="str">
        <f>HYPERLINK("http://www.ncbi.nlm.nih.gov/sutils/blink.cgi?pid=193709300","2E-031")</f>
        <v>2E-031</v>
      </c>
      <c r="W141" s="26" t="str">
        <f>HYPERLINK(".\links\NR-LIGHT\TI_asb-242-NR-LIGHT.txt"," 10")</f>
        <v xml:space="preserve"> 10</v>
      </c>
      <c r="X141" s="26" t="str">
        <f>HYPERLINK("http://www.ncbi.nlm.nih.gov/protein/193709300","gi|193709300")</f>
        <v>gi|193709300</v>
      </c>
      <c r="Y141" s="26">
        <v>137</v>
      </c>
      <c r="Z141" s="26">
        <v>108</v>
      </c>
      <c r="AA141" s="26">
        <v>553</v>
      </c>
      <c r="AB141" s="26">
        <v>61</v>
      </c>
      <c r="AC141" s="26">
        <v>20</v>
      </c>
      <c r="AD141" s="26">
        <v>42</v>
      </c>
      <c r="AE141" s="26">
        <v>1</v>
      </c>
      <c r="AF141" s="26">
        <v>58</v>
      </c>
      <c r="AG141" s="26">
        <v>155</v>
      </c>
      <c r="AH141" s="26">
        <v>1</v>
      </c>
      <c r="AI141" s="26">
        <v>2</v>
      </c>
      <c r="AJ141" s="26" t="s">
        <v>53</v>
      </c>
      <c r="AK141" s="26" t="s">
        <v>54</v>
      </c>
      <c r="AL141" s="26" t="s">
        <v>177</v>
      </c>
      <c r="AM141" s="26" t="str">
        <f>HYPERLINK(".\links\SWISSP\TI_asb-242-SWISSP.txt","Putative inorganic phosphate cotransporter OS=Drosophila melanogaster GN=Picot")</f>
        <v>Putative inorganic phosphate cotransporter OS=Drosophila melanogaster GN=Picot</v>
      </c>
      <c r="AN141" s="29" t="str">
        <f>HYPERLINK("http://www.uniprot.org/uniprot/Q9V7S5","3E-023")</f>
        <v>3E-023</v>
      </c>
      <c r="AO141" s="26" t="str">
        <f>HYPERLINK(".\links\SWISSP\TI_asb-242-SWISSP.txt"," 10")</f>
        <v xml:space="preserve"> 10</v>
      </c>
      <c r="AP141" s="26" t="s">
        <v>1465</v>
      </c>
      <c r="AQ141" s="26">
        <v>107</v>
      </c>
      <c r="AR141" s="26">
        <v>98</v>
      </c>
      <c r="AS141" s="26">
        <v>529</v>
      </c>
      <c r="AT141" s="26">
        <v>57</v>
      </c>
      <c r="AU141" s="26">
        <v>19</v>
      </c>
      <c r="AV141" s="26">
        <v>42</v>
      </c>
      <c r="AW141" s="26">
        <v>1</v>
      </c>
      <c r="AX141" s="26">
        <v>37</v>
      </c>
      <c r="AY141" s="26">
        <v>182</v>
      </c>
      <c r="AZ141" s="26">
        <v>1</v>
      </c>
      <c r="BA141" s="26">
        <v>2</v>
      </c>
      <c r="BB141" s="26" t="s">
        <v>53</v>
      </c>
      <c r="BC141" s="26" t="s">
        <v>54</v>
      </c>
      <c r="BD141" s="26" t="s">
        <v>143</v>
      </c>
      <c r="BE141" s="26" t="s">
        <v>1563</v>
      </c>
      <c r="BF141" s="26" t="s">
        <v>1564</v>
      </c>
      <c r="BG141" s="26" t="str">
        <f>HYPERLINK(".\links\PREV-RHOD-PEP\TI_asb-242-PREV-RHOD-PEP.txt","Contig17873_2")</f>
        <v>Contig17873_2</v>
      </c>
      <c r="BH141" s="28">
        <v>2E-45</v>
      </c>
      <c r="BI141" s="26" t="str">
        <f>HYPERLINK(".\links\PREV-RHOD-PEP\TI_asb-242-PREV-RHOD-PEP.txt"," 10")</f>
        <v xml:space="preserve"> 10</v>
      </c>
      <c r="BJ141" s="26" t="s">
        <v>1466</v>
      </c>
      <c r="BK141" s="26">
        <v>177</v>
      </c>
      <c r="BL141" s="26">
        <v>100</v>
      </c>
      <c r="BM141" s="26">
        <v>466</v>
      </c>
      <c r="BN141" s="26">
        <v>83</v>
      </c>
      <c r="BO141" s="26">
        <v>21</v>
      </c>
      <c r="BP141" s="26">
        <v>17</v>
      </c>
      <c r="BQ141" s="26">
        <v>0</v>
      </c>
      <c r="BR141" s="26">
        <v>36</v>
      </c>
      <c r="BS141" s="26">
        <v>173</v>
      </c>
      <c r="BT141" s="26">
        <v>1</v>
      </c>
      <c r="BU141" s="26" t="s">
        <v>54</v>
      </c>
      <c r="BV141" s="26" t="s">
        <v>1565</v>
      </c>
      <c r="BW141" s="26" t="s">
        <v>56</v>
      </c>
      <c r="BX141" s="26" t="str">
        <f>HYPERLINK(".\links\PREV-RHOD-CDS\TI_asb-242-PREV-RHOD-CDS.txt","Contig17873_2")</f>
        <v>Contig17873_2</v>
      </c>
      <c r="BY141" s="28">
        <v>1E-52</v>
      </c>
      <c r="BZ141" s="26" t="s">
        <v>1466</v>
      </c>
      <c r="CA141" s="26">
        <v>206</v>
      </c>
      <c r="CB141" s="26">
        <v>295</v>
      </c>
      <c r="CC141" s="26">
        <v>1401</v>
      </c>
      <c r="CD141" s="26">
        <v>83</v>
      </c>
      <c r="CE141" s="26">
        <v>21</v>
      </c>
      <c r="CF141" s="26">
        <v>48</v>
      </c>
      <c r="CG141" s="26">
        <v>0</v>
      </c>
      <c r="CH141" s="26">
        <v>110</v>
      </c>
      <c r="CI141" s="26">
        <v>177</v>
      </c>
      <c r="CJ141" s="26">
        <v>1</v>
      </c>
      <c r="CK141" s="26" t="s">
        <v>54</v>
      </c>
      <c r="CL141" s="26" t="s">
        <v>1467</v>
      </c>
      <c r="CM141" s="26">
        <f>HYPERLINK(".\links\GO\TI_asb-242-GO.txt",9E-24)</f>
        <v>8.9999999999999995E-24</v>
      </c>
      <c r="CN141" s="26" t="s">
        <v>1468</v>
      </c>
      <c r="CO141" s="26" t="s">
        <v>88</v>
      </c>
      <c r="CP141" s="26" t="s">
        <v>89</v>
      </c>
      <c r="CQ141" s="26" t="s">
        <v>1469</v>
      </c>
      <c r="CR141" s="28">
        <v>8.9999999999999995E-24</v>
      </c>
      <c r="CS141" s="26" t="s">
        <v>91</v>
      </c>
      <c r="CT141" s="26" t="s">
        <v>75</v>
      </c>
      <c r="CU141" s="26" t="s">
        <v>92</v>
      </c>
      <c r="CV141" s="26" t="s">
        <v>93</v>
      </c>
      <c r="CW141" s="28">
        <v>8.9999999999999995E-24</v>
      </c>
      <c r="CX141" s="26" t="s">
        <v>1470</v>
      </c>
      <c r="CY141" s="26" t="s">
        <v>88</v>
      </c>
      <c r="CZ141" s="26" t="s">
        <v>89</v>
      </c>
      <c r="DA141" s="26" t="s">
        <v>1471</v>
      </c>
      <c r="DB141" s="28">
        <v>8.9999999999999995E-24</v>
      </c>
      <c r="DC141" s="26" t="str">
        <f>HYPERLINK(".\links\CDD\TI_asb-242-CDD.txt","PRK10133")</f>
        <v>PRK10133</v>
      </c>
      <c r="DD141" s="26" t="str">
        <f>HYPERLINK("http://www.ncbi.nlm.nih.gov/Structure/cdd/cddsrv.cgi?uid=PRK10133&amp;version=v4.0","0.009")</f>
        <v>0.009</v>
      </c>
      <c r="DE141" s="26" t="s">
        <v>1566</v>
      </c>
      <c r="DF141" s="26" t="str">
        <f>HYPERLINK(".\links\PFAM\TI_asb-242-PFAM.txt","MFS_1")</f>
        <v>MFS_1</v>
      </c>
      <c r="DG141" s="26" t="str">
        <f>HYPERLINK("http://pfam.sanger.ac.uk/family?acc=PF07690","0.004")</f>
        <v>0.004</v>
      </c>
      <c r="DH141" s="26" t="str">
        <f>HYPERLINK(".\links\PRK\TI_asb-242-PRK.txt","galactoside permease")</f>
        <v>galactoside permease</v>
      </c>
      <c r="DI141" s="26">
        <v>3.0000000000000001E-3</v>
      </c>
      <c r="DJ141" s="26" t="str">
        <f>HYPERLINK(".\links\KOG\TI_asb-242-KOG.txt","Permease of the major facilitator superfamily")</f>
        <v>Permease of the major facilitator superfamily</v>
      </c>
      <c r="DK141" s="26" t="str">
        <f>HYPERLINK("http://www.ncbi.nlm.nih.gov/COG/grace/shokog.cgi?KOG2532","6E-015")</f>
        <v>6E-015</v>
      </c>
      <c r="DL141" s="26" t="s">
        <v>4341</v>
      </c>
      <c r="DM141" s="26" t="str">
        <f>HYPERLINK(".\links\KOG\TI_asb-242-KOG.txt","KOG2532")</f>
        <v>KOG2532</v>
      </c>
      <c r="DN141" s="26" t="str">
        <f>HYPERLINK(".\links\SMART\TI_asb-242-SMART.txt","FH")</f>
        <v>FH</v>
      </c>
      <c r="DO141" s="26" t="str">
        <f>HYPERLINK("http://smart.embl-heidelberg.de/smart/do_annotation.pl?DOMAIN=FH&amp;BLAST=DUMMY","0.023")</f>
        <v>0.023</v>
      </c>
      <c r="DP141" s="26" t="s">
        <v>56</v>
      </c>
      <c r="ED141" s="26" t="s">
        <v>56</v>
      </c>
    </row>
    <row r="142" spans="1:147">
      <c r="A142" t="str">
        <f>HYPERLINK(".\links\seq\TI_asb-243-seq.txt","TI_asb-243")</f>
        <v>TI_asb-243</v>
      </c>
      <c r="B142">
        <v>243</v>
      </c>
      <c r="C142" t="str">
        <f>HYPERLINK(".\links\tsa\TI_asb-243-tsa.txt","1")</f>
        <v>1</v>
      </c>
      <c r="D142">
        <v>1</v>
      </c>
      <c r="E142">
        <v>403</v>
      </c>
      <c r="G142" t="str">
        <f>HYPERLINK(".\links\qual\TI_asb-243-qual.txt","28")</f>
        <v>28</v>
      </c>
      <c r="H142">
        <v>1</v>
      </c>
      <c r="I142">
        <v>0</v>
      </c>
      <c r="J142">
        <f t="shared" si="6"/>
        <v>1</v>
      </c>
      <c r="K142" s="6">
        <f t="shared" si="7"/>
        <v>1</v>
      </c>
      <c r="L142" s="6" t="s">
        <v>3868</v>
      </c>
      <c r="M142" s="6" t="s">
        <v>3869</v>
      </c>
      <c r="N142" s="6"/>
      <c r="O142" s="6"/>
      <c r="P142" s="6"/>
      <c r="Q142" s="3">
        <v>403</v>
      </c>
      <c r="R142" s="3">
        <v>246</v>
      </c>
      <c r="S142" s="3" t="s">
        <v>3621</v>
      </c>
      <c r="T142" s="3">
        <v>1</v>
      </c>
      <c r="U142" t="str">
        <f>HYPERLINK(".\links\NR-LIGHT\TI_asb-243-NR-LIGHT.txt","similar to chondroitin sulfate proteoglycan 3, partial")</f>
        <v>similar to chondroitin sulfate proteoglycan 3, partial</v>
      </c>
      <c r="V142" t="str">
        <f>HYPERLINK("http://www.ncbi.nlm.nih.gov/sutils/blink.cgi?pid=198415233","4.5")</f>
        <v>4.5</v>
      </c>
      <c r="W142" t="str">
        <f>HYPERLINK(".\links\NR-LIGHT\TI_asb-243-NR-LIGHT.txt"," 3")</f>
        <v xml:space="preserve"> 3</v>
      </c>
      <c r="X142" t="str">
        <f>HYPERLINK("http://www.ncbi.nlm.nih.gov/protein/198415233","gi|198415233")</f>
        <v>gi|198415233</v>
      </c>
      <c r="Y142">
        <v>32.299999999999997</v>
      </c>
      <c r="Z142">
        <v>55</v>
      </c>
      <c r="AA142">
        <v>1487</v>
      </c>
      <c r="AB142">
        <v>34</v>
      </c>
      <c r="AC142">
        <v>4</v>
      </c>
      <c r="AD142">
        <v>36</v>
      </c>
      <c r="AE142">
        <v>0</v>
      </c>
      <c r="AF142">
        <v>1269</v>
      </c>
      <c r="AG142">
        <v>205</v>
      </c>
      <c r="AH142">
        <v>1</v>
      </c>
      <c r="AI142">
        <v>1</v>
      </c>
      <c r="AJ142" t="s">
        <v>53</v>
      </c>
      <c r="AK142" t="s">
        <v>54</v>
      </c>
      <c r="AL142" t="s">
        <v>1567</v>
      </c>
      <c r="AM142" t="s">
        <v>56</v>
      </c>
      <c r="AN142" s="19" t="s">
        <v>56</v>
      </c>
      <c r="AO142" t="s">
        <v>56</v>
      </c>
      <c r="AP142" t="s">
        <v>56</v>
      </c>
      <c r="AQ142" t="s">
        <v>56</v>
      </c>
      <c r="AR142" t="s">
        <v>56</v>
      </c>
      <c r="AS142" t="s">
        <v>56</v>
      </c>
      <c r="AT142" t="s">
        <v>56</v>
      </c>
      <c r="AU142" t="s">
        <v>56</v>
      </c>
      <c r="AV142" t="s">
        <v>56</v>
      </c>
      <c r="AW142" t="s">
        <v>56</v>
      </c>
      <c r="AX142" t="s">
        <v>56</v>
      </c>
      <c r="AY142" t="s">
        <v>56</v>
      </c>
      <c r="AZ142" t="s">
        <v>56</v>
      </c>
      <c r="BA142" t="s">
        <v>56</v>
      </c>
      <c r="BB142" t="s">
        <v>56</v>
      </c>
      <c r="BC142" t="s">
        <v>56</v>
      </c>
      <c r="BD142" t="s">
        <v>56</v>
      </c>
      <c r="BE142" t="s">
        <v>56</v>
      </c>
      <c r="BF142" t="s">
        <v>56</v>
      </c>
      <c r="BG142" t="str">
        <f>HYPERLINK(".\links\PREV-RHOD-PEP\TI_asb-243-PREV-RHOD-PEP.txt","Contig17728_54")</f>
        <v>Contig17728_54</v>
      </c>
      <c r="BH142" s="7">
        <v>9.9999999999999998E-17</v>
      </c>
      <c r="BI142" t="str">
        <f>HYPERLINK(".\links\PREV-RHOD-PEP\TI_asb-243-PREV-RHOD-PEP.txt"," 5")</f>
        <v xml:space="preserve"> 5</v>
      </c>
      <c r="BJ142" t="s">
        <v>1568</v>
      </c>
      <c r="BK142">
        <v>81.599999999999994</v>
      </c>
      <c r="BL142">
        <v>50</v>
      </c>
      <c r="BM142">
        <v>473</v>
      </c>
      <c r="BN142">
        <v>80</v>
      </c>
      <c r="BO142">
        <v>11</v>
      </c>
      <c r="BP142">
        <v>10</v>
      </c>
      <c r="BQ142">
        <v>1</v>
      </c>
      <c r="BR142">
        <v>1</v>
      </c>
      <c r="BS142">
        <v>256</v>
      </c>
      <c r="BT142">
        <v>1</v>
      </c>
      <c r="BU142" t="s">
        <v>54</v>
      </c>
      <c r="BV142" t="s">
        <v>1569</v>
      </c>
      <c r="BW142" t="s">
        <v>56</v>
      </c>
      <c r="BX142" t="str">
        <f>HYPERLINK(".\links\PREV-RHOD-CDS\TI_asb-243-PREV-RHOD-CDS.txt","Contig17685_19")</f>
        <v>Contig17685_19</v>
      </c>
      <c r="BY142" s="6">
        <v>0.2</v>
      </c>
      <c r="BZ142" t="s">
        <v>1570</v>
      </c>
      <c r="CA142">
        <v>36.200000000000003</v>
      </c>
      <c r="CB142">
        <v>17</v>
      </c>
      <c r="CC142">
        <v>567</v>
      </c>
      <c r="CD142">
        <v>100</v>
      </c>
      <c r="CE142">
        <v>3</v>
      </c>
      <c r="CF142">
        <v>0</v>
      </c>
      <c r="CG142">
        <v>0</v>
      </c>
      <c r="CH142">
        <v>487</v>
      </c>
      <c r="CI142">
        <v>322</v>
      </c>
      <c r="CJ142">
        <v>1</v>
      </c>
      <c r="CK142" t="s">
        <v>54</v>
      </c>
      <c r="CL142" t="s">
        <v>1571</v>
      </c>
      <c r="CM142">
        <f>HYPERLINK(".\links\GO\TI_asb-243-GO.txt",0.45)</f>
        <v>0.45</v>
      </c>
      <c r="CN142" t="s">
        <v>165</v>
      </c>
      <c r="CO142" t="s">
        <v>129</v>
      </c>
      <c r="CP142" t="s">
        <v>166</v>
      </c>
      <c r="CQ142" t="s">
        <v>167</v>
      </c>
      <c r="CR142" s="6">
        <v>8.5</v>
      </c>
      <c r="CS142" t="s">
        <v>56</v>
      </c>
      <c r="CT142" t="s">
        <v>56</v>
      </c>
      <c r="CU142" t="s">
        <v>56</v>
      </c>
      <c r="CV142" t="s">
        <v>56</v>
      </c>
      <c r="CW142" s="6" t="s">
        <v>56</v>
      </c>
      <c r="CX142" t="s">
        <v>56</v>
      </c>
      <c r="CY142" t="s">
        <v>56</v>
      </c>
      <c r="CZ142" t="s">
        <v>56</v>
      </c>
      <c r="DA142" t="s">
        <v>56</v>
      </c>
      <c r="DB142" s="6" t="s">
        <v>56</v>
      </c>
      <c r="DC142" t="str">
        <f>HYPERLINK(".\links\CDD\TI_asb-243-CDD.txt","TraO")</f>
        <v>TraO</v>
      </c>
      <c r="DD142" t="str">
        <f>HYPERLINK("http://www.ncbi.nlm.nih.gov/Structure/cdd/cddsrv.cgi?uid=pfam10626&amp;version=v4.0","0.076")</f>
        <v>0.076</v>
      </c>
      <c r="DE142" t="s">
        <v>1572</v>
      </c>
      <c r="DF142" t="str">
        <f>HYPERLINK(".\links\PFAM\TI_asb-243-PFAM.txt","TraO")</f>
        <v>TraO</v>
      </c>
      <c r="DG142" t="str">
        <f>HYPERLINK("http://pfam.sanger.ac.uk/family?acc=PF10626","0.020")</f>
        <v>0.020</v>
      </c>
      <c r="DH142" t="s">
        <v>56</v>
      </c>
      <c r="DI142" s="6" t="s">
        <v>56</v>
      </c>
      <c r="DJ142" s="6" t="s">
        <v>56</v>
      </c>
      <c r="DN142" t="s">
        <v>56</v>
      </c>
      <c r="DO142" t="s">
        <v>56</v>
      </c>
      <c r="DP142" s="3" t="s">
        <v>56</v>
      </c>
      <c r="ED142" s="3" t="s">
        <v>56</v>
      </c>
    </row>
    <row r="143" spans="1:147">
      <c r="A143" t="str">
        <f>HYPERLINK(".\links\seq\TI_asb-248-seq.txt","TI_asb-248")</f>
        <v>TI_asb-248</v>
      </c>
      <c r="B143">
        <v>248</v>
      </c>
      <c r="C143" t="str">
        <f>HYPERLINK(".\links\tsa\TI_asb-248-tsa.txt","1")</f>
        <v>1</v>
      </c>
      <c r="D143">
        <v>1</v>
      </c>
      <c r="E143">
        <v>875</v>
      </c>
      <c r="G143" t="str">
        <f>HYPERLINK(".\links\qual\TI_asb-248-qual.txt","37")</f>
        <v>37</v>
      </c>
      <c r="H143">
        <v>0</v>
      </c>
      <c r="I143">
        <v>1</v>
      </c>
      <c r="J143">
        <f t="shared" si="6"/>
        <v>1</v>
      </c>
      <c r="K143" s="6">
        <f t="shared" si="7"/>
        <v>-1</v>
      </c>
      <c r="L143" s="6" t="s">
        <v>3868</v>
      </c>
      <c r="M143" s="6" t="s">
        <v>3869</v>
      </c>
      <c r="N143" s="6"/>
      <c r="O143" s="6"/>
      <c r="P143" s="6"/>
      <c r="Q143" s="3">
        <v>875</v>
      </c>
      <c r="R143" s="3">
        <v>201</v>
      </c>
      <c r="S143" s="6" t="s">
        <v>3622</v>
      </c>
      <c r="T143" s="3">
        <v>6</v>
      </c>
      <c r="U143" t="str">
        <f>HYPERLINK(".\links\NR-LIGHT\TI_asb-248-NR-LIGHT.txt","immunoglobulin heavy chain variable region")</f>
        <v>immunoglobulin heavy chain variable region</v>
      </c>
      <c r="V143" t="str">
        <f>HYPERLINK("http://www.ncbi.nlm.nih.gov/sutils/blink.cgi?pid=247425704","8.8")</f>
        <v>8.8</v>
      </c>
      <c r="W143" t="str">
        <f>HYPERLINK(".\links\NR-LIGHT\TI_asb-248-NR-LIGHT.txt"," 2")</f>
        <v xml:space="preserve"> 2</v>
      </c>
      <c r="X143" t="str">
        <f>HYPERLINK("http://www.ncbi.nlm.nih.gov/protein/247425704","gi|247425704")</f>
        <v>gi|247425704</v>
      </c>
      <c r="Y143">
        <v>33.5</v>
      </c>
      <c r="Z143">
        <v>40</v>
      </c>
      <c r="AA143">
        <v>121</v>
      </c>
      <c r="AB143">
        <v>37</v>
      </c>
      <c r="AC143">
        <v>33</v>
      </c>
      <c r="AD143">
        <v>25</v>
      </c>
      <c r="AE143">
        <v>1</v>
      </c>
      <c r="AF143">
        <v>67</v>
      </c>
      <c r="AG143">
        <v>373</v>
      </c>
      <c r="AH143">
        <v>1</v>
      </c>
      <c r="AI143">
        <v>1</v>
      </c>
      <c r="AJ143" t="s">
        <v>53</v>
      </c>
      <c r="AK143" t="s">
        <v>54</v>
      </c>
      <c r="AL143" t="s">
        <v>330</v>
      </c>
      <c r="AM143" t="s">
        <v>56</v>
      </c>
      <c r="AN143" s="19" t="s">
        <v>56</v>
      </c>
      <c r="AO143" t="s">
        <v>56</v>
      </c>
      <c r="AP143" t="s">
        <v>56</v>
      </c>
      <c r="AQ143" t="s">
        <v>56</v>
      </c>
      <c r="AR143" t="s">
        <v>56</v>
      </c>
      <c r="AS143" t="s">
        <v>56</v>
      </c>
      <c r="AT143" t="s">
        <v>56</v>
      </c>
      <c r="AU143" t="s">
        <v>56</v>
      </c>
      <c r="AV143" t="s">
        <v>56</v>
      </c>
      <c r="AW143" t="s">
        <v>56</v>
      </c>
      <c r="AX143" t="s">
        <v>56</v>
      </c>
      <c r="AY143" t="s">
        <v>56</v>
      </c>
      <c r="AZ143" t="s">
        <v>56</v>
      </c>
      <c r="BA143" t="s">
        <v>56</v>
      </c>
      <c r="BB143" t="s">
        <v>56</v>
      </c>
      <c r="BC143" t="s">
        <v>56</v>
      </c>
      <c r="BD143" t="s">
        <v>56</v>
      </c>
      <c r="BE143" t="s">
        <v>56</v>
      </c>
      <c r="BF143" t="s">
        <v>56</v>
      </c>
      <c r="BG143" t="str">
        <f>HYPERLINK(".\links\PREV-RHOD-PEP\TI_asb-248-PREV-RHOD-PEP.txt","Contig17970_169")</f>
        <v>Contig17970_169</v>
      </c>
      <c r="BH143" s="6">
        <v>1.3</v>
      </c>
      <c r="BI143" t="str">
        <f>HYPERLINK(".\links\PREV-RHOD-PEP\TI_asb-248-PREV-RHOD-PEP.txt"," 3")</f>
        <v xml:space="preserve"> 3</v>
      </c>
      <c r="BJ143" t="s">
        <v>1574</v>
      </c>
      <c r="BK143">
        <v>30</v>
      </c>
      <c r="BL143">
        <v>75</v>
      </c>
      <c r="BM143">
        <v>184</v>
      </c>
      <c r="BN143">
        <v>30</v>
      </c>
      <c r="BO143">
        <v>41</v>
      </c>
      <c r="BP143">
        <v>52</v>
      </c>
      <c r="BQ143">
        <v>3</v>
      </c>
      <c r="BR143">
        <v>13</v>
      </c>
      <c r="BS143">
        <v>397</v>
      </c>
      <c r="BT143">
        <v>1</v>
      </c>
      <c r="BU143" t="s">
        <v>64</v>
      </c>
      <c r="BV143" t="s">
        <v>1575</v>
      </c>
      <c r="BW143" t="s">
        <v>56</v>
      </c>
      <c r="BX143" t="str">
        <f>HYPERLINK(".\links\PREV-RHOD-CDS\TI_asb-248-PREV-RHOD-CDS.txt","Contig18032_57")</f>
        <v>Contig18032_57</v>
      </c>
      <c r="BY143" s="6">
        <v>0.11</v>
      </c>
      <c r="BZ143" t="s">
        <v>1576</v>
      </c>
      <c r="CA143">
        <v>38.200000000000003</v>
      </c>
      <c r="CB143">
        <v>22</v>
      </c>
      <c r="CC143">
        <v>2556</v>
      </c>
      <c r="CD143">
        <v>95</v>
      </c>
      <c r="CE143">
        <v>1</v>
      </c>
      <c r="CF143">
        <v>1</v>
      </c>
      <c r="CG143">
        <v>0</v>
      </c>
      <c r="CH143">
        <v>1394</v>
      </c>
      <c r="CI143">
        <v>322</v>
      </c>
      <c r="CJ143">
        <v>1</v>
      </c>
      <c r="CK143" t="s">
        <v>54</v>
      </c>
      <c r="CL143" t="s">
        <v>1577</v>
      </c>
      <c r="CM143">
        <f>HYPERLINK(".\links\GO\TI_asb-248-GO.txt",0.56)</f>
        <v>0.56000000000000005</v>
      </c>
      <c r="CN143" t="s">
        <v>516</v>
      </c>
      <c r="CO143" t="s">
        <v>185</v>
      </c>
      <c r="CP143" t="s">
        <v>222</v>
      </c>
      <c r="CQ143" t="s">
        <v>517</v>
      </c>
      <c r="CR143" s="6">
        <v>0.56000000000000005</v>
      </c>
      <c r="CS143" t="s">
        <v>224</v>
      </c>
      <c r="CT143" t="s">
        <v>75</v>
      </c>
      <c r="CU143" t="s">
        <v>76</v>
      </c>
      <c r="CV143" t="s">
        <v>225</v>
      </c>
      <c r="CW143" s="6">
        <v>0.56000000000000005</v>
      </c>
      <c r="CX143" t="s">
        <v>56</v>
      </c>
      <c r="CY143" t="s">
        <v>56</v>
      </c>
      <c r="CZ143" t="s">
        <v>56</v>
      </c>
      <c r="DA143" t="s">
        <v>56</v>
      </c>
      <c r="DB143" s="6" t="s">
        <v>56</v>
      </c>
      <c r="DC143" t="s">
        <v>56</v>
      </c>
      <c r="DD143" t="s">
        <v>56</v>
      </c>
      <c r="DE143" t="s">
        <v>56</v>
      </c>
      <c r="DF143" t="s">
        <v>56</v>
      </c>
      <c r="DG143" t="s">
        <v>56</v>
      </c>
      <c r="DH143" t="s">
        <v>56</v>
      </c>
      <c r="DI143" s="6" t="s">
        <v>56</v>
      </c>
      <c r="DJ143" s="6" t="s">
        <v>56</v>
      </c>
      <c r="DN143" t="s">
        <v>56</v>
      </c>
      <c r="DO143" t="s">
        <v>56</v>
      </c>
      <c r="DP143" s="3" t="s">
        <v>56</v>
      </c>
      <c r="ED143" s="3" t="s">
        <v>56</v>
      </c>
    </row>
    <row r="144" spans="1:147">
      <c r="A144" t="str">
        <f>HYPERLINK(".\links\seq\TI_asb-249-seq.txt","TI_asb-249")</f>
        <v>TI_asb-249</v>
      </c>
      <c r="B144">
        <v>249</v>
      </c>
      <c r="C144" t="str">
        <f>HYPERLINK(".\links\tsa\TI_asb-249-tsa.txt","1")</f>
        <v>1</v>
      </c>
      <c r="D144">
        <v>1</v>
      </c>
      <c r="E144">
        <v>964</v>
      </c>
      <c r="F144">
        <v>839</v>
      </c>
      <c r="G144" t="str">
        <f>HYPERLINK(".\links\qual\TI_asb-249-qual.txt","28")</f>
        <v>28</v>
      </c>
      <c r="H144">
        <v>0</v>
      </c>
      <c r="I144">
        <v>1</v>
      </c>
      <c r="J144">
        <f t="shared" si="6"/>
        <v>1</v>
      </c>
      <c r="K144" s="6">
        <f t="shared" si="7"/>
        <v>-1</v>
      </c>
      <c r="L144" s="6" t="s">
        <v>3983</v>
      </c>
      <c r="M144" s="6" t="s">
        <v>3984</v>
      </c>
      <c r="N144" s="6" t="s">
        <v>3884</v>
      </c>
      <c r="O144" s="7">
        <v>5.0000000000000001E-47</v>
      </c>
      <c r="P144" s="6">
        <v>62.2</v>
      </c>
      <c r="Q144" s="3">
        <v>964</v>
      </c>
      <c r="R144" s="3">
        <v>516</v>
      </c>
      <c r="S144" s="3" t="s">
        <v>3623</v>
      </c>
      <c r="T144" s="3">
        <v>2</v>
      </c>
      <c r="U144" t="str">
        <f>HYPERLINK(".\links\NR-LIGHT\TI_asb-249-NR-LIGHT.txt","similar to CG7222-PA")</f>
        <v>similar to CG7222-PA</v>
      </c>
      <c r="V144" t="str">
        <f>HYPERLINK("http://www.ncbi.nlm.nih.gov/sutils/blink.cgi?pid=110750991","4E-053")</f>
        <v>4E-053</v>
      </c>
      <c r="W144" t="str">
        <f>HYPERLINK(".\links\NR-LIGHT\TI_asb-249-NR-LIGHT.txt"," 10")</f>
        <v xml:space="preserve"> 10</v>
      </c>
      <c r="X144" t="str">
        <f>HYPERLINK("http://www.ncbi.nlm.nih.gov/protein/110750991","gi|110750991")</f>
        <v>gi|110750991</v>
      </c>
      <c r="Y144">
        <v>211</v>
      </c>
      <c r="Z144">
        <v>145</v>
      </c>
      <c r="AA144">
        <v>205</v>
      </c>
      <c r="AB144">
        <v>69</v>
      </c>
      <c r="AC144">
        <v>71</v>
      </c>
      <c r="AD144">
        <v>44</v>
      </c>
      <c r="AE144">
        <v>0</v>
      </c>
      <c r="AF144">
        <v>8</v>
      </c>
      <c r="AG144">
        <v>71</v>
      </c>
      <c r="AH144">
        <v>1</v>
      </c>
      <c r="AI144">
        <v>2</v>
      </c>
      <c r="AJ144" t="s">
        <v>53</v>
      </c>
      <c r="AK144" t="s">
        <v>54</v>
      </c>
      <c r="AL144" t="s">
        <v>344</v>
      </c>
      <c r="AM144" t="str">
        <f>HYPERLINK(".\links\SWISSP\TI_asb-249-SWISSP.txt","PPPDE peptidase domain-containing protein 1 OS=Danio rerio GN=pppde1 PE=2 SV=1")</f>
        <v>PPPDE peptidase domain-containing protein 1 OS=Danio rerio GN=pppde1 PE=2 SV=1</v>
      </c>
      <c r="AN144" s="19" t="str">
        <f>HYPERLINK("http://www.uniprot.org/uniprot/Q6DC39","2E-046")</f>
        <v>2E-046</v>
      </c>
      <c r="AO144" t="str">
        <f>HYPERLINK(".\links\SWISSP\TI_asb-249-SWISSP.txt"," 10")</f>
        <v xml:space="preserve"> 10</v>
      </c>
      <c r="AP144" t="s">
        <v>1578</v>
      </c>
      <c r="AQ144">
        <v>186</v>
      </c>
      <c r="AR144">
        <v>122</v>
      </c>
      <c r="AS144">
        <v>196</v>
      </c>
      <c r="AT144">
        <v>64</v>
      </c>
      <c r="AU144">
        <v>62</v>
      </c>
      <c r="AV144">
        <v>43</v>
      </c>
      <c r="AW144">
        <v>0</v>
      </c>
      <c r="AX144">
        <v>1</v>
      </c>
      <c r="AY144">
        <v>140</v>
      </c>
      <c r="AZ144">
        <v>1</v>
      </c>
      <c r="BA144">
        <v>2</v>
      </c>
      <c r="BB144" t="s">
        <v>53</v>
      </c>
      <c r="BC144" t="s">
        <v>54</v>
      </c>
      <c r="BD144" t="s">
        <v>202</v>
      </c>
      <c r="BE144" t="s">
        <v>1579</v>
      </c>
      <c r="BF144" t="s">
        <v>1580</v>
      </c>
      <c r="BG144" t="str">
        <f>HYPERLINK(".\links\PREV-RHOD-PEP\TI_asb-249-PREV-RHOD-PEP.txt","Contig17604_48")</f>
        <v>Contig17604_48</v>
      </c>
      <c r="BH144" s="7">
        <v>1.9999999999999999E-77</v>
      </c>
      <c r="BI144" t="str">
        <f>HYPERLINK(".\links\PREV-RHOD-PEP\TI_asb-249-PREV-RHOD-PEP.txt"," 9")</f>
        <v xml:space="preserve"> 9</v>
      </c>
      <c r="BJ144" t="s">
        <v>1581</v>
      </c>
      <c r="BK144">
        <v>285</v>
      </c>
      <c r="BL144">
        <v>139</v>
      </c>
      <c r="BM144">
        <v>200</v>
      </c>
      <c r="BN144">
        <v>93</v>
      </c>
      <c r="BO144">
        <v>70</v>
      </c>
      <c r="BP144">
        <v>9</v>
      </c>
      <c r="BQ144">
        <v>0</v>
      </c>
      <c r="BR144">
        <v>13</v>
      </c>
      <c r="BS144">
        <v>71</v>
      </c>
      <c r="BT144">
        <v>1</v>
      </c>
      <c r="BU144" t="s">
        <v>54</v>
      </c>
      <c r="BV144" t="s">
        <v>1582</v>
      </c>
      <c r="BW144" t="s">
        <v>56</v>
      </c>
      <c r="BX144" t="str">
        <f>HYPERLINK(".\links\PREV-RHOD-CDS\TI_asb-249-PREV-RHOD-CDS.txt","Contig17604_48")</f>
        <v>Contig17604_48</v>
      </c>
      <c r="BY144" s="7">
        <v>1E-161</v>
      </c>
      <c r="BZ144" t="s">
        <v>1581</v>
      </c>
      <c r="CA144">
        <v>569</v>
      </c>
      <c r="CB144">
        <v>418</v>
      </c>
      <c r="CC144">
        <v>603</v>
      </c>
      <c r="CD144">
        <v>92</v>
      </c>
      <c r="CE144">
        <v>69</v>
      </c>
      <c r="CF144">
        <v>33</v>
      </c>
      <c r="CG144">
        <v>0</v>
      </c>
      <c r="CH144">
        <v>35</v>
      </c>
      <c r="CI144">
        <v>69</v>
      </c>
      <c r="CJ144">
        <v>1</v>
      </c>
      <c r="CK144" t="s">
        <v>54</v>
      </c>
      <c r="CL144" t="s">
        <v>1583</v>
      </c>
      <c r="CM144">
        <f>HYPERLINK(".\links\GO\TI_asb-249-GO.txt",5E-47)</f>
        <v>5.0000000000000001E-47</v>
      </c>
      <c r="CN144" t="s">
        <v>58</v>
      </c>
      <c r="CO144" t="s">
        <v>58</v>
      </c>
      <c r="CQ144" t="s">
        <v>59</v>
      </c>
      <c r="CR144" s="7">
        <v>5.0000000000000001E-47</v>
      </c>
      <c r="CS144" t="s">
        <v>60</v>
      </c>
      <c r="CT144" t="s">
        <v>60</v>
      </c>
      <c r="CV144" t="s">
        <v>61</v>
      </c>
      <c r="CW144" s="7">
        <v>5.0000000000000001E-47</v>
      </c>
      <c r="CX144" t="s">
        <v>1584</v>
      </c>
      <c r="CY144" t="s">
        <v>58</v>
      </c>
      <c r="DA144" t="s">
        <v>1585</v>
      </c>
      <c r="DB144" s="7">
        <v>5.0000000000000001E-47</v>
      </c>
      <c r="DC144" t="str">
        <f>HYPERLINK(".\links\CDD\TI_asb-249-CDD.txt","DUF862")</f>
        <v>DUF862</v>
      </c>
      <c r="DD144" t="str">
        <f>HYPERLINK("http://www.ncbi.nlm.nih.gov/Structure/cdd/cddsrv.cgi?uid=pfam05903&amp;version=v4.0","3E-031")</f>
        <v>3E-031</v>
      </c>
      <c r="DE144" t="s">
        <v>1586</v>
      </c>
      <c r="DF144" t="str">
        <f>HYPERLINK(".\links\PFAM\TI_asb-249-PFAM.txt","DUF862")</f>
        <v>DUF862</v>
      </c>
      <c r="DG144" t="str">
        <f>HYPERLINK("http://pfam.sanger.ac.uk/family?acc=PF05903","6E-032")</f>
        <v>6E-032</v>
      </c>
      <c r="DH144" t="str">
        <f>HYPERLINK(".\links\PRK\TI_asb-249-PRK.txt","C/D box methylation guide ribonucleoprotein complex aNOP56 subunit")</f>
        <v>C/D box methylation guide ribonucleoprotein complex aNOP56 subunit</v>
      </c>
      <c r="DI144" s="7">
        <v>3.0000000000000001E-6</v>
      </c>
      <c r="DJ144" s="6" t="str">
        <f>HYPERLINK(".\links\KOG\TI_asb-249-KOG.txt","Uncharacterized conserved protein")</f>
        <v>Uncharacterized conserved protein</v>
      </c>
      <c r="DK144" s="6" t="str">
        <f>HYPERLINK("http://www.ncbi.nlm.nih.gov/COG/grace/shokog.cgi?KOG0324","1E-041")</f>
        <v>1E-041</v>
      </c>
      <c r="DL144" s="6" t="s">
        <v>4347</v>
      </c>
      <c r="DM144" s="6" t="str">
        <f>HYPERLINK(".\links\KOG\TI_asb-249-KOG.txt","KOG0324")</f>
        <v>KOG0324</v>
      </c>
      <c r="DN144" t="str">
        <f>HYPERLINK(".\links\SMART\TI_asb-249-SMART.txt","TOPEUc")</f>
        <v>TOPEUc</v>
      </c>
      <c r="DO144" t="str">
        <f>HYPERLINK("http://smart.embl-heidelberg.de/smart/do_annotation.pl?DOMAIN=TOPEUc&amp;BLAST=DUMMY","8E-005")</f>
        <v>8E-005</v>
      </c>
      <c r="DP144" s="3" t="s">
        <v>56</v>
      </c>
      <c r="ED144" s="3" t="s">
        <v>56</v>
      </c>
    </row>
    <row r="145" spans="1:147">
      <c r="A145" t="str">
        <f>HYPERLINK(".\links\seq\TI_asb-250-seq.txt","TI_asb-250")</f>
        <v>TI_asb-250</v>
      </c>
      <c r="B145">
        <v>250</v>
      </c>
      <c r="C145" t="str">
        <f>HYPERLINK(".\links\tsa\TI_asb-250-tsa.txt","1")</f>
        <v>1</v>
      </c>
      <c r="D145">
        <v>1</v>
      </c>
      <c r="E145">
        <v>1008</v>
      </c>
      <c r="F145">
        <v>610</v>
      </c>
      <c r="G145" t="str">
        <f>HYPERLINK(".\links\qual\TI_asb-250-qual.txt","34")</f>
        <v>34</v>
      </c>
      <c r="H145">
        <v>0</v>
      </c>
      <c r="I145">
        <v>1</v>
      </c>
      <c r="J145">
        <f t="shared" si="6"/>
        <v>1</v>
      </c>
      <c r="K145" s="6">
        <f t="shared" si="7"/>
        <v>-1</v>
      </c>
      <c r="L145" s="6" t="s">
        <v>3985</v>
      </c>
      <c r="M145" s="6" t="s">
        <v>3866</v>
      </c>
      <c r="N145" s="6" t="s">
        <v>3872</v>
      </c>
      <c r="O145" s="7">
        <v>7.0000000000000003E-74</v>
      </c>
      <c r="P145" s="6">
        <v>100</v>
      </c>
      <c r="Q145" s="3">
        <v>1008</v>
      </c>
      <c r="R145" s="3">
        <v>465</v>
      </c>
      <c r="S145" s="3" t="s">
        <v>3624</v>
      </c>
      <c r="T145" s="3">
        <v>1</v>
      </c>
      <c r="U145" t="str">
        <f>HYPERLINK(".\links\NR-LIGHT\TI_asb-250-NR-LIGHT.txt","40S ribosomal protein S14, putative")</f>
        <v>40S ribosomal protein S14, putative</v>
      </c>
      <c r="V145" t="str">
        <f>HYPERLINK("http://www.ncbi.nlm.nih.gov/sutils/blink.cgi?pid=242012371","2E-053")</f>
        <v>2E-053</v>
      </c>
      <c r="W145" t="str">
        <f>HYPERLINK(".\links\NR-LIGHT\TI_asb-250-NR-LIGHT.txt"," 10")</f>
        <v xml:space="preserve"> 10</v>
      </c>
      <c r="X145" t="str">
        <f>HYPERLINK("http://www.ncbi.nlm.nih.gov/protein/242012371","gi|242012371")</f>
        <v>gi|242012371</v>
      </c>
      <c r="Y145">
        <v>211</v>
      </c>
      <c r="Z145">
        <v>168</v>
      </c>
      <c r="AA145">
        <v>179</v>
      </c>
      <c r="AB145">
        <v>69</v>
      </c>
      <c r="AC145">
        <v>94</v>
      </c>
      <c r="AD145">
        <v>52</v>
      </c>
      <c r="AE145">
        <v>0</v>
      </c>
      <c r="AF145">
        <v>3</v>
      </c>
      <c r="AG145">
        <v>46</v>
      </c>
      <c r="AH145">
        <v>1</v>
      </c>
      <c r="AI145">
        <v>1</v>
      </c>
      <c r="AJ145" t="s">
        <v>53</v>
      </c>
      <c r="AK145" t="s">
        <v>54</v>
      </c>
      <c r="AL145" t="s">
        <v>141</v>
      </c>
      <c r="AM145" t="str">
        <f>HYPERLINK(".\links\SWISSP\TI_asb-250-SWISSP.txt","40S ribosomal protein S14 OS=Drosophila melanogaster GN=RpS14a PE=1 SV=1")</f>
        <v>40S ribosomal protein S14 OS=Drosophila melanogaster GN=RpS14a PE=1 SV=1</v>
      </c>
      <c r="AN145" s="19" t="str">
        <f>HYPERLINK("http://www.uniprot.org/uniprot/P14130","3E-051")</f>
        <v>3E-051</v>
      </c>
      <c r="AO145" t="str">
        <f>HYPERLINK(".\links\SWISSP\TI_asb-250-SWISSP.txt"," 10")</f>
        <v xml:space="preserve"> 10</v>
      </c>
      <c r="AP145" t="s">
        <v>1587</v>
      </c>
      <c r="AQ145">
        <v>202</v>
      </c>
      <c r="AR145">
        <v>140</v>
      </c>
      <c r="AS145">
        <v>151</v>
      </c>
      <c r="AT145">
        <v>75</v>
      </c>
      <c r="AU145">
        <v>93</v>
      </c>
      <c r="AV145">
        <v>34</v>
      </c>
      <c r="AW145">
        <v>0</v>
      </c>
      <c r="AX145">
        <v>1</v>
      </c>
      <c r="AY145">
        <v>40</v>
      </c>
      <c r="AZ145">
        <v>1</v>
      </c>
      <c r="BA145">
        <v>1</v>
      </c>
      <c r="BB145" t="s">
        <v>53</v>
      </c>
      <c r="BC145" t="s">
        <v>54</v>
      </c>
      <c r="BD145" t="s">
        <v>143</v>
      </c>
      <c r="BE145" t="s">
        <v>1588</v>
      </c>
      <c r="BF145" t="s">
        <v>1589</v>
      </c>
      <c r="BG145" t="str">
        <f>HYPERLINK(".\links\PREV-RHOD-PEP\TI_asb-250-PREV-RHOD-PEP.txt","Contig6820_5")</f>
        <v>Contig6820_5</v>
      </c>
      <c r="BH145" s="7">
        <v>2.0000000000000001E-56</v>
      </c>
      <c r="BI145" t="str">
        <f>HYPERLINK(".\links\PREV-RHOD-PEP\TI_asb-250-PREV-RHOD-PEP.txt"," 10")</f>
        <v xml:space="preserve"> 10</v>
      </c>
      <c r="BJ145" t="s">
        <v>1590</v>
      </c>
      <c r="BK145">
        <v>216</v>
      </c>
      <c r="BL145">
        <v>140</v>
      </c>
      <c r="BM145">
        <v>151</v>
      </c>
      <c r="BN145">
        <v>81</v>
      </c>
      <c r="BO145">
        <v>93</v>
      </c>
      <c r="BP145">
        <v>26</v>
      </c>
      <c r="BQ145">
        <v>0</v>
      </c>
      <c r="BR145">
        <v>1</v>
      </c>
      <c r="BS145">
        <v>40</v>
      </c>
      <c r="BT145">
        <v>1</v>
      </c>
      <c r="BU145" t="s">
        <v>54</v>
      </c>
      <c r="BV145" t="s">
        <v>1591</v>
      </c>
      <c r="BW145" t="s">
        <v>56</v>
      </c>
      <c r="BX145" t="str">
        <f>HYPERLINK(".\links\PREV-RHOD-CDS\TI_asb-250-PREV-RHOD-CDS.txt","Contig6820_5")</f>
        <v>Contig6820_5</v>
      </c>
      <c r="BY145" s="7">
        <v>9.9999999999999996E-165</v>
      </c>
      <c r="BZ145" t="s">
        <v>1590</v>
      </c>
      <c r="CA145">
        <v>579</v>
      </c>
      <c r="CB145">
        <v>443</v>
      </c>
      <c r="CC145">
        <v>456</v>
      </c>
      <c r="CD145">
        <v>91</v>
      </c>
      <c r="CE145">
        <v>97</v>
      </c>
      <c r="CF145">
        <v>38</v>
      </c>
      <c r="CG145">
        <v>0</v>
      </c>
      <c r="CH145">
        <v>13</v>
      </c>
      <c r="CI145">
        <v>52</v>
      </c>
      <c r="CJ145">
        <v>1</v>
      </c>
      <c r="CK145" t="s">
        <v>54</v>
      </c>
      <c r="CL145" t="s">
        <v>1592</v>
      </c>
      <c r="CM145">
        <f>HYPERLINK(".\links\GO\TI_asb-250-GO.txt",9E-52)</f>
        <v>9.0000000000000001E-52</v>
      </c>
      <c r="CN145" t="s">
        <v>702</v>
      </c>
      <c r="CO145" t="s">
        <v>703</v>
      </c>
      <c r="CP145" t="s">
        <v>704</v>
      </c>
      <c r="CQ145" t="s">
        <v>705</v>
      </c>
      <c r="CR145" s="7">
        <v>9.0000000000000001E-52</v>
      </c>
      <c r="CS145" t="s">
        <v>1593</v>
      </c>
      <c r="CT145" t="s">
        <v>75</v>
      </c>
      <c r="CU145" t="s">
        <v>76</v>
      </c>
      <c r="CV145" t="s">
        <v>1594</v>
      </c>
      <c r="CW145" s="7">
        <v>9.0000000000000001E-52</v>
      </c>
      <c r="CX145" t="s">
        <v>708</v>
      </c>
      <c r="CY145" t="s">
        <v>703</v>
      </c>
      <c r="CZ145" t="s">
        <v>704</v>
      </c>
      <c r="DA145" t="s">
        <v>709</v>
      </c>
      <c r="DB145" s="7">
        <v>9.0000000000000001E-52</v>
      </c>
      <c r="DC145" t="str">
        <f>HYPERLINK(".\links\CDD\TI_asb-250-CDD.txt","PTZ00129")</f>
        <v>PTZ00129</v>
      </c>
      <c r="DD145" t="str">
        <f>HYPERLINK("http://www.ncbi.nlm.nih.gov/Structure/cdd/cddsrv.cgi?uid=PTZ00129&amp;version=v4.0","5E-068")</f>
        <v>5E-068</v>
      </c>
      <c r="DE145" t="s">
        <v>1595</v>
      </c>
      <c r="DF145" t="str">
        <f>HYPERLINK(".\links\PFAM\TI_asb-250-PFAM.txt","Ribosomal_S11")</f>
        <v>Ribosomal_S11</v>
      </c>
      <c r="DG145" t="str">
        <f>HYPERLINK("http://pfam.sanger.ac.uk/family?acc=PF00411","1E-042")</f>
        <v>1E-042</v>
      </c>
      <c r="DH145" t="str">
        <f>HYPERLINK(".\links\PRK\TI_asb-250-PRK.txt","40S ribosomal protein S14")</f>
        <v>40S ribosomal protein S14</v>
      </c>
      <c r="DI145" s="7">
        <v>1E-78</v>
      </c>
      <c r="DJ145" s="6" t="str">
        <f>HYPERLINK(".\links\KOG\TI_asb-250-KOG.txt","40S ribosomal protein S14")</f>
        <v>40S ribosomal protein S14</v>
      </c>
      <c r="DK145" s="6" t="str">
        <f>HYPERLINK("http://www.ncbi.nlm.nih.gov/COG/grace/shokog.cgi?KOG0407","7E-074")</f>
        <v>7E-074</v>
      </c>
      <c r="DL145" s="6" t="s">
        <v>4333</v>
      </c>
      <c r="DM145" s="6" t="str">
        <f>HYPERLINK(".\links\KOG\TI_asb-250-KOG.txt","KOG0407")</f>
        <v>KOG0407</v>
      </c>
      <c r="DN145" t="str">
        <f>HYPERLINK(".\links\SMART\TI_asb-250-SMART.txt","PSN")</f>
        <v>PSN</v>
      </c>
      <c r="DO145" t="str">
        <f>HYPERLINK("http://smart.embl-heidelberg.de/smart/do_annotation.pl?DOMAIN=PSN&amp;BLAST=DUMMY","4E-004")</f>
        <v>4E-004</v>
      </c>
      <c r="DP145" s="3" t="s">
        <v>56</v>
      </c>
      <c r="ED145" s="3" t="s">
        <v>56</v>
      </c>
    </row>
    <row r="146" spans="1:147">
      <c r="A146" t="str">
        <f>HYPERLINK(".\links\seq\TI_asb-254-seq.txt","TI_asb-254")</f>
        <v>TI_asb-254</v>
      </c>
      <c r="B146">
        <v>254</v>
      </c>
      <c r="C146" t="str">
        <f>HYPERLINK(".\links\tsa\TI_asb-254-tsa.txt","1")</f>
        <v>1</v>
      </c>
      <c r="D146">
        <v>1</v>
      </c>
      <c r="E146">
        <v>397</v>
      </c>
      <c r="G146" t="str">
        <f>HYPERLINK(".\links\qual\TI_asb-254-qual.txt","25")</f>
        <v>25</v>
      </c>
      <c r="H146">
        <v>1</v>
      </c>
      <c r="I146">
        <v>0</v>
      </c>
      <c r="J146">
        <f t="shared" si="6"/>
        <v>1</v>
      </c>
      <c r="K146" s="6">
        <f t="shared" si="7"/>
        <v>1</v>
      </c>
      <c r="L146" s="6" t="s">
        <v>3986</v>
      </c>
      <c r="M146" s="6" t="s">
        <v>3871</v>
      </c>
      <c r="N146" s="6" t="s">
        <v>3872</v>
      </c>
      <c r="O146" s="7">
        <v>3.9999999999999998E-20</v>
      </c>
      <c r="P146" s="6">
        <v>91.5</v>
      </c>
      <c r="Q146" s="3">
        <v>397</v>
      </c>
      <c r="R146" s="3">
        <v>261</v>
      </c>
      <c r="S146" s="3" t="s">
        <v>3625</v>
      </c>
      <c r="T146" s="3">
        <v>1</v>
      </c>
      <c r="U146" t="str">
        <f>HYPERLINK(".\links\NR-LIGHT\TI_asb-254-NR-LIGHT.txt","hypothetical protein")</f>
        <v>hypothetical protein</v>
      </c>
      <c r="V146" t="str">
        <f>HYPERLINK("http://www.ncbi.nlm.nih.gov/sutils/blink.cgi?pid=156546986","2E-015")</f>
        <v>2E-015</v>
      </c>
      <c r="W146" t="str">
        <f>HYPERLINK(".\links\NR-LIGHT\TI_asb-254-NR-LIGHT.txt"," 10")</f>
        <v xml:space="preserve"> 10</v>
      </c>
      <c r="X146" t="str">
        <f>HYPERLINK("http://www.ncbi.nlm.nih.gov/protein/156546986","gi|156546986")</f>
        <v>gi|156546986</v>
      </c>
      <c r="Y146">
        <v>83.6</v>
      </c>
      <c r="Z146">
        <v>80</v>
      </c>
      <c r="AA146">
        <v>96</v>
      </c>
      <c r="AB146">
        <v>42</v>
      </c>
      <c r="AC146">
        <v>83</v>
      </c>
      <c r="AD146">
        <v>46</v>
      </c>
      <c r="AE146">
        <v>0</v>
      </c>
      <c r="AF146">
        <v>3</v>
      </c>
      <c r="AG146">
        <v>85</v>
      </c>
      <c r="AH146">
        <v>1</v>
      </c>
      <c r="AI146">
        <v>1</v>
      </c>
      <c r="AJ146" t="s">
        <v>53</v>
      </c>
      <c r="AK146" t="s">
        <v>54</v>
      </c>
      <c r="AL146" t="s">
        <v>66</v>
      </c>
      <c r="AM146" t="str">
        <f>HYPERLINK(".\links\SWISSP\TI_asb-254-SWISSP.txt","Mitochondrial import inner membrane translocase subunit Tim9 B OS=Danio rerio")</f>
        <v>Mitochondrial import inner membrane translocase subunit Tim9 B OS=Danio rerio</v>
      </c>
      <c r="AN146" s="19" t="str">
        <f>HYPERLINK("http://www.uniprot.org/uniprot/Q568N4","7E-014")</f>
        <v>7E-014</v>
      </c>
      <c r="AO146" t="str">
        <f>HYPERLINK(".\links\SWISSP\TI_asb-254-SWISSP.txt"," 10")</f>
        <v xml:space="preserve"> 10</v>
      </c>
      <c r="AP146" t="s">
        <v>1601</v>
      </c>
      <c r="AQ146">
        <v>75.900000000000006</v>
      </c>
      <c r="AR146">
        <v>78</v>
      </c>
      <c r="AS146">
        <v>202</v>
      </c>
      <c r="AT146">
        <v>44</v>
      </c>
      <c r="AU146">
        <v>39</v>
      </c>
      <c r="AV146">
        <v>43</v>
      </c>
      <c r="AW146">
        <v>2</v>
      </c>
      <c r="AX146">
        <v>1</v>
      </c>
      <c r="AY146">
        <v>76</v>
      </c>
      <c r="AZ146">
        <v>1</v>
      </c>
      <c r="BA146">
        <v>1</v>
      </c>
      <c r="BB146" t="s">
        <v>53</v>
      </c>
      <c r="BC146" t="s">
        <v>54</v>
      </c>
      <c r="BD146" t="s">
        <v>202</v>
      </c>
      <c r="BE146" t="s">
        <v>1602</v>
      </c>
      <c r="BF146" t="s">
        <v>1603</v>
      </c>
      <c r="BG146" t="str">
        <f>HYPERLINK(".\links\PREV-RHOD-PEP\TI_asb-254-PREV-RHOD-PEP.txt","Contig17907_89")</f>
        <v>Contig17907_89</v>
      </c>
      <c r="BH146" s="7">
        <v>2.9999999999999999E-41</v>
      </c>
      <c r="BI146" t="str">
        <f>HYPERLINK(".\links\PREV-RHOD-PEP\TI_asb-254-PREV-RHOD-PEP.txt"," 10")</f>
        <v xml:space="preserve"> 10</v>
      </c>
      <c r="BJ146" t="s">
        <v>1604</v>
      </c>
      <c r="BK146">
        <v>162</v>
      </c>
      <c r="BL146">
        <v>91</v>
      </c>
      <c r="BM146">
        <v>1097</v>
      </c>
      <c r="BN146">
        <v>84</v>
      </c>
      <c r="BO146">
        <v>8</v>
      </c>
      <c r="BP146">
        <v>14</v>
      </c>
      <c r="BQ146">
        <v>0</v>
      </c>
      <c r="BR146">
        <v>3</v>
      </c>
      <c r="BS146">
        <v>79</v>
      </c>
      <c r="BT146">
        <v>1</v>
      </c>
      <c r="BU146" t="s">
        <v>54</v>
      </c>
      <c r="BV146" t="s">
        <v>1605</v>
      </c>
      <c r="BW146" t="s">
        <v>56</v>
      </c>
      <c r="BX146" t="str">
        <f>HYPERLINK(".\links\PREV-RHOD-CDS\TI_asb-254-PREV-RHOD-CDS.txt","Contig17907_89")</f>
        <v>Contig17907_89</v>
      </c>
      <c r="BY146" s="7">
        <v>9.9999999999999999E-56</v>
      </c>
      <c r="BZ146" t="s">
        <v>1604</v>
      </c>
      <c r="CA146">
        <v>216</v>
      </c>
      <c r="CB146">
        <v>228</v>
      </c>
      <c r="CC146">
        <v>3294</v>
      </c>
      <c r="CD146">
        <v>86</v>
      </c>
      <c r="CE146">
        <v>7</v>
      </c>
      <c r="CF146">
        <v>30</v>
      </c>
      <c r="CG146">
        <v>0</v>
      </c>
      <c r="CH146">
        <v>22</v>
      </c>
      <c r="CI146">
        <v>94</v>
      </c>
      <c r="CJ146">
        <v>1</v>
      </c>
      <c r="CK146" t="s">
        <v>54</v>
      </c>
      <c r="CL146" t="s">
        <v>1606</v>
      </c>
      <c r="CM146">
        <f>HYPERLINK(".\links\GO\TI_asb-254-GO.txt",0.00000000000008)</f>
        <v>8E-14</v>
      </c>
      <c r="CN146" t="s">
        <v>1607</v>
      </c>
      <c r="CO146" t="s">
        <v>88</v>
      </c>
      <c r="CP146" t="s">
        <v>276</v>
      </c>
      <c r="CQ146" t="s">
        <v>1608</v>
      </c>
      <c r="CR146" s="6">
        <v>1E-13</v>
      </c>
      <c r="CS146" t="s">
        <v>1609</v>
      </c>
      <c r="CT146" t="s">
        <v>1610</v>
      </c>
      <c r="CU146" t="s">
        <v>1611</v>
      </c>
      <c r="CV146" t="s">
        <v>1612</v>
      </c>
      <c r="CW146" s="6">
        <v>1E-13</v>
      </c>
      <c r="CX146" t="s">
        <v>1613</v>
      </c>
      <c r="CY146" t="s">
        <v>88</v>
      </c>
      <c r="CZ146" t="s">
        <v>276</v>
      </c>
      <c r="DA146" t="s">
        <v>1614</v>
      </c>
      <c r="DB146" s="6">
        <v>1E-13</v>
      </c>
      <c r="DC146" t="str">
        <f>HYPERLINK(".\links\CDD\TI_asb-254-CDD.txt","zf-Tim10_DDP")</f>
        <v>zf-Tim10_DDP</v>
      </c>
      <c r="DD146" t="str">
        <f>HYPERLINK("http://www.ncbi.nlm.nih.gov/Structure/cdd/cddsrv.cgi?uid=pfam02953&amp;version=v4.0","5E-010")</f>
        <v>5E-010</v>
      </c>
      <c r="DE146" t="s">
        <v>1615</v>
      </c>
      <c r="DF146" t="str">
        <f>HYPERLINK(".\links\PFAM\TI_asb-254-PFAM.txt","zf-Tim10_DDP")</f>
        <v>zf-Tim10_DDP</v>
      </c>
      <c r="DG146" t="str">
        <f>HYPERLINK("http://pfam.sanger.ac.uk/family?acc=PF02953","9E-011")</f>
        <v>9E-011</v>
      </c>
      <c r="DH146" t="s">
        <v>56</v>
      </c>
      <c r="DI146" s="6" t="s">
        <v>56</v>
      </c>
      <c r="DJ146" s="6" t="str">
        <f>HYPERLINK(".\links\KOG\TI_asb-254-KOG.txt","Mitochondrial import inner membrane translocase, subunit TIM9")</f>
        <v>Mitochondrial import inner membrane translocase, subunit TIM9</v>
      </c>
      <c r="DK146" s="6" t="str">
        <f>HYPERLINK("http://www.ncbi.nlm.nih.gov/COG/grace/shokog.cgi?KOG3479","4E-020")</f>
        <v>4E-020</v>
      </c>
      <c r="DL146" s="6" t="s">
        <v>4352</v>
      </c>
      <c r="DM146" s="6" t="str">
        <f>HYPERLINK(".\links\KOG\TI_asb-254-KOG.txt","KOG3479")</f>
        <v>KOG3479</v>
      </c>
      <c r="DN146" t="s">
        <v>56</v>
      </c>
      <c r="DO146" t="s">
        <v>56</v>
      </c>
      <c r="DP146" s="3" t="s">
        <v>56</v>
      </c>
      <c r="ED146" s="3" t="s">
        <v>56</v>
      </c>
    </row>
    <row r="147" spans="1:147">
      <c r="A147" t="str">
        <f>HYPERLINK(".\links\seq\TI_asb-256-seq.txt","TI_asb-256")</f>
        <v>TI_asb-256</v>
      </c>
      <c r="B147">
        <v>256</v>
      </c>
      <c r="C147" t="str">
        <f>HYPERLINK(".\links\tsa\TI_asb-256-tsa.txt","1")</f>
        <v>1</v>
      </c>
      <c r="D147">
        <v>1</v>
      </c>
      <c r="E147">
        <v>740</v>
      </c>
      <c r="G147" t="str">
        <f>HYPERLINK(".\links\qual\TI_asb-256-qual.txt","52")</f>
        <v>52</v>
      </c>
      <c r="H147">
        <v>0</v>
      </c>
      <c r="I147">
        <v>1</v>
      </c>
      <c r="J147">
        <f t="shared" si="6"/>
        <v>1</v>
      </c>
      <c r="K147" s="6">
        <f t="shared" si="7"/>
        <v>-1</v>
      </c>
      <c r="L147" s="6" t="s">
        <v>3987</v>
      </c>
      <c r="M147" s="6" t="s">
        <v>3978</v>
      </c>
      <c r="N147" s="6" t="s">
        <v>3893</v>
      </c>
      <c r="O147" s="6">
        <v>0</v>
      </c>
      <c r="P147" s="6">
        <v>62.3</v>
      </c>
      <c r="Q147" s="3">
        <v>740</v>
      </c>
      <c r="R147" s="3">
        <v>708</v>
      </c>
      <c r="S147" s="3" t="s">
        <v>3626</v>
      </c>
      <c r="T147" s="3">
        <v>2</v>
      </c>
      <c r="U147" t="str">
        <f>HYPERLINK(".\links\NR-LIGHT\TI_asb-256-NR-LIGHT.txt","infestin 1-7 precursor")</f>
        <v>infestin 1-7 precursor</v>
      </c>
      <c r="V147" t="str">
        <f>HYPERLINK("http://www.ncbi.nlm.nih.gov/sutils/blink.cgi?pid=83637828","1E-136")</f>
        <v>1E-136</v>
      </c>
      <c r="W147" t="str">
        <f>HYPERLINK(".\links\NR-LIGHT\TI_asb-256-NR-LIGHT.txt"," 10")</f>
        <v xml:space="preserve"> 10</v>
      </c>
      <c r="X147" t="str">
        <f>HYPERLINK("http://www.ncbi.nlm.nih.gov/protein/83637828","gi|83637828")</f>
        <v>gi|83637828</v>
      </c>
      <c r="Y147">
        <v>485</v>
      </c>
      <c r="Z147">
        <v>228</v>
      </c>
      <c r="AA147">
        <v>409</v>
      </c>
      <c r="AB147">
        <v>96</v>
      </c>
      <c r="AC147">
        <v>56</v>
      </c>
      <c r="AD147">
        <v>9</v>
      </c>
      <c r="AE147">
        <v>0</v>
      </c>
      <c r="AF147">
        <v>14</v>
      </c>
      <c r="AG147">
        <v>38</v>
      </c>
      <c r="AH147">
        <v>4</v>
      </c>
      <c r="AI147">
        <v>2</v>
      </c>
      <c r="AJ147" t="s">
        <v>53</v>
      </c>
      <c r="AK147" t="s">
        <v>54</v>
      </c>
      <c r="AL147" t="s">
        <v>55</v>
      </c>
      <c r="AM147" t="str">
        <f>HYPERLINK(".\links\SWISSP\TI_asb-256-SWISSP.txt","Serine protease inhibitor dipetalogastin (Fragment) OS=Dipetalogaster maximus")</f>
        <v>Serine protease inhibitor dipetalogastin (Fragment) OS=Dipetalogaster maximus</v>
      </c>
      <c r="AN147" s="19" t="str">
        <f>HYPERLINK("http://www.uniprot.org/uniprot/O96790","1E-100")</f>
        <v>1E-100</v>
      </c>
      <c r="AO147" t="str">
        <f>HYPERLINK(".\links\SWISSP\TI_asb-256-SWISSP.txt"," 10")</f>
        <v xml:space="preserve"> 10</v>
      </c>
      <c r="AP147" t="s">
        <v>1495</v>
      </c>
      <c r="AQ147">
        <v>366</v>
      </c>
      <c r="AR147">
        <v>219</v>
      </c>
      <c r="AS147">
        <v>351</v>
      </c>
      <c r="AT147">
        <v>73</v>
      </c>
      <c r="AU147">
        <v>62</v>
      </c>
      <c r="AV147">
        <v>58</v>
      </c>
      <c r="AW147">
        <v>0</v>
      </c>
      <c r="AX147">
        <v>12</v>
      </c>
      <c r="AY147">
        <v>41</v>
      </c>
      <c r="AZ147">
        <v>7</v>
      </c>
      <c r="BA147">
        <v>2</v>
      </c>
      <c r="BB147" t="s">
        <v>53</v>
      </c>
      <c r="BC147" t="s">
        <v>54</v>
      </c>
      <c r="BD147" t="s">
        <v>1496</v>
      </c>
      <c r="BE147" t="s">
        <v>1616</v>
      </c>
      <c r="BF147" t="s">
        <v>1617</v>
      </c>
      <c r="BG147" t="str">
        <f>HYPERLINK(".\links\PREV-RHOD-PEP\TI_asb-256-PREV-RHOD-PEP.txt","Contig17791_8")</f>
        <v>Contig17791_8</v>
      </c>
      <c r="BH147" s="7">
        <v>3.0000000000000002E-66</v>
      </c>
      <c r="BI147" t="str">
        <f>HYPERLINK(".\links\PREV-RHOD-PEP\TI_asb-256-PREV-RHOD-PEP.txt"," 10")</f>
        <v xml:space="preserve"> 10</v>
      </c>
      <c r="BJ147" t="s">
        <v>1499</v>
      </c>
      <c r="BK147">
        <v>247</v>
      </c>
      <c r="BL147">
        <v>241</v>
      </c>
      <c r="BM147">
        <v>348</v>
      </c>
      <c r="BN147">
        <v>51</v>
      </c>
      <c r="BO147">
        <v>69</v>
      </c>
      <c r="BP147">
        <v>117</v>
      </c>
      <c r="BQ147">
        <v>22</v>
      </c>
      <c r="BR147">
        <v>8</v>
      </c>
      <c r="BS147">
        <v>59</v>
      </c>
      <c r="BT147">
        <v>5</v>
      </c>
      <c r="BU147" t="s">
        <v>54</v>
      </c>
      <c r="BV147" t="s">
        <v>1618</v>
      </c>
      <c r="BW147" t="s">
        <v>56</v>
      </c>
      <c r="BX147" t="str">
        <f>HYPERLINK(".\links\PREV-RHOD-CDS\TI_asb-256-PREV-RHOD-CDS.txt","Contig17791_8")</f>
        <v>Contig17791_8</v>
      </c>
      <c r="BY147" s="7">
        <v>1E-4</v>
      </c>
      <c r="BZ147" t="s">
        <v>1499</v>
      </c>
      <c r="CA147">
        <v>48.1</v>
      </c>
      <c r="CB147">
        <v>721</v>
      </c>
      <c r="CC147">
        <v>1056</v>
      </c>
      <c r="CD147">
        <v>81</v>
      </c>
      <c r="CE147">
        <v>68</v>
      </c>
      <c r="CF147">
        <v>17</v>
      </c>
      <c r="CG147">
        <v>0</v>
      </c>
      <c r="CH147">
        <v>91</v>
      </c>
      <c r="CI147">
        <v>98</v>
      </c>
      <c r="CJ147">
        <v>3</v>
      </c>
      <c r="CK147" t="s">
        <v>54</v>
      </c>
      <c r="CL147" t="s">
        <v>1619</v>
      </c>
      <c r="CM147">
        <f>HYPERLINK(".\links\GO\TI_asb-256-GO.txt",5E-21)</f>
        <v>4.9999999999999997E-21</v>
      </c>
      <c r="CN147" t="s">
        <v>1503</v>
      </c>
      <c r="CO147" t="s">
        <v>324</v>
      </c>
      <c r="CP147" t="s">
        <v>325</v>
      </c>
      <c r="CQ147" t="s">
        <v>1504</v>
      </c>
      <c r="CR147" s="7">
        <v>4.9999999999999997E-21</v>
      </c>
      <c r="CS147" t="s">
        <v>1420</v>
      </c>
      <c r="CT147" t="s">
        <v>540</v>
      </c>
      <c r="CU147" t="s">
        <v>1137</v>
      </c>
      <c r="CV147" t="s">
        <v>1421</v>
      </c>
      <c r="CW147" s="7">
        <v>4.9999999999999997E-21</v>
      </c>
      <c r="CX147" t="s">
        <v>1620</v>
      </c>
      <c r="CY147" t="s">
        <v>324</v>
      </c>
      <c r="CZ147" t="s">
        <v>325</v>
      </c>
      <c r="DA147" t="s">
        <v>1621</v>
      </c>
      <c r="DB147" s="7">
        <v>4.9999999999999997E-21</v>
      </c>
      <c r="DC147" t="str">
        <f>HYPERLINK(".\links\CDD\TI_asb-256-CDD.txt","KAZAL")</f>
        <v>KAZAL</v>
      </c>
      <c r="DD147" t="str">
        <f>HYPERLINK("http://www.ncbi.nlm.nih.gov/Structure/cdd/cddsrv.cgi?uid=smart00280&amp;version=v4.0","2E-013")</f>
        <v>2E-013</v>
      </c>
      <c r="DE147" t="s">
        <v>1622</v>
      </c>
      <c r="DF147" t="str">
        <f>HYPERLINK(".\links\PFAM\TI_asb-256-PFAM.txt","Kazal_2")</f>
        <v>Kazal_2</v>
      </c>
      <c r="DG147" t="str">
        <f>HYPERLINK("http://pfam.sanger.ac.uk/family?acc=PF07648","3E-012")</f>
        <v>3E-012</v>
      </c>
      <c r="DH147" t="s">
        <v>56</v>
      </c>
      <c r="DI147" s="6" t="s">
        <v>56</v>
      </c>
      <c r="DJ147" s="6" t="str">
        <f>HYPERLINK(".\links\KOG\TI_asb-256-KOG.txt","Nuclear protein, contains WD40 repeats")</f>
        <v>Nuclear protein, contains WD40 repeats</v>
      </c>
      <c r="DK147" s="6" t="str">
        <f>HYPERLINK("http://www.ncbi.nlm.nih.gov/COG/grace/shokog.cgi?KOG1916","0.0")</f>
        <v>0.0</v>
      </c>
      <c r="DL147" s="6" t="s">
        <v>4337</v>
      </c>
      <c r="DM147" s="6" t="str">
        <f>HYPERLINK(".\links\KOG\TI_asb-256-KOG.txt","KOG1916")</f>
        <v>KOG1916</v>
      </c>
      <c r="DN147" t="str">
        <f>HYPERLINK(".\links\SMART\TI_asb-256-SMART.txt","KAZAL")</f>
        <v>KAZAL</v>
      </c>
      <c r="DO147" t="str">
        <f>HYPERLINK("http://smart.embl-heidelberg.de/smart/do_annotation.pl?DOMAIN=KAZAL&amp;BLAST=DUMMY","3E-015")</f>
        <v>3E-015</v>
      </c>
      <c r="DP147" s="3" t="s">
        <v>56</v>
      </c>
      <c r="ED147" s="3" t="s">
        <v>56</v>
      </c>
    </row>
    <row r="148" spans="1:147">
      <c r="A148" t="str">
        <f>HYPERLINK(".\links\seq\TI_asb-259-seq.txt","TI_asb-259")</f>
        <v>TI_asb-259</v>
      </c>
      <c r="B148">
        <v>259</v>
      </c>
      <c r="C148" t="str">
        <f>HYPERLINK(".\links\tsa\TI_asb-259-tsa.txt","1")</f>
        <v>1</v>
      </c>
      <c r="D148">
        <v>1</v>
      </c>
      <c r="E148">
        <v>1006</v>
      </c>
      <c r="G148" t="str">
        <f>HYPERLINK(".\links\qual\TI_asb-259-qual.txt","36")</f>
        <v>36</v>
      </c>
      <c r="H148">
        <v>0</v>
      </c>
      <c r="I148">
        <v>1</v>
      </c>
      <c r="J148">
        <f t="shared" ref="J148:J191" si="8">ABS(H148-I148)</f>
        <v>1</v>
      </c>
      <c r="K148" s="6">
        <f t="shared" ref="K148:K191" si="9">H148-I148</f>
        <v>-1</v>
      </c>
      <c r="L148" s="6" t="s">
        <v>3988</v>
      </c>
      <c r="M148" s="6" t="s">
        <v>3886</v>
      </c>
      <c r="N148" s="6" t="s">
        <v>3864</v>
      </c>
      <c r="O148" s="7">
        <v>7.9999999999999998E-19</v>
      </c>
      <c r="P148" s="6">
        <v>75.599999999999994</v>
      </c>
      <c r="Q148" s="3">
        <v>1006</v>
      </c>
      <c r="R148" s="3">
        <v>375</v>
      </c>
      <c r="S148" s="3" t="s">
        <v>3627</v>
      </c>
      <c r="T148" s="3">
        <v>2</v>
      </c>
      <c r="U148" t="str">
        <f>HYPERLINK(".\links\NR-LIGHT\TI_asb-259-NR-LIGHT.txt","similar to RE17222p")</f>
        <v>similar to RE17222p</v>
      </c>
      <c r="V148" t="str">
        <f>HYPERLINK("http://www.ncbi.nlm.nih.gov/sutils/blink.cgi?pid=156543290","8E-019")</f>
        <v>8E-019</v>
      </c>
      <c r="W148" t="str">
        <f>HYPERLINK(".\links\NR-LIGHT\TI_asb-259-NR-LIGHT.txt"," 10")</f>
        <v xml:space="preserve"> 10</v>
      </c>
      <c r="X148" t="str">
        <f>HYPERLINK("http://www.ncbi.nlm.nih.gov/protein/156543290","gi|156543290")</f>
        <v>gi|156543290</v>
      </c>
      <c r="Y148">
        <v>97.1</v>
      </c>
      <c r="Z148">
        <v>87</v>
      </c>
      <c r="AA148">
        <v>115</v>
      </c>
      <c r="AB148">
        <v>48</v>
      </c>
      <c r="AC148">
        <v>76</v>
      </c>
      <c r="AD148">
        <v>45</v>
      </c>
      <c r="AE148">
        <v>0</v>
      </c>
      <c r="AF148">
        <v>1</v>
      </c>
      <c r="AG148">
        <v>371</v>
      </c>
      <c r="AH148">
        <v>1</v>
      </c>
      <c r="AI148">
        <v>2</v>
      </c>
      <c r="AJ148" t="s">
        <v>53</v>
      </c>
      <c r="AK148" t="s">
        <v>54</v>
      </c>
      <c r="AL148" t="s">
        <v>66</v>
      </c>
      <c r="AM148" t="str">
        <f>HYPERLINK(".\links\SWISSP\TI_asb-259-SWISSP.txt","Phosphate acyltransferase OS=Aliivibrio salmonicida (strain LFI1238) GN=plsX")</f>
        <v>Phosphate acyltransferase OS=Aliivibrio salmonicida (strain LFI1238) GN=plsX</v>
      </c>
      <c r="AN148" s="19" t="str">
        <f>HYPERLINK("http://www.uniprot.org/uniprot/B6EIZ7","0.38")</f>
        <v>0.38</v>
      </c>
      <c r="AO148" t="str">
        <f>HYPERLINK(".\links\SWISSP\TI_asb-259-SWISSP.txt"," 7")</f>
        <v xml:space="preserve"> 7</v>
      </c>
      <c r="AP148" t="s">
        <v>1623</v>
      </c>
      <c r="AQ148">
        <v>36.200000000000003</v>
      </c>
      <c r="AR148">
        <v>68</v>
      </c>
      <c r="AS148">
        <v>341</v>
      </c>
      <c r="AT148">
        <v>27</v>
      </c>
      <c r="AU148">
        <v>20</v>
      </c>
      <c r="AV148">
        <v>49</v>
      </c>
      <c r="AW148">
        <v>0</v>
      </c>
      <c r="AX148">
        <v>203</v>
      </c>
      <c r="AY148">
        <v>317</v>
      </c>
      <c r="AZ148">
        <v>1</v>
      </c>
      <c r="BA148">
        <v>2</v>
      </c>
      <c r="BB148" t="s">
        <v>53</v>
      </c>
      <c r="BC148" t="s">
        <v>54</v>
      </c>
      <c r="BD148" t="s">
        <v>1624</v>
      </c>
      <c r="BE148" t="s">
        <v>1625</v>
      </c>
      <c r="BF148" t="s">
        <v>1626</v>
      </c>
      <c r="BG148" t="str">
        <f>HYPERLINK(".\links\PREV-RHOD-PEP\TI_asb-259-PREV-RHOD-PEP.txt","Contig17872_112")</f>
        <v>Contig17872_112</v>
      </c>
      <c r="BH148" s="7">
        <v>9.0000000000000003E-20</v>
      </c>
      <c r="BI148" t="str">
        <f>HYPERLINK(".\links\PREV-RHOD-PEP\TI_asb-259-PREV-RHOD-PEP.txt"," 10")</f>
        <v xml:space="preserve"> 10</v>
      </c>
      <c r="BJ148" t="s">
        <v>1627</v>
      </c>
      <c r="BK148">
        <v>94</v>
      </c>
      <c r="BL148">
        <v>45</v>
      </c>
      <c r="BM148">
        <v>46</v>
      </c>
      <c r="BN148">
        <v>97</v>
      </c>
      <c r="BO148">
        <v>98</v>
      </c>
      <c r="BP148">
        <v>1</v>
      </c>
      <c r="BQ148">
        <v>0</v>
      </c>
      <c r="BR148">
        <v>1</v>
      </c>
      <c r="BS148">
        <v>386</v>
      </c>
      <c r="BT148">
        <v>1</v>
      </c>
      <c r="BU148" t="s">
        <v>54</v>
      </c>
      <c r="BV148" t="s">
        <v>1628</v>
      </c>
      <c r="BW148" t="s">
        <v>56</v>
      </c>
      <c r="BX148" t="str">
        <f>HYPERLINK(".\links\PREV-RHOD-CDS\TI_asb-259-PREV-RHOD-CDS.txt","Contig17872_112")</f>
        <v>Contig17872_112</v>
      </c>
      <c r="BY148" s="7">
        <v>2.9999999999999999E-30</v>
      </c>
      <c r="BZ148" t="s">
        <v>1627</v>
      </c>
      <c r="CA148">
        <v>133</v>
      </c>
      <c r="CB148">
        <v>130</v>
      </c>
      <c r="CC148">
        <v>141</v>
      </c>
      <c r="CD148">
        <v>87</v>
      </c>
      <c r="CE148">
        <v>93</v>
      </c>
      <c r="CF148">
        <v>16</v>
      </c>
      <c r="CG148">
        <v>0</v>
      </c>
      <c r="CH148">
        <v>1</v>
      </c>
      <c r="CI148">
        <v>229</v>
      </c>
      <c r="CJ148">
        <v>2</v>
      </c>
      <c r="CK148" t="s">
        <v>54</v>
      </c>
      <c r="CL148" t="s">
        <v>1629</v>
      </c>
      <c r="CM148">
        <f>HYPERLINK(".\links\GO\TI_asb-259-GO.txt",0.00006)</f>
        <v>6.0000000000000002E-5</v>
      </c>
      <c r="CN148" t="s">
        <v>1630</v>
      </c>
      <c r="CO148" t="s">
        <v>1012</v>
      </c>
      <c r="CP148" t="s">
        <v>1631</v>
      </c>
      <c r="CQ148" t="s">
        <v>1632</v>
      </c>
      <c r="CR148" s="6">
        <v>2.6</v>
      </c>
      <c r="CS148" t="s">
        <v>224</v>
      </c>
      <c r="CT148" t="s">
        <v>75</v>
      </c>
      <c r="CU148" t="s">
        <v>76</v>
      </c>
      <c r="CV148" t="s">
        <v>225</v>
      </c>
      <c r="CW148" s="6">
        <v>2.6</v>
      </c>
      <c r="CX148" t="s">
        <v>1633</v>
      </c>
      <c r="CY148" t="s">
        <v>1012</v>
      </c>
      <c r="CZ148" t="s">
        <v>1631</v>
      </c>
      <c r="DA148" t="s">
        <v>1634</v>
      </c>
      <c r="DB148" s="6">
        <v>2.6</v>
      </c>
      <c r="DC148" t="str">
        <f>HYPERLINK(".\links\CDD\TI_asb-259-CDD.txt","zf-AD")</f>
        <v>zf-AD</v>
      </c>
      <c r="DD148" t="str">
        <f>HYPERLINK("http://www.ncbi.nlm.nih.gov/Structure/cdd/cddsrv.cgi?uid=pfam07776&amp;version=v4.0","1E-009")</f>
        <v>1E-009</v>
      </c>
      <c r="DE148" t="s">
        <v>1635</v>
      </c>
      <c r="DF148" t="str">
        <f>HYPERLINK(".\links\PFAM\TI_asb-259-PFAM.txt","zf-AD")</f>
        <v>zf-AD</v>
      </c>
      <c r="DG148" t="str">
        <f>HYPERLINK("http://pfam.sanger.ac.uk/family?acc=PF07776","2E-009")</f>
        <v>2E-009</v>
      </c>
      <c r="DH148" t="str">
        <f>HYPERLINK(".\links\PRK\TI_asb-259-PRK.txt","NADH dehydrogenase subunit 5")</f>
        <v>NADH dehydrogenase subunit 5</v>
      </c>
      <c r="DI148" s="7">
        <v>3.0000000000000001E-6</v>
      </c>
      <c r="DJ148" s="6" t="str">
        <f>HYPERLINK(".\links\KOG\TI_asb-259-KOG.txt","Alpha-1,2 glucosyltransferase/transcriptional activator")</f>
        <v>Alpha-1,2 glucosyltransferase/transcriptional activator</v>
      </c>
      <c r="DK148" s="6" t="str">
        <f>HYPERLINK("http://www.ncbi.nlm.nih.gov/COG/grace/shokog.cgi?KOG2642","0.026")</f>
        <v>0.026</v>
      </c>
      <c r="DL148" s="6" t="s">
        <v>4335</v>
      </c>
      <c r="DM148" s="6" t="str">
        <f>HYPERLINK(".\links\KOG\TI_asb-259-KOG.txt","KOG2642")</f>
        <v>KOG2642</v>
      </c>
      <c r="DN148" t="str">
        <f>HYPERLINK(".\links\SMART\TI_asb-259-SMART.txt","zf-AD")</f>
        <v>zf-AD</v>
      </c>
      <c r="DO148" t="str">
        <f>HYPERLINK("http://smart.embl-heidelberg.de/smart/do_annotation.pl?DOMAIN=zf-AD&amp;BLAST=DUMMY","2E-011")</f>
        <v>2E-011</v>
      </c>
      <c r="DP148" s="3" t="s">
        <v>56</v>
      </c>
      <c r="ED148" s="3" t="s">
        <v>56</v>
      </c>
    </row>
    <row r="149" spans="1:147">
      <c r="A149" t="str">
        <f>HYPERLINK(".\links\seq\TI_asb-260-seq.txt","TI_asb-260")</f>
        <v>TI_asb-260</v>
      </c>
      <c r="B149">
        <v>260</v>
      </c>
      <c r="C149" t="str">
        <f>HYPERLINK(".\links\tsa\TI_asb-260-tsa.txt","1")</f>
        <v>1</v>
      </c>
      <c r="D149">
        <v>1</v>
      </c>
      <c r="E149">
        <v>174</v>
      </c>
      <c r="G149" t="str">
        <f>HYPERLINK(".\links\qual\TI_asb-260-qual.txt","24")</f>
        <v>24</v>
      </c>
      <c r="H149">
        <v>1</v>
      </c>
      <c r="I149">
        <v>0</v>
      </c>
      <c r="J149">
        <f t="shared" si="8"/>
        <v>1</v>
      </c>
      <c r="K149" s="6">
        <f t="shared" si="9"/>
        <v>1</v>
      </c>
      <c r="L149" s="6" t="s">
        <v>3868</v>
      </c>
      <c r="M149" s="6" t="s">
        <v>3869</v>
      </c>
      <c r="N149" s="6"/>
      <c r="O149" s="6"/>
      <c r="P149" s="6"/>
      <c r="Q149" s="3">
        <v>174</v>
      </c>
      <c r="R149" s="3">
        <v>171</v>
      </c>
      <c r="S149" s="3" t="s">
        <v>3628</v>
      </c>
      <c r="T149" s="3">
        <v>2</v>
      </c>
      <c r="U149" t="str">
        <f>HYPERLINK(".\links\NR-LIGHT\TI_asb-260-NR-LIGHT.txt","variola B22R gene family protein")</f>
        <v>variola B22R gene family protein</v>
      </c>
      <c r="V149" t="str">
        <f>HYPERLINK("http://www.ncbi.nlm.nih.gov/sutils/blink.cgi?pid=9634768","5.9")</f>
        <v>5.9</v>
      </c>
      <c r="W149" t="str">
        <f>HYPERLINK(".\links\NR-LIGHT\TI_asb-260-NR-LIGHT.txt"," 1")</f>
        <v xml:space="preserve"> 1</v>
      </c>
      <c r="X149" t="str">
        <f>HYPERLINK("http://www.ncbi.nlm.nih.gov/protein/9634768","gi|9634768")</f>
        <v>gi|9634768</v>
      </c>
      <c r="Y149">
        <v>32</v>
      </c>
      <c r="Z149">
        <v>30</v>
      </c>
      <c r="AA149">
        <v>1802</v>
      </c>
      <c r="AB149">
        <v>43</v>
      </c>
      <c r="AC149">
        <v>2</v>
      </c>
      <c r="AD149">
        <v>17</v>
      </c>
      <c r="AE149">
        <v>0</v>
      </c>
      <c r="AF149">
        <v>927</v>
      </c>
      <c r="AG149">
        <v>56</v>
      </c>
      <c r="AH149">
        <v>1</v>
      </c>
      <c r="AI149">
        <v>2</v>
      </c>
      <c r="AJ149" t="s">
        <v>53</v>
      </c>
      <c r="AK149" t="s">
        <v>54</v>
      </c>
      <c r="AL149" t="s">
        <v>1636</v>
      </c>
      <c r="AM149" t="str">
        <f>HYPERLINK(".\links\SWISSP\TI_asb-260-SWISSP.txt","30S ribosomal protein S2 OS=Solibacter usitatus (strain Ellin6076) GN=rpsB PE=3")</f>
        <v>30S ribosomal protein S2 OS=Solibacter usitatus (strain Ellin6076) GN=rpsB PE=3</v>
      </c>
      <c r="AN149" s="19" t="str">
        <f>HYPERLINK("http://www.uniprot.org/uniprot/Q02AL1","7.9")</f>
        <v>7.9</v>
      </c>
      <c r="AO149" t="str">
        <f>HYPERLINK(".\links\SWISSP\TI_asb-260-SWISSP.txt"," 1")</f>
        <v xml:space="preserve"> 1</v>
      </c>
      <c r="AP149" t="s">
        <v>1637</v>
      </c>
      <c r="AQ149">
        <v>29.3</v>
      </c>
      <c r="AR149">
        <v>53</v>
      </c>
      <c r="AS149">
        <v>303</v>
      </c>
      <c r="AT149">
        <v>28</v>
      </c>
      <c r="AU149">
        <v>17</v>
      </c>
      <c r="AV149">
        <v>38</v>
      </c>
      <c r="AW149">
        <v>0</v>
      </c>
      <c r="AX149">
        <v>141</v>
      </c>
      <c r="AY149">
        <v>14</v>
      </c>
      <c r="AZ149">
        <v>1</v>
      </c>
      <c r="BA149">
        <v>2</v>
      </c>
      <c r="BB149" t="s">
        <v>53</v>
      </c>
      <c r="BC149" t="s">
        <v>54</v>
      </c>
      <c r="BD149" t="s">
        <v>1638</v>
      </c>
      <c r="BE149" t="s">
        <v>1639</v>
      </c>
      <c r="BF149" t="s">
        <v>1640</v>
      </c>
      <c r="BG149" t="str">
        <f>HYPERLINK(".\links\PREV-RHOD-PEP\TI_asb-260-PREV-RHOD-PEP.txt","Contig17970_566")</f>
        <v>Contig17970_566</v>
      </c>
      <c r="BH149" s="6">
        <v>8.3000000000000007</v>
      </c>
      <c r="BI149" t="str">
        <f>HYPERLINK(".\links\PREV-RHOD-PEP\TI_asb-260-PREV-RHOD-PEP.txt"," 1")</f>
        <v xml:space="preserve"> 1</v>
      </c>
      <c r="BJ149" t="s">
        <v>1641</v>
      </c>
      <c r="BK149">
        <v>25.4</v>
      </c>
      <c r="BL149">
        <v>21</v>
      </c>
      <c r="BM149">
        <v>743</v>
      </c>
      <c r="BN149">
        <v>47</v>
      </c>
      <c r="BO149">
        <v>3</v>
      </c>
      <c r="BP149">
        <v>11</v>
      </c>
      <c r="BQ149">
        <v>0</v>
      </c>
      <c r="BR149">
        <v>632</v>
      </c>
      <c r="BS149">
        <v>59</v>
      </c>
      <c r="BT149">
        <v>1</v>
      </c>
      <c r="BU149" t="s">
        <v>64</v>
      </c>
      <c r="BV149" t="s">
        <v>1642</v>
      </c>
      <c r="BW149" t="s">
        <v>56</v>
      </c>
      <c r="BX149" t="str">
        <f>HYPERLINK(".\links\PREV-RHOD-CDS\TI_asb-260-PREV-RHOD-CDS.txt","Contig540_1")</f>
        <v>Contig540_1</v>
      </c>
      <c r="BY149" s="6">
        <v>0.32</v>
      </c>
      <c r="BZ149" t="s">
        <v>1643</v>
      </c>
      <c r="CA149">
        <v>34.200000000000003</v>
      </c>
      <c r="CB149">
        <v>16</v>
      </c>
      <c r="CC149">
        <v>180</v>
      </c>
      <c r="CD149">
        <v>100</v>
      </c>
      <c r="CE149">
        <v>9</v>
      </c>
      <c r="CF149">
        <v>0</v>
      </c>
      <c r="CG149">
        <v>0</v>
      </c>
      <c r="CH149">
        <v>9</v>
      </c>
      <c r="CI149">
        <v>138</v>
      </c>
      <c r="CJ149">
        <v>1</v>
      </c>
      <c r="CK149" t="s">
        <v>64</v>
      </c>
      <c r="CL149" t="s">
        <v>960</v>
      </c>
      <c r="CM149">
        <f>HYPERLINK(".\links\GO\TI_asb-260-GO.txt",5.5)</f>
        <v>5.5</v>
      </c>
      <c r="CN149" t="s">
        <v>58</v>
      </c>
      <c r="CO149" t="s">
        <v>58</v>
      </c>
      <c r="CQ149" t="s">
        <v>59</v>
      </c>
      <c r="CR149" s="6">
        <v>5.5</v>
      </c>
      <c r="CS149" t="s">
        <v>60</v>
      </c>
      <c r="CT149" t="s">
        <v>60</v>
      </c>
      <c r="CV149" t="s">
        <v>61</v>
      </c>
      <c r="CW149" s="6">
        <v>5.5</v>
      </c>
      <c r="CX149" t="s">
        <v>62</v>
      </c>
      <c r="CY149" t="s">
        <v>58</v>
      </c>
      <c r="DA149" t="s">
        <v>63</v>
      </c>
      <c r="DB149" s="6">
        <v>5.5</v>
      </c>
      <c r="DC149" t="s">
        <v>56</v>
      </c>
      <c r="DD149" t="s">
        <v>56</v>
      </c>
      <c r="DE149" t="s">
        <v>56</v>
      </c>
      <c r="DF149" t="s">
        <v>56</v>
      </c>
      <c r="DG149" t="s">
        <v>56</v>
      </c>
      <c r="DH149" t="s">
        <v>56</v>
      </c>
      <c r="DI149" s="6" t="s">
        <v>56</v>
      </c>
      <c r="DJ149" s="6" t="s">
        <v>56</v>
      </c>
      <c r="DN149" t="s">
        <v>56</v>
      </c>
      <c r="DO149" t="s">
        <v>56</v>
      </c>
      <c r="DP149" s="3" t="s">
        <v>56</v>
      </c>
      <c r="ED149" s="3" t="s">
        <v>56</v>
      </c>
    </row>
    <row r="150" spans="1:147">
      <c r="A150" t="str">
        <f>HYPERLINK(".\links\seq\TI_asb-261-seq.txt","TI_asb-261")</f>
        <v>TI_asb-261</v>
      </c>
      <c r="B150">
        <v>261</v>
      </c>
      <c r="C150" t="str">
        <f>HYPERLINK(".\links\tsa\TI_asb-261-tsa.txt","4")</f>
        <v>4</v>
      </c>
      <c r="D150">
        <v>4</v>
      </c>
      <c r="E150">
        <v>688</v>
      </c>
      <c r="G150" t="str">
        <f>HYPERLINK(".\links\qual\TI_asb-261-qual.txt","79")</f>
        <v>79</v>
      </c>
      <c r="H150">
        <v>0</v>
      </c>
      <c r="I150">
        <v>4</v>
      </c>
      <c r="J150">
        <f t="shared" si="8"/>
        <v>4</v>
      </c>
      <c r="K150" s="6">
        <f t="shared" si="9"/>
        <v>-4</v>
      </c>
      <c r="L150" s="6" t="s">
        <v>4129</v>
      </c>
      <c r="M150" s="6" t="s">
        <v>3904</v>
      </c>
      <c r="N150" s="6" t="str">
        <f>HYPERLINK(".\links\KOG\TI_asb-261-KOG.txt","KOG")</f>
        <v>KOG</v>
      </c>
      <c r="O150" s="7">
        <v>8.9999999999999994E-55</v>
      </c>
      <c r="P150" s="6">
        <v>82.9</v>
      </c>
      <c r="Q150" s="3">
        <v>688</v>
      </c>
      <c r="R150" s="3">
        <v>288</v>
      </c>
      <c r="S150" s="6" t="s">
        <v>3629</v>
      </c>
      <c r="T150" s="3">
        <v>5</v>
      </c>
      <c r="U150" t="str">
        <f>HYPERLINK(".\links\NR-LIGHT\TI_asb-261-NR-LIGHT.txt","cytochrome c oxidase subunit I")</f>
        <v>cytochrome c oxidase subunit I</v>
      </c>
      <c r="V150" t="str">
        <f>HYPERLINK("http://www.ncbi.nlm.nih.gov/sutils/blink.cgi?pid=307095174","2E-081")</f>
        <v>2E-081</v>
      </c>
      <c r="W150" t="str">
        <f>HYPERLINK(".\links\NR-LIGHT\TI_asb-261-NR-LIGHT.txt"," 10")</f>
        <v xml:space="preserve"> 10</v>
      </c>
      <c r="X150" t="str">
        <f>HYPERLINK("http://www.ncbi.nlm.nih.gov/protein/307095174","gi|307095174")</f>
        <v>gi|307095174</v>
      </c>
      <c r="Y150">
        <v>304</v>
      </c>
      <c r="Z150">
        <v>226</v>
      </c>
      <c r="AA150">
        <v>356</v>
      </c>
      <c r="AB150">
        <v>72</v>
      </c>
      <c r="AC150">
        <v>63</v>
      </c>
      <c r="AD150">
        <v>63</v>
      </c>
      <c r="AE150">
        <v>0</v>
      </c>
      <c r="AF150">
        <v>4</v>
      </c>
      <c r="AG150">
        <v>8</v>
      </c>
      <c r="AH150">
        <v>1</v>
      </c>
      <c r="AI150">
        <v>2</v>
      </c>
      <c r="AJ150" t="s">
        <v>53</v>
      </c>
      <c r="AK150" t="s">
        <v>54</v>
      </c>
      <c r="AL150" t="s">
        <v>258</v>
      </c>
      <c r="AM150" t="str">
        <f>HYPERLINK(".\links\SWISSP\TI_asb-261-SWISSP.txt","Cytochrome c oxidase subunit 1 OS=Choristoneura biennis GN=COI PE=3 SV=2")</f>
        <v>Cytochrome c oxidase subunit 1 OS=Choristoneura biennis GN=COI PE=3 SV=2</v>
      </c>
      <c r="AN150" s="19" t="str">
        <f>HYPERLINK("http://www.uniprot.org/uniprot/P50668","1E-074")</f>
        <v>1E-074</v>
      </c>
      <c r="AO150" t="str">
        <f>HYPERLINK(".\links\SWISSP\TI_asb-261-SWISSP.txt"," 10")</f>
        <v xml:space="preserve"> 10</v>
      </c>
      <c r="AP150" t="s">
        <v>1644</v>
      </c>
      <c r="AQ150">
        <v>279</v>
      </c>
      <c r="AR150">
        <v>226</v>
      </c>
      <c r="AS150">
        <v>513</v>
      </c>
      <c r="AT150">
        <v>65</v>
      </c>
      <c r="AU150">
        <v>44</v>
      </c>
      <c r="AV150">
        <v>78</v>
      </c>
      <c r="AW150">
        <v>0</v>
      </c>
      <c r="AX150">
        <v>9</v>
      </c>
      <c r="AY150">
        <v>8</v>
      </c>
      <c r="AZ150">
        <v>1</v>
      </c>
      <c r="BA150">
        <v>2</v>
      </c>
      <c r="BB150" t="s">
        <v>53</v>
      </c>
      <c r="BC150" t="s">
        <v>54</v>
      </c>
      <c r="BD150" t="s">
        <v>1645</v>
      </c>
      <c r="BE150" t="s">
        <v>1646</v>
      </c>
      <c r="BF150" t="s">
        <v>1647</v>
      </c>
      <c r="BG150" t="str">
        <f>HYPERLINK(".\links\PREV-RHOD-PEP\TI_asb-261-PREV-RHOD-PEP.txt","Contig17966_135")</f>
        <v>Contig17966_135</v>
      </c>
      <c r="BH150" s="6">
        <v>0.7</v>
      </c>
      <c r="BI150" t="str">
        <f>HYPERLINK(".\links\PREV-RHOD-PEP\TI_asb-261-PREV-RHOD-PEP.txt"," 3")</f>
        <v xml:space="preserve"> 3</v>
      </c>
      <c r="BJ150" t="s">
        <v>1648</v>
      </c>
      <c r="BK150">
        <v>30.4</v>
      </c>
      <c r="BL150">
        <v>36</v>
      </c>
      <c r="BM150">
        <v>776</v>
      </c>
      <c r="BN150">
        <v>33</v>
      </c>
      <c r="BO150">
        <v>5</v>
      </c>
      <c r="BP150">
        <v>24</v>
      </c>
      <c r="BQ150">
        <v>0</v>
      </c>
      <c r="BR150">
        <v>452</v>
      </c>
      <c r="BS150">
        <v>271</v>
      </c>
      <c r="BT150">
        <v>1</v>
      </c>
      <c r="BU150" t="s">
        <v>54</v>
      </c>
      <c r="BV150" t="s">
        <v>1649</v>
      </c>
      <c r="BW150" t="s">
        <v>56</v>
      </c>
      <c r="BX150" t="str">
        <f>HYPERLINK(".\links\PREV-RHOD-CDS\TI_asb-261-PREV-RHOD-CDS.txt","Contig28104_1")</f>
        <v>Contig28104_1</v>
      </c>
      <c r="BY150" s="7">
        <v>2.0000000000000001E-18</v>
      </c>
      <c r="BZ150" t="s">
        <v>1650</v>
      </c>
      <c r="CA150">
        <v>93.7</v>
      </c>
      <c r="CB150">
        <v>78</v>
      </c>
      <c r="CC150">
        <v>90</v>
      </c>
      <c r="CD150">
        <v>89</v>
      </c>
      <c r="CE150">
        <v>88</v>
      </c>
      <c r="CF150">
        <v>8</v>
      </c>
      <c r="CG150">
        <v>0</v>
      </c>
      <c r="CH150">
        <v>7</v>
      </c>
      <c r="CI150">
        <v>171</v>
      </c>
      <c r="CJ150">
        <v>1</v>
      </c>
      <c r="CK150" t="s">
        <v>64</v>
      </c>
      <c r="CL150" t="s">
        <v>1596</v>
      </c>
      <c r="CM150">
        <f>HYPERLINK(".\links\GO\TI_asb-261-GO.txt",2E-74)</f>
        <v>1.9999999999999999E-74</v>
      </c>
      <c r="CN150" t="s">
        <v>1597</v>
      </c>
      <c r="CO150" t="s">
        <v>88</v>
      </c>
      <c r="CP150" t="s">
        <v>89</v>
      </c>
      <c r="CQ150" t="s">
        <v>1598</v>
      </c>
      <c r="CR150" s="7">
        <v>1.9999999999999999E-74</v>
      </c>
      <c r="CS150" t="s">
        <v>241</v>
      </c>
      <c r="CT150" t="s">
        <v>75</v>
      </c>
      <c r="CU150" t="s">
        <v>76</v>
      </c>
      <c r="CV150" t="s">
        <v>242</v>
      </c>
      <c r="CW150" s="7">
        <v>1.9999999999999999E-74</v>
      </c>
      <c r="CX150" t="s">
        <v>1599</v>
      </c>
      <c r="CY150" t="s">
        <v>88</v>
      </c>
      <c r="CZ150" t="s">
        <v>89</v>
      </c>
      <c r="DA150" t="s">
        <v>1600</v>
      </c>
      <c r="DB150" s="7">
        <v>1.9999999999999999E-74</v>
      </c>
      <c r="DC150" t="str">
        <f>HYPERLINK(".\links\CDD\TI_asb-261-CDD.txt","COX1")</f>
        <v>COX1</v>
      </c>
      <c r="DD150" t="str">
        <f>HYPERLINK("http://www.ncbi.nlm.nih.gov/Structure/cdd/cddsrv.cgi?uid=MTH00153&amp;version=v4.0","1E-137")</f>
        <v>1E-137</v>
      </c>
      <c r="DE150" t="s">
        <v>1651</v>
      </c>
      <c r="DF150" t="str">
        <f>HYPERLINK(".\links\PFAM\TI_asb-261-PFAM.txt","COX1")</f>
        <v>COX1</v>
      </c>
      <c r="DG150" t="str">
        <f>HYPERLINK("http://pfam.sanger.ac.uk/family?acc=PF00115","3E-089")</f>
        <v>3E-089</v>
      </c>
      <c r="DH150" t="str">
        <f>HYPERLINK(".\links\PRK\TI_asb-261-PRK.txt","cytochrome c oxidase subunit I")</f>
        <v>cytochrome c oxidase subunit I</v>
      </c>
      <c r="DI150" s="7">
        <v>9.9999999999999998E-141</v>
      </c>
      <c r="DJ150" s="6" t="str">
        <f>HYPERLINK(".\links\KOG\TI_asb-261-KOG.txt","Cytochrome c oxidase, subunit I")</f>
        <v>Cytochrome c oxidase, subunit I</v>
      </c>
      <c r="DK150" s="6" t="str">
        <f>HYPERLINK("http://www.ncbi.nlm.nih.gov/COG/grace/shokog.cgi?KOG4769","9E-055")</f>
        <v>9E-055</v>
      </c>
      <c r="DL150" s="6" t="s">
        <v>4349</v>
      </c>
      <c r="DM150" s="6" t="str">
        <f>HYPERLINK(".\links\KOG\TI_asb-261-KOG.txt","KOG4769")</f>
        <v>KOG4769</v>
      </c>
      <c r="DN150" t="s">
        <v>56</v>
      </c>
      <c r="DO150" t="s">
        <v>56</v>
      </c>
      <c r="DP150" s="3" t="s">
        <v>56</v>
      </c>
      <c r="ED150" s="3" t="str">
        <f>HYPERLINK(".\links\MIT-PLA\TI_asb-261-MIT-PLA.txt","Triatoma dimidiata mitochondrial DNA, complete genome")</f>
        <v>Triatoma dimidiata mitochondrial DNA, complete genome</v>
      </c>
      <c r="EE150" s="3" t="str">
        <f>HYPERLINK("http://www.ncbi.nlm.nih.gov/entrez/viewer.fcgi?db=nucleotide&amp;val=11139100","1E-104")</f>
        <v>1E-104</v>
      </c>
      <c r="EF150" s="3" t="str">
        <f>HYPERLINK("http://www.ncbi.nlm.nih.gov/entrez/viewer.fcgi?db=nucleotide&amp;val=11139100","gi|11139100")</f>
        <v>gi|11139100</v>
      </c>
      <c r="EG150" s="3">
        <v>379</v>
      </c>
      <c r="EH150" s="3">
        <v>630</v>
      </c>
      <c r="EI150" s="3">
        <v>17019</v>
      </c>
      <c r="EJ150" s="3">
        <v>82</v>
      </c>
      <c r="EK150" s="3">
        <v>4</v>
      </c>
      <c r="EL150" s="3">
        <v>112</v>
      </c>
      <c r="EM150" s="3">
        <v>0</v>
      </c>
      <c r="EN150" s="3">
        <v>1412</v>
      </c>
      <c r="EO150" s="3">
        <v>11</v>
      </c>
      <c r="EP150" s="3">
        <v>1</v>
      </c>
      <c r="EQ150" s="3" t="s">
        <v>54</v>
      </c>
    </row>
    <row r="151" spans="1:147">
      <c r="A151" t="str">
        <f>HYPERLINK(".\links\seq\TI_asb-262-seq.txt","TI_asb-262")</f>
        <v>TI_asb-262</v>
      </c>
      <c r="B151">
        <v>262</v>
      </c>
      <c r="C151" t="str">
        <f>HYPERLINK(".\links\tsa\TI_asb-262-tsa.txt","4")</f>
        <v>4</v>
      </c>
      <c r="D151">
        <v>4</v>
      </c>
      <c r="E151">
        <v>706</v>
      </c>
      <c r="G151" t="str">
        <f>HYPERLINK(".\links\qual\TI_asb-262-qual.txt","79")</f>
        <v>79</v>
      </c>
      <c r="H151">
        <v>3</v>
      </c>
      <c r="I151">
        <v>1</v>
      </c>
      <c r="J151">
        <f t="shared" si="8"/>
        <v>2</v>
      </c>
      <c r="K151" s="6">
        <f t="shared" si="9"/>
        <v>2</v>
      </c>
      <c r="L151" s="6" t="s">
        <v>3868</v>
      </c>
      <c r="M151" s="6" t="s">
        <v>3869</v>
      </c>
      <c r="N151" s="6"/>
      <c r="O151" s="6"/>
      <c r="P151" s="6"/>
      <c r="Q151" s="3">
        <v>706</v>
      </c>
      <c r="R151" s="3">
        <v>645</v>
      </c>
      <c r="S151" s="6" t="s">
        <v>3630</v>
      </c>
      <c r="T151" s="3">
        <v>2</v>
      </c>
      <c r="U151" t="str">
        <f>HYPERLINK(".\links\NR-LIGHT\TI_asb-262-NR-LIGHT.txt","hypothetical protein")</f>
        <v>hypothetical protein</v>
      </c>
      <c r="V151" t="str">
        <f>HYPERLINK("http://www.ncbi.nlm.nih.gov/sutils/blink.cgi?pid=68063775","0.11")</f>
        <v>0.11</v>
      </c>
      <c r="W151" t="str">
        <f>HYPERLINK(".\links\NR-LIGHT\TI_asb-262-NR-LIGHT.txt"," 10")</f>
        <v xml:space="preserve"> 10</v>
      </c>
      <c r="X151" t="str">
        <f>HYPERLINK("http://www.ncbi.nlm.nih.gov/protein/68063775","gi|68063775")</f>
        <v>gi|68063775</v>
      </c>
      <c r="Y151">
        <v>39.299999999999997</v>
      </c>
      <c r="Z151">
        <v>124</v>
      </c>
      <c r="AA151">
        <v>581</v>
      </c>
      <c r="AB151">
        <v>27</v>
      </c>
      <c r="AC151">
        <v>21</v>
      </c>
      <c r="AD151">
        <v>90</v>
      </c>
      <c r="AE151">
        <v>5</v>
      </c>
      <c r="AF151">
        <v>58</v>
      </c>
      <c r="AG151">
        <v>329</v>
      </c>
      <c r="AH151">
        <v>1</v>
      </c>
      <c r="AI151">
        <v>2</v>
      </c>
      <c r="AJ151" t="s">
        <v>53</v>
      </c>
      <c r="AK151" t="s">
        <v>54</v>
      </c>
      <c r="AL151" t="s">
        <v>1117</v>
      </c>
      <c r="AM151" t="str">
        <f>HYPERLINK(".\links\SWISSP\TI_asb-262-SWISSP.txt","PAB-dependent poly(A)-specific ribonuclease subunit PAN2 OS=Candida albicans")</f>
        <v>PAB-dependent poly(A)-specific ribonuclease subunit PAN2 OS=Candida albicans</v>
      </c>
      <c r="AN151" s="19" t="str">
        <f>HYPERLINK("http://www.uniprot.org/uniprot/Q5APK0","0.13")</f>
        <v>0.13</v>
      </c>
      <c r="AO151" t="str">
        <f>HYPERLINK(".\links\SWISSP\TI_asb-262-SWISSP.txt"," 9")</f>
        <v xml:space="preserve"> 9</v>
      </c>
      <c r="AP151" t="s">
        <v>1652</v>
      </c>
      <c r="AQ151">
        <v>37</v>
      </c>
      <c r="AR151">
        <v>79</v>
      </c>
      <c r="AS151">
        <v>1190</v>
      </c>
      <c r="AT151">
        <v>25</v>
      </c>
      <c r="AU151">
        <v>7</v>
      </c>
      <c r="AV151">
        <v>59</v>
      </c>
      <c r="AW151">
        <v>0</v>
      </c>
      <c r="AX151">
        <v>346</v>
      </c>
      <c r="AY151">
        <v>170</v>
      </c>
      <c r="AZ151">
        <v>1</v>
      </c>
      <c r="BA151">
        <v>2</v>
      </c>
      <c r="BB151" t="s">
        <v>53</v>
      </c>
      <c r="BC151" t="s">
        <v>54</v>
      </c>
      <c r="BD151" t="s">
        <v>1653</v>
      </c>
      <c r="BE151" t="s">
        <v>1654</v>
      </c>
      <c r="BF151" t="s">
        <v>1655</v>
      </c>
      <c r="BG151" t="str">
        <f>HYPERLINK(".\links\PREV-RHOD-PEP\TI_asb-262-PREV-RHOD-PEP.txt","Contig17963_38")</f>
        <v>Contig17963_38</v>
      </c>
      <c r="BH151" s="7">
        <v>2.0000000000000001E-63</v>
      </c>
      <c r="BI151" t="str">
        <f>HYPERLINK(".\links\PREV-RHOD-PEP\TI_asb-262-PREV-RHOD-PEP.txt"," 10")</f>
        <v xml:space="preserve"> 10</v>
      </c>
      <c r="BJ151" t="s">
        <v>1656</v>
      </c>
      <c r="BK151">
        <v>238</v>
      </c>
      <c r="BL151">
        <v>210</v>
      </c>
      <c r="BM151">
        <v>238</v>
      </c>
      <c r="BN151">
        <v>55</v>
      </c>
      <c r="BO151">
        <v>88</v>
      </c>
      <c r="BP151">
        <v>94</v>
      </c>
      <c r="BQ151">
        <v>4</v>
      </c>
      <c r="BR151">
        <v>4</v>
      </c>
      <c r="BS151">
        <v>86</v>
      </c>
      <c r="BT151">
        <v>1</v>
      </c>
      <c r="BU151" t="s">
        <v>54</v>
      </c>
      <c r="BV151" t="s">
        <v>1657</v>
      </c>
      <c r="BW151" t="s">
        <v>56</v>
      </c>
      <c r="BX151" t="str">
        <f>HYPERLINK(".\links\PREV-RHOD-CDS\TI_asb-262-PREV-RHOD-CDS.txt","Contig17963_38")</f>
        <v>Contig17963_38</v>
      </c>
      <c r="BY151" s="7">
        <v>6E-9</v>
      </c>
      <c r="BZ151" t="s">
        <v>1656</v>
      </c>
      <c r="CA151">
        <v>61.9</v>
      </c>
      <c r="CB151">
        <v>90</v>
      </c>
      <c r="CC151">
        <v>717</v>
      </c>
      <c r="CD151">
        <v>83</v>
      </c>
      <c r="CE151">
        <v>13</v>
      </c>
      <c r="CF151">
        <v>15</v>
      </c>
      <c r="CG151">
        <v>0</v>
      </c>
      <c r="CH151">
        <v>87</v>
      </c>
      <c r="CI151">
        <v>154</v>
      </c>
      <c r="CJ151">
        <v>1</v>
      </c>
      <c r="CK151" t="s">
        <v>54</v>
      </c>
      <c r="CL151" t="s">
        <v>1658</v>
      </c>
      <c r="CM151">
        <f>HYPERLINK(".\links\GO\TI_asb-262-GO.txt",2)</f>
        <v>2</v>
      </c>
      <c r="CN151" t="s">
        <v>58</v>
      </c>
      <c r="CO151" t="s">
        <v>58</v>
      </c>
      <c r="CQ151" t="s">
        <v>59</v>
      </c>
      <c r="CR151" s="6">
        <v>2</v>
      </c>
      <c r="CS151" t="s">
        <v>60</v>
      </c>
      <c r="CT151" t="s">
        <v>60</v>
      </c>
      <c r="CV151" t="s">
        <v>61</v>
      </c>
      <c r="CW151" s="6">
        <v>2</v>
      </c>
      <c r="CX151" t="s">
        <v>62</v>
      </c>
      <c r="CY151" t="s">
        <v>58</v>
      </c>
      <c r="DA151" t="s">
        <v>63</v>
      </c>
      <c r="DB151" s="6">
        <v>2</v>
      </c>
      <c r="DC151" t="str">
        <f>HYPERLINK(".\links\CDD\TI_asb-262-CDD.txt","JHBP")</f>
        <v>JHBP</v>
      </c>
      <c r="DD151" t="str">
        <f>HYPERLINK("http://www.ncbi.nlm.nih.gov/Structure/cdd/cddsrv.cgi?uid=smart00700&amp;version=v4.0","0.066")</f>
        <v>0.066</v>
      </c>
      <c r="DE151" t="s">
        <v>1659</v>
      </c>
      <c r="DF151" t="str">
        <f>HYPERLINK(".\links\PFAM\TI_asb-262-PFAM.txt","DUF161")</f>
        <v>DUF161</v>
      </c>
      <c r="DG151" t="str">
        <f>HYPERLINK("http://pfam.sanger.ac.uk/family?acc=PF02588","0.022")</f>
        <v>0.022</v>
      </c>
      <c r="DH151" t="s">
        <v>56</v>
      </c>
      <c r="DI151" s="6" t="s">
        <v>56</v>
      </c>
      <c r="DJ151" s="6" t="s">
        <v>56</v>
      </c>
      <c r="DN151" t="str">
        <f>HYPERLINK(".\links\SMART\TI_asb-262-SMART.txt","JHBP")</f>
        <v>JHBP</v>
      </c>
      <c r="DO151" t="str">
        <f>HYPERLINK("http://smart.embl-heidelberg.de/smart/do_annotation.pl?DOMAIN=JHBP&amp;BLAST=DUMMY","7E-004")</f>
        <v>7E-004</v>
      </c>
      <c r="DP151" s="3" t="s">
        <v>56</v>
      </c>
      <c r="ED151" s="3" t="s">
        <v>56</v>
      </c>
    </row>
    <row r="152" spans="1:147">
      <c r="A152" t="str">
        <f>HYPERLINK(".\links\seq\TI_asb-263-seq.txt","TI_asb-263")</f>
        <v>TI_asb-263</v>
      </c>
      <c r="B152">
        <v>263</v>
      </c>
      <c r="C152" t="str">
        <f>HYPERLINK(".\links\tsa\TI_asb-263-tsa.txt","2")</f>
        <v>2</v>
      </c>
      <c r="D152">
        <v>2</v>
      </c>
      <c r="E152">
        <v>681</v>
      </c>
      <c r="F152">
        <v>659</v>
      </c>
      <c r="G152" t="str">
        <f>HYPERLINK(".\links\qual\TI_asb-263-qual.txt","66")</f>
        <v>66</v>
      </c>
      <c r="H152">
        <v>1</v>
      </c>
      <c r="I152">
        <v>1</v>
      </c>
      <c r="J152">
        <f t="shared" si="8"/>
        <v>0</v>
      </c>
      <c r="K152" s="6">
        <f t="shared" si="9"/>
        <v>0</v>
      </c>
      <c r="L152" s="6" t="s">
        <v>3888</v>
      </c>
      <c r="M152" s="6" t="s">
        <v>3886</v>
      </c>
      <c r="N152" s="6" t="str">
        <f>HYPERLINK(".\links\KOG\TI_asb-263-KOG.txt","KOG")</f>
        <v>KOG</v>
      </c>
      <c r="O152" s="6">
        <v>0</v>
      </c>
      <c r="P152" s="6">
        <v>10</v>
      </c>
      <c r="Q152" s="3">
        <v>681</v>
      </c>
      <c r="R152" s="3">
        <v>348</v>
      </c>
      <c r="S152" s="3" t="s">
        <v>3631</v>
      </c>
      <c r="T152" s="3">
        <v>2</v>
      </c>
      <c r="U152" t="str">
        <f>HYPERLINK(".\links\NR-LIGHT\TI_asb-263-NR-LIGHT.txt","Sec14 domain containing protein")</f>
        <v>Sec14 domain containing protein</v>
      </c>
      <c r="V152" t="str">
        <f>HYPERLINK("http://www.ncbi.nlm.nih.gov/sutils/blink.cgi?pid=86171620","1.9")</f>
        <v>1.9</v>
      </c>
      <c r="W152" t="str">
        <f>HYPERLINK(".\links\NR-LIGHT\TI_asb-263-NR-LIGHT.txt"," 2")</f>
        <v xml:space="preserve"> 2</v>
      </c>
      <c r="X152" t="str">
        <f>HYPERLINK("http://www.ncbi.nlm.nih.gov/protein/86171620","gi|86171620")</f>
        <v>gi|86171620</v>
      </c>
      <c r="Y152">
        <v>35</v>
      </c>
      <c r="Z152">
        <v>53</v>
      </c>
      <c r="AA152">
        <v>1159</v>
      </c>
      <c r="AB152">
        <v>39</v>
      </c>
      <c r="AC152">
        <v>5</v>
      </c>
      <c r="AD152">
        <v>32</v>
      </c>
      <c r="AE152">
        <v>0</v>
      </c>
      <c r="AF152">
        <v>581</v>
      </c>
      <c r="AG152">
        <v>463</v>
      </c>
      <c r="AH152">
        <v>1</v>
      </c>
      <c r="AI152">
        <v>1</v>
      </c>
      <c r="AJ152" t="s">
        <v>53</v>
      </c>
      <c r="AK152" t="s">
        <v>54</v>
      </c>
      <c r="AL152" t="s">
        <v>294</v>
      </c>
      <c r="AM152" t="str">
        <f>HYPERLINK(".\links\SWISSP\TI_asb-263-SWISSP.txt","TGB1 helicase OS=Potato virus S (strain Peruvian) GN=ORF2 PE=3 SV=1")</f>
        <v>TGB1 helicase OS=Potato virus S (strain Peruvian) GN=ORF2 PE=3 SV=1</v>
      </c>
      <c r="AN152" s="19" t="str">
        <f>HYPERLINK("http://www.uniprot.org/uniprot/P16650","6.5")</f>
        <v>6.5</v>
      </c>
      <c r="AO152" t="str">
        <f>HYPERLINK(".\links\SWISSP\TI_asb-263-SWISSP.txt"," 1")</f>
        <v xml:space="preserve"> 1</v>
      </c>
      <c r="AP152" t="s">
        <v>1660</v>
      </c>
      <c r="AQ152">
        <v>31.2</v>
      </c>
      <c r="AR152">
        <v>66</v>
      </c>
      <c r="AS152">
        <v>227</v>
      </c>
      <c r="AT152">
        <v>28</v>
      </c>
      <c r="AU152">
        <v>29</v>
      </c>
      <c r="AV152">
        <v>47</v>
      </c>
      <c r="AW152">
        <v>7</v>
      </c>
      <c r="AX152">
        <v>153</v>
      </c>
      <c r="AY152">
        <v>451</v>
      </c>
      <c r="AZ152">
        <v>1</v>
      </c>
      <c r="BA152">
        <v>1</v>
      </c>
      <c r="BB152" t="s">
        <v>53</v>
      </c>
      <c r="BC152" t="s">
        <v>54</v>
      </c>
      <c r="BD152" t="s">
        <v>1661</v>
      </c>
      <c r="BE152" t="s">
        <v>1662</v>
      </c>
      <c r="BF152" t="s">
        <v>1663</v>
      </c>
      <c r="BG152" t="str">
        <f>HYPERLINK(".\links\PREV-RHOD-PEP\TI_asb-263-PREV-RHOD-PEP.txt","Contig17900_12")</f>
        <v>Contig17900_12</v>
      </c>
      <c r="BH152" s="7">
        <v>4.9999999999999998E-7</v>
      </c>
      <c r="BI152" t="str">
        <f>HYPERLINK(".\links\PREV-RHOD-PEP\TI_asb-263-PREV-RHOD-PEP.txt"," 8")</f>
        <v xml:space="preserve"> 8</v>
      </c>
      <c r="BJ152" t="s">
        <v>1664</v>
      </c>
      <c r="BK152">
        <v>50.8</v>
      </c>
      <c r="BL152">
        <v>28</v>
      </c>
      <c r="BM152">
        <v>76</v>
      </c>
      <c r="BN152">
        <v>75</v>
      </c>
      <c r="BO152">
        <v>37</v>
      </c>
      <c r="BP152">
        <v>7</v>
      </c>
      <c r="BQ152">
        <v>0</v>
      </c>
      <c r="BR152">
        <v>47</v>
      </c>
      <c r="BS152">
        <v>98</v>
      </c>
      <c r="BT152">
        <v>2</v>
      </c>
      <c r="BU152" t="s">
        <v>54</v>
      </c>
      <c r="BV152" t="s">
        <v>1665</v>
      </c>
      <c r="BW152" t="s">
        <v>56</v>
      </c>
      <c r="BX152" t="str">
        <f>HYPERLINK(".\links\PREV-RHOD-CDS\TI_asb-263-PREV-RHOD-CDS.txt","Contig18023_12")</f>
        <v>Contig18023_12</v>
      </c>
      <c r="BY152" s="6">
        <v>5.0000000000000001E-3</v>
      </c>
      <c r="BZ152" t="s">
        <v>1666</v>
      </c>
      <c r="CA152">
        <v>42.1</v>
      </c>
      <c r="CB152">
        <v>20</v>
      </c>
      <c r="CC152">
        <v>2337</v>
      </c>
      <c r="CD152">
        <v>100</v>
      </c>
      <c r="CE152">
        <v>1</v>
      </c>
      <c r="CF152">
        <v>0</v>
      </c>
      <c r="CG152">
        <v>0</v>
      </c>
      <c r="CH152">
        <v>1134</v>
      </c>
      <c r="CI152">
        <v>265</v>
      </c>
      <c r="CJ152">
        <v>1</v>
      </c>
      <c r="CK152" t="s">
        <v>54</v>
      </c>
      <c r="CL152" t="s">
        <v>1667</v>
      </c>
      <c r="CM152">
        <f>HYPERLINK(".\links\GO\TI_asb-263-GO.txt",9.3)</f>
        <v>9.3000000000000007</v>
      </c>
      <c r="CN152" t="s">
        <v>1668</v>
      </c>
      <c r="CO152" t="s">
        <v>1012</v>
      </c>
      <c r="CP152" t="s">
        <v>1669</v>
      </c>
      <c r="CQ152" t="s">
        <v>1670</v>
      </c>
      <c r="CR152" s="6">
        <v>9.3000000000000007</v>
      </c>
      <c r="CS152" t="s">
        <v>56</v>
      </c>
      <c r="CT152" t="s">
        <v>56</v>
      </c>
      <c r="CU152" t="s">
        <v>56</v>
      </c>
      <c r="CV152" t="s">
        <v>56</v>
      </c>
      <c r="CW152" s="6" t="s">
        <v>56</v>
      </c>
      <c r="CX152" t="s">
        <v>1671</v>
      </c>
      <c r="CY152" t="s">
        <v>1012</v>
      </c>
      <c r="CZ152" t="s">
        <v>1669</v>
      </c>
      <c r="DA152" t="s">
        <v>1672</v>
      </c>
      <c r="DB152" s="6">
        <v>9.3000000000000007</v>
      </c>
      <c r="DC152" t="str">
        <f>HYPERLINK(".\links\CDD\TI_asb-263-CDD.txt","ND2")</f>
        <v>ND2</v>
      </c>
      <c r="DD152" t="str">
        <f>HYPERLINK("http://www.ncbi.nlm.nih.gov/Structure/cdd/cddsrv.cgi?uid=MTH00091&amp;version=v4.0","1E-005")</f>
        <v>1E-005</v>
      </c>
      <c r="DE152" t="s">
        <v>1673</v>
      </c>
      <c r="DF152" t="str">
        <f>HYPERLINK(".\links\PFAM\TI_asb-263-PFAM.txt","7TMR-DISM_7TM")</f>
        <v>7TMR-DISM_7TM</v>
      </c>
      <c r="DG152" t="str">
        <f>HYPERLINK("http://pfam.sanger.ac.uk/family?acc=PF07695","7E-006")</f>
        <v>7E-006</v>
      </c>
      <c r="DH152" t="str">
        <f>HYPERLINK(".\links\PRK\TI_asb-263-PRK.txt","NADH dehydrogenase subunit 2")</f>
        <v>NADH dehydrogenase subunit 2</v>
      </c>
      <c r="DI152" s="7">
        <v>2.0000000000000001E-4</v>
      </c>
      <c r="DJ152" s="6" t="str">
        <f>HYPERLINK(".\links\KOG\TI_asb-263-KOG.txt","Nuclear protein, contains WD40 repeats")</f>
        <v>Nuclear protein, contains WD40 repeats</v>
      </c>
      <c r="DK152" s="6" t="str">
        <f>HYPERLINK("http://www.ncbi.nlm.nih.gov/COG/grace/shokog.cgi?KOG1916","0.0")</f>
        <v>0.0</v>
      </c>
      <c r="DL152" s="6" t="s">
        <v>4337</v>
      </c>
      <c r="DM152" s="6" t="str">
        <f>HYPERLINK(".\links\KOG\TI_asb-263-KOG.txt","KOG1916")</f>
        <v>KOG1916</v>
      </c>
      <c r="DN152" t="str">
        <f>HYPERLINK(".\links\SMART\TI_asb-263-SMART.txt","VKc")</f>
        <v>VKc</v>
      </c>
      <c r="DO152" t="str">
        <f>HYPERLINK("http://smart.embl-heidelberg.de/smart/do_annotation.pl?DOMAIN=VKc&amp;BLAST=DUMMY","0.006")</f>
        <v>0.006</v>
      </c>
      <c r="DP152" s="3" t="s">
        <v>56</v>
      </c>
      <c r="ED152" s="3" t="s">
        <v>56</v>
      </c>
    </row>
    <row r="153" spans="1:147">
      <c r="A153" t="str">
        <f>HYPERLINK(".\links\seq\TI_asb-264-seq.txt","TI_asb-264")</f>
        <v>TI_asb-264</v>
      </c>
      <c r="B153">
        <v>264</v>
      </c>
      <c r="C153" t="str">
        <f>HYPERLINK(".\links\tsa\TI_asb-264-tsa.txt","2")</f>
        <v>2</v>
      </c>
      <c r="D153">
        <v>2</v>
      </c>
      <c r="E153">
        <v>662</v>
      </c>
      <c r="G153" t="str">
        <f>HYPERLINK(".\links\qual\TI_asb-264-qual.txt","69")</f>
        <v>69</v>
      </c>
      <c r="H153">
        <v>1</v>
      </c>
      <c r="I153">
        <v>1</v>
      </c>
      <c r="J153">
        <f t="shared" si="8"/>
        <v>0</v>
      </c>
      <c r="K153" s="6">
        <f t="shared" si="9"/>
        <v>0</v>
      </c>
      <c r="L153" s="6" t="s">
        <v>3868</v>
      </c>
      <c r="M153" s="6" t="s">
        <v>3869</v>
      </c>
      <c r="N153" s="6"/>
      <c r="O153" s="6"/>
      <c r="P153" s="6"/>
      <c r="Q153" s="3">
        <v>662</v>
      </c>
      <c r="R153" s="3">
        <v>525</v>
      </c>
      <c r="S153" s="6" t="s">
        <v>3632</v>
      </c>
      <c r="T153" s="3">
        <v>3</v>
      </c>
      <c r="U153" t="str">
        <f>HYPERLINK(".\links\NR-LIGHT\TI_asb-264-NR-LIGHT.txt","conserved hypothetical protein")</f>
        <v>conserved hypothetical protein</v>
      </c>
      <c r="V153" t="str">
        <f>HYPERLINK("http://www.ncbi.nlm.nih.gov/sutils/blink.cgi?pid=170028035","7E-005")</f>
        <v>7E-005</v>
      </c>
      <c r="W153" t="str">
        <f>HYPERLINK(".\links\NR-LIGHT\TI_asb-264-NR-LIGHT.txt"," 10")</f>
        <v xml:space="preserve"> 10</v>
      </c>
      <c r="X153" t="str">
        <f>HYPERLINK("http://www.ncbi.nlm.nih.gov/protein/170028035","gi|170028035")</f>
        <v>gi|170028035</v>
      </c>
      <c r="Y153">
        <v>49.7</v>
      </c>
      <c r="Z153">
        <v>79</v>
      </c>
      <c r="AA153">
        <v>626</v>
      </c>
      <c r="AB153">
        <v>32</v>
      </c>
      <c r="AC153">
        <v>13</v>
      </c>
      <c r="AD153">
        <v>53</v>
      </c>
      <c r="AE153">
        <v>4</v>
      </c>
      <c r="AF153">
        <v>16</v>
      </c>
      <c r="AG153">
        <v>438</v>
      </c>
      <c r="AH153">
        <v>1</v>
      </c>
      <c r="AI153">
        <v>3</v>
      </c>
      <c r="AJ153" t="s">
        <v>53</v>
      </c>
      <c r="AK153" t="s">
        <v>54</v>
      </c>
      <c r="AL153" t="s">
        <v>111</v>
      </c>
      <c r="AM153" t="str">
        <f>HYPERLINK(".\links\SWISSP\TI_asb-264-SWISSP.txt","Poly(ADP-ribose) glycohydrolase ARH3 OS=Gallus gallus GN=ADPRHL2 PE=2 SV=1")</f>
        <v>Poly(ADP-ribose) glycohydrolase ARH3 OS=Gallus gallus GN=ADPRHL2 PE=2 SV=1</v>
      </c>
      <c r="AN153" s="19" t="str">
        <f>HYPERLINK("http://www.uniprot.org/uniprot/Q5ZI51","0.72")</f>
        <v>0.72</v>
      </c>
      <c r="AO153" t="str">
        <f>HYPERLINK(".\links\SWISSP\TI_asb-264-SWISSP.txt"," 3")</f>
        <v xml:space="preserve"> 3</v>
      </c>
      <c r="AP153" t="s">
        <v>1674</v>
      </c>
      <c r="AQ153">
        <v>34.299999999999997</v>
      </c>
      <c r="AR153">
        <v>99</v>
      </c>
      <c r="AS153">
        <v>367</v>
      </c>
      <c r="AT153">
        <v>27</v>
      </c>
      <c r="AU153">
        <v>27</v>
      </c>
      <c r="AV153">
        <v>72</v>
      </c>
      <c r="AW153">
        <v>14</v>
      </c>
      <c r="AX153">
        <v>135</v>
      </c>
      <c r="AY153">
        <v>150</v>
      </c>
      <c r="AZ153">
        <v>1</v>
      </c>
      <c r="BA153">
        <v>3</v>
      </c>
      <c r="BB153" t="s">
        <v>53</v>
      </c>
      <c r="BC153" t="s">
        <v>54</v>
      </c>
      <c r="BD153" t="s">
        <v>159</v>
      </c>
      <c r="BE153" t="s">
        <v>1675</v>
      </c>
      <c r="BF153" t="s">
        <v>1676</v>
      </c>
      <c r="BG153" t="str">
        <f>HYPERLINK(".\links\PREV-RHOD-PEP\TI_asb-264-PREV-RHOD-PEP.txt","Contig10370_3")</f>
        <v>Contig10370_3</v>
      </c>
      <c r="BH153" s="7">
        <v>5.9999999999999998E-50</v>
      </c>
      <c r="BI153" t="str">
        <f>HYPERLINK(".\links\PREV-RHOD-PEP\TI_asb-264-PREV-RHOD-PEP.txt"," 4")</f>
        <v xml:space="preserve"> 4</v>
      </c>
      <c r="BJ153" t="s">
        <v>1677</v>
      </c>
      <c r="BK153">
        <v>193</v>
      </c>
      <c r="BL153">
        <v>128</v>
      </c>
      <c r="BM153">
        <v>672</v>
      </c>
      <c r="BN153">
        <v>71</v>
      </c>
      <c r="BO153">
        <v>19</v>
      </c>
      <c r="BP153">
        <v>36</v>
      </c>
      <c r="BQ153">
        <v>0</v>
      </c>
      <c r="BR153">
        <v>3</v>
      </c>
      <c r="BS153">
        <v>231</v>
      </c>
      <c r="BT153">
        <v>1</v>
      </c>
      <c r="BU153" t="s">
        <v>54</v>
      </c>
      <c r="BV153" t="s">
        <v>1678</v>
      </c>
      <c r="BW153" t="s">
        <v>56</v>
      </c>
      <c r="BX153" t="str">
        <f>HYPERLINK(".\links\PREV-RHOD-CDS\TI_asb-264-PREV-RHOD-CDS.txt","Contig10370_3")</f>
        <v>Contig10370_3</v>
      </c>
      <c r="BY153" s="7">
        <v>5.0000000000000003E-34</v>
      </c>
      <c r="BZ153" t="s">
        <v>1677</v>
      </c>
      <c r="CA153">
        <v>145</v>
      </c>
      <c r="CB153">
        <v>324</v>
      </c>
      <c r="CC153">
        <v>2016</v>
      </c>
      <c r="CD153">
        <v>80</v>
      </c>
      <c r="CE153">
        <v>16</v>
      </c>
      <c r="CF153">
        <v>63</v>
      </c>
      <c r="CG153">
        <v>0</v>
      </c>
      <c r="CH153">
        <v>55</v>
      </c>
      <c r="CI153">
        <v>279</v>
      </c>
      <c r="CJ153">
        <v>1</v>
      </c>
      <c r="CK153" t="s">
        <v>54</v>
      </c>
      <c r="CL153" t="s">
        <v>1679</v>
      </c>
      <c r="CM153">
        <f>HYPERLINK(".\links\GO\TI_asb-264-GO.txt",2.3)</f>
        <v>2.2999999999999998</v>
      </c>
      <c r="CN153" t="s">
        <v>58</v>
      </c>
      <c r="CO153" t="s">
        <v>58</v>
      </c>
      <c r="CQ153" t="s">
        <v>59</v>
      </c>
      <c r="CR153" s="6">
        <v>3.9</v>
      </c>
      <c r="CS153" t="s">
        <v>60</v>
      </c>
      <c r="CT153" t="s">
        <v>60</v>
      </c>
      <c r="CV153" t="s">
        <v>61</v>
      </c>
      <c r="CW153" s="6">
        <v>3.9</v>
      </c>
      <c r="CX153" t="s">
        <v>62</v>
      </c>
      <c r="CY153" t="s">
        <v>58</v>
      </c>
      <c r="DA153" t="s">
        <v>63</v>
      </c>
      <c r="DB153" s="6">
        <v>3.9</v>
      </c>
      <c r="DC153" t="s">
        <v>56</v>
      </c>
      <c r="DD153" t="s">
        <v>56</v>
      </c>
      <c r="DE153" t="s">
        <v>56</v>
      </c>
      <c r="DF153" t="str">
        <f>HYPERLINK(".\links\PFAM\TI_asb-264-PFAM.txt","DUF2206")</f>
        <v>DUF2206</v>
      </c>
      <c r="DG153" t="str">
        <f>HYPERLINK("http://pfam.sanger.ac.uk/family?acc=PF09971","0.042")</f>
        <v>0.042</v>
      </c>
      <c r="DH153" t="s">
        <v>56</v>
      </c>
      <c r="DI153" s="6" t="s">
        <v>56</v>
      </c>
      <c r="DJ153" s="6" t="s">
        <v>56</v>
      </c>
      <c r="DN153" t="str">
        <f>HYPERLINK(".\links\SMART\TI_asb-264-SMART.txt","CLH")</f>
        <v>CLH</v>
      </c>
      <c r="DO153" t="str">
        <f>HYPERLINK("http://smart.embl-heidelberg.de/smart/do_annotation.pl?DOMAIN=CLH&amp;BLAST=DUMMY","0.064")</f>
        <v>0.064</v>
      </c>
      <c r="DP153" s="3" t="s">
        <v>56</v>
      </c>
      <c r="ED153" s="3" t="s">
        <v>56</v>
      </c>
    </row>
    <row r="154" spans="1:147">
      <c r="A154" t="str">
        <f>HYPERLINK(".\links\seq\TI_asb-265-seq.txt","TI_asb-265")</f>
        <v>TI_asb-265</v>
      </c>
      <c r="B154">
        <v>265</v>
      </c>
      <c r="C154" t="str">
        <f>HYPERLINK(".\links\tsa\TI_asb-265-tsa.txt","13")</f>
        <v>13</v>
      </c>
      <c r="D154">
        <v>13</v>
      </c>
      <c r="E154">
        <v>930</v>
      </c>
      <c r="F154">
        <v>850</v>
      </c>
      <c r="G154" t="str">
        <f>HYPERLINK(".\links\qual\TI_asb-265-qual.txt","77")</f>
        <v>77</v>
      </c>
      <c r="H154">
        <v>1</v>
      </c>
      <c r="I154">
        <v>12</v>
      </c>
      <c r="J154">
        <f t="shared" si="8"/>
        <v>11</v>
      </c>
      <c r="K154" s="6">
        <f t="shared" si="9"/>
        <v>-11</v>
      </c>
      <c r="L154" s="6" t="s">
        <v>3989</v>
      </c>
      <c r="M154" s="6" t="s">
        <v>3906</v>
      </c>
      <c r="N154" s="6" t="s">
        <v>3875</v>
      </c>
      <c r="O154" s="6">
        <v>9.9999999999999994E-12</v>
      </c>
      <c r="P154" s="6">
        <v>25.8</v>
      </c>
      <c r="Q154" s="3">
        <v>930</v>
      </c>
      <c r="R154" s="3">
        <v>618</v>
      </c>
      <c r="S154" s="3" t="s">
        <v>3633</v>
      </c>
      <c r="T154" s="3">
        <v>3</v>
      </c>
      <c r="U154" t="str">
        <f>HYPERLINK(".\links\NR-LIGHT\TI_asb-265-NR-LIGHT.txt","predicted RNA-binding protein")</f>
        <v>predicted RNA-binding protein</v>
      </c>
      <c r="V154" t="str">
        <f>HYPERLINK("http://www.ncbi.nlm.nih.gov/sutils/blink.cgi?pid=149898790","3E-034")</f>
        <v>3E-034</v>
      </c>
      <c r="W154" t="str">
        <f>HYPERLINK(".\links\NR-LIGHT\TI_asb-265-NR-LIGHT.txt"," 1")</f>
        <v xml:space="preserve"> 1</v>
      </c>
      <c r="X154" t="str">
        <f>HYPERLINK("http://www.ncbi.nlm.nih.gov/protein/149898790","gi|149898790")</f>
        <v>gi|149898790</v>
      </c>
      <c r="Y154">
        <v>148</v>
      </c>
      <c r="Z154">
        <v>133</v>
      </c>
      <c r="AA154">
        <v>300</v>
      </c>
      <c r="AB154">
        <v>57</v>
      </c>
      <c r="AC154">
        <v>44</v>
      </c>
      <c r="AD154">
        <v>56</v>
      </c>
      <c r="AE154">
        <v>0</v>
      </c>
      <c r="AF154">
        <v>140</v>
      </c>
      <c r="AG154">
        <v>3</v>
      </c>
      <c r="AH154">
        <v>1</v>
      </c>
      <c r="AI154">
        <v>3</v>
      </c>
      <c r="AJ154" t="s">
        <v>53</v>
      </c>
      <c r="AK154" t="s">
        <v>54</v>
      </c>
      <c r="AL154" t="s">
        <v>55</v>
      </c>
      <c r="AM154" t="str">
        <f>HYPERLINK(".\links\SWISSP\TI_asb-265-SWISSP.txt","Ribonuclease S-4 OS=Antirrhinum hispanicum GN=S4 PE=2 SV=1")</f>
        <v>Ribonuclease S-4 OS=Antirrhinum hispanicum GN=S4 PE=2 SV=1</v>
      </c>
      <c r="AN154" s="19" t="str">
        <f>HYPERLINK("http://www.uniprot.org/uniprot/Q38717","8.3")</f>
        <v>8.3</v>
      </c>
      <c r="AO154" t="str">
        <f>HYPERLINK(".\links\SWISSP\TI_asb-265-SWISSP.txt"," 1")</f>
        <v xml:space="preserve"> 1</v>
      </c>
      <c r="AP154" t="s">
        <v>1680</v>
      </c>
      <c r="AQ154">
        <v>31.6</v>
      </c>
      <c r="AR154">
        <v>22</v>
      </c>
      <c r="AS154">
        <v>233</v>
      </c>
      <c r="AT154">
        <v>50</v>
      </c>
      <c r="AU154">
        <v>9</v>
      </c>
      <c r="AV154">
        <v>11</v>
      </c>
      <c r="AW154">
        <v>0</v>
      </c>
      <c r="AX154">
        <v>122</v>
      </c>
      <c r="AY154">
        <v>325</v>
      </c>
      <c r="AZ154">
        <v>1</v>
      </c>
      <c r="BA154">
        <v>-1</v>
      </c>
      <c r="BB154" t="s">
        <v>53</v>
      </c>
      <c r="BC154" t="s">
        <v>64</v>
      </c>
      <c r="BD154" t="s">
        <v>1681</v>
      </c>
      <c r="BE154" t="s">
        <v>1682</v>
      </c>
      <c r="BF154" t="s">
        <v>1683</v>
      </c>
      <c r="BG154" t="str">
        <f>HYPERLINK(".\links\PREV-RHOD-PEP\TI_asb-265-PREV-RHOD-PEP.txt","Contig18051_98")</f>
        <v>Contig18051_98</v>
      </c>
      <c r="BH154" s="7">
        <v>6.0000000000000006E-39</v>
      </c>
      <c r="BI154" t="str">
        <f>HYPERLINK(".\links\PREV-RHOD-PEP\TI_asb-265-PREV-RHOD-PEP.txt"," 1")</f>
        <v xml:space="preserve"> 1</v>
      </c>
      <c r="BJ154" t="s">
        <v>1372</v>
      </c>
      <c r="BK154">
        <v>157</v>
      </c>
      <c r="BL154">
        <v>206</v>
      </c>
      <c r="BM154">
        <v>343</v>
      </c>
      <c r="BN154">
        <v>46</v>
      </c>
      <c r="BO154">
        <v>60</v>
      </c>
      <c r="BP154">
        <v>110</v>
      </c>
      <c r="BQ154">
        <v>0</v>
      </c>
      <c r="BR154">
        <v>140</v>
      </c>
      <c r="BS154">
        <v>3</v>
      </c>
      <c r="BT154">
        <v>1</v>
      </c>
      <c r="BU154" t="s">
        <v>54</v>
      </c>
      <c r="BV154" t="s">
        <v>1573</v>
      </c>
      <c r="BW154" t="s">
        <v>56</v>
      </c>
      <c r="BX154" t="str">
        <f>HYPERLINK(".\links\PREV-RHOD-CDS\TI_asb-265-PREV-RHOD-CDS.txt","Contig18051_98")</f>
        <v>Contig18051_98</v>
      </c>
      <c r="BY154" s="6">
        <v>0</v>
      </c>
      <c r="BZ154" t="s">
        <v>1372</v>
      </c>
      <c r="CA154">
        <v>807</v>
      </c>
      <c r="CB154">
        <v>616</v>
      </c>
      <c r="CC154">
        <v>1032</v>
      </c>
      <c r="CD154">
        <v>91</v>
      </c>
      <c r="CE154">
        <v>60</v>
      </c>
      <c r="CF154">
        <v>53</v>
      </c>
      <c r="CG154">
        <v>6</v>
      </c>
      <c r="CH154">
        <v>416</v>
      </c>
      <c r="CI154">
        <v>1</v>
      </c>
      <c r="CJ154">
        <v>1</v>
      </c>
      <c r="CK154" t="s">
        <v>54</v>
      </c>
      <c r="CL154" t="s">
        <v>1684</v>
      </c>
      <c r="CM154">
        <f>HYPERLINK(".\links\GO\TI_asb-265-GO.txt",6.7)</f>
        <v>6.7</v>
      </c>
      <c r="CN154" t="s">
        <v>56</v>
      </c>
      <c r="CO154" t="s">
        <v>56</v>
      </c>
      <c r="CP154" t="s">
        <v>56</v>
      </c>
      <c r="CQ154" t="s">
        <v>56</v>
      </c>
      <c r="CR154" s="6" t="s">
        <v>56</v>
      </c>
      <c r="CS154" t="s">
        <v>60</v>
      </c>
      <c r="CT154" t="s">
        <v>60</v>
      </c>
      <c r="CV154" t="s">
        <v>61</v>
      </c>
      <c r="CW154" s="6">
        <v>6.7</v>
      </c>
      <c r="CX154" t="s">
        <v>62</v>
      </c>
      <c r="CY154" t="s">
        <v>185</v>
      </c>
      <c r="CZ154" t="s">
        <v>186</v>
      </c>
      <c r="DA154" t="s">
        <v>63</v>
      </c>
      <c r="DB154" s="6">
        <v>6.7</v>
      </c>
      <c r="DC154" t="str">
        <f>HYPERLINK(".\links\CDD\TI_asb-265-CDD.txt","PRK12678")</f>
        <v>PRK12678</v>
      </c>
      <c r="DD154" t="str">
        <f>HYPERLINK("http://www.ncbi.nlm.nih.gov/Structure/cdd/cddsrv.cgi?uid=PRK12678&amp;version=v4.0","3E-009")</f>
        <v>3E-009</v>
      </c>
      <c r="DE154" t="s">
        <v>1685</v>
      </c>
      <c r="DF154" t="str">
        <f>HYPERLINK(".\links\PFAM\TI_asb-265-PFAM.txt","Drf_FH1")</f>
        <v>Drf_FH1</v>
      </c>
      <c r="DG154" t="str">
        <f>HYPERLINK("http://pfam.sanger.ac.uk/family?acc=PF06346","4E-008")</f>
        <v>4E-008</v>
      </c>
      <c r="DH154" t="str">
        <f>HYPERLINK(".\links\PRK\TI_asb-265-PRK.txt","transcription termination factor Rho")</f>
        <v>transcription termination factor Rho</v>
      </c>
      <c r="DI154" s="7">
        <v>9.9999999999999994E-12</v>
      </c>
      <c r="DJ154" s="6" t="str">
        <f>HYPERLINK(".\links\KOG\TI_asb-265-KOG.txt","Actin regulatory protein (Wiskott-Aldrich syndrome protein)")</f>
        <v>Actin regulatory protein (Wiskott-Aldrich syndrome protein)</v>
      </c>
      <c r="DK154" s="6" t="str">
        <f>HYPERLINK("http://www.ncbi.nlm.nih.gov/COG/grace/shokog.cgi?KOG3671","2E-011")</f>
        <v>2E-011</v>
      </c>
      <c r="DL154" s="6" t="s">
        <v>4353</v>
      </c>
      <c r="DM154" s="6" t="str">
        <f>HYPERLINK(".\links\KOG\TI_asb-265-KOG.txt","KOG3671")</f>
        <v>KOG3671</v>
      </c>
      <c r="DN154" t="str">
        <f>HYPERLINK(".\links\SMART\TI_asb-265-SMART.txt","PRP")</f>
        <v>PRP</v>
      </c>
      <c r="DO154" t="str">
        <f>HYPERLINK("http://smart.embl-heidelberg.de/smart/do_annotation.pl?DOMAIN=PRP&amp;BLAST=DUMMY","0.004")</f>
        <v>0.004</v>
      </c>
      <c r="DP154" s="3" t="s">
        <v>56</v>
      </c>
      <c r="ED154" s="3" t="s">
        <v>56</v>
      </c>
    </row>
    <row r="155" spans="1:147">
      <c r="A155" t="str">
        <f>HYPERLINK(".\links\seq\TI_asb-267-seq.txt","TI_asb-267")</f>
        <v>TI_asb-267</v>
      </c>
      <c r="B155">
        <v>267</v>
      </c>
      <c r="C155" t="str">
        <f>HYPERLINK(".\links\tsa\TI_asb-267-tsa.txt","1")</f>
        <v>1</v>
      </c>
      <c r="D155">
        <v>1</v>
      </c>
      <c r="E155">
        <v>487</v>
      </c>
      <c r="G155" t="str">
        <f>HYPERLINK(".\links\qual\TI_asb-267-qual.txt","42")</f>
        <v>42</v>
      </c>
      <c r="H155">
        <v>1</v>
      </c>
      <c r="I155">
        <v>0</v>
      </c>
      <c r="J155">
        <f t="shared" si="8"/>
        <v>1</v>
      </c>
      <c r="K155" s="6">
        <f t="shared" si="9"/>
        <v>1</v>
      </c>
      <c r="L155" s="6" t="s">
        <v>3868</v>
      </c>
      <c r="M155" s="6" t="s">
        <v>3869</v>
      </c>
      <c r="N155" s="6"/>
      <c r="O155" s="6"/>
      <c r="P155" s="6"/>
      <c r="Q155" s="3">
        <v>487</v>
      </c>
      <c r="R155" s="3">
        <v>225</v>
      </c>
      <c r="S155" s="6" t="s">
        <v>3634</v>
      </c>
      <c r="T155" s="3">
        <v>2</v>
      </c>
      <c r="U155" t="str">
        <f>HYPERLINK(".\links\NR-LIGHT\TI_asb-267-NR-LIGHT.txt","hypothetical protein")</f>
        <v>hypothetical protein</v>
      </c>
      <c r="V155" t="str">
        <f>HYPERLINK("http://www.ncbi.nlm.nih.gov/sutils/blink.cgi?pid=83317395","1.9")</f>
        <v>1.9</v>
      </c>
      <c r="W155" t="str">
        <f>HYPERLINK(".\links\NR-LIGHT\TI_asb-267-NR-LIGHT.txt"," 7")</f>
        <v xml:space="preserve"> 7</v>
      </c>
      <c r="X155" t="str">
        <f>HYPERLINK("http://www.ncbi.nlm.nih.gov/protein/83317395","gi|83317395")</f>
        <v>gi|83317395</v>
      </c>
      <c r="Y155">
        <v>33.9</v>
      </c>
      <c r="Z155">
        <v>90</v>
      </c>
      <c r="AA155">
        <v>832</v>
      </c>
      <c r="AB155">
        <v>32</v>
      </c>
      <c r="AC155">
        <v>11</v>
      </c>
      <c r="AD155">
        <v>61</v>
      </c>
      <c r="AE155">
        <v>6</v>
      </c>
      <c r="AF155">
        <v>190</v>
      </c>
      <c r="AG155">
        <v>20</v>
      </c>
      <c r="AH155">
        <v>1</v>
      </c>
      <c r="AI155">
        <v>-1</v>
      </c>
      <c r="AJ155" t="s">
        <v>53</v>
      </c>
      <c r="AK155" t="s">
        <v>64</v>
      </c>
      <c r="AL155" t="s">
        <v>1544</v>
      </c>
      <c r="AM155" t="str">
        <f>HYPERLINK(".\links\SWISSP\TI_asb-267-SWISSP.txt","Baseplate structural protein Gp28 OS=Enterobacteria phage T4 GN=28 PE=4 SV=4")</f>
        <v>Baseplate structural protein Gp28 OS=Enterobacteria phage T4 GN=28 PE=4 SV=4</v>
      </c>
      <c r="AN155" s="19" t="str">
        <f>HYPERLINK("http://www.uniprot.org/uniprot/P13336","5.4")</f>
        <v>5.4</v>
      </c>
      <c r="AO155" t="str">
        <f>HYPERLINK(".\links\SWISSP\TI_asb-267-SWISSP.txt"," 1")</f>
        <v xml:space="preserve"> 1</v>
      </c>
      <c r="AP155" t="s">
        <v>1686</v>
      </c>
      <c r="AQ155">
        <v>30.4</v>
      </c>
      <c r="AR155">
        <v>48</v>
      </c>
      <c r="AS155">
        <v>177</v>
      </c>
      <c r="AT155">
        <v>29</v>
      </c>
      <c r="AU155">
        <v>27</v>
      </c>
      <c r="AV155">
        <v>34</v>
      </c>
      <c r="AW155">
        <v>0</v>
      </c>
      <c r="AX155">
        <v>46</v>
      </c>
      <c r="AY155">
        <v>35</v>
      </c>
      <c r="AZ155">
        <v>1</v>
      </c>
      <c r="BA155">
        <v>2</v>
      </c>
      <c r="BB155" t="s">
        <v>53</v>
      </c>
      <c r="BC155" t="s">
        <v>54</v>
      </c>
      <c r="BD155" t="s">
        <v>1687</v>
      </c>
      <c r="BE155" t="s">
        <v>1688</v>
      </c>
      <c r="BF155" t="s">
        <v>1689</v>
      </c>
      <c r="BG155" t="str">
        <f>HYPERLINK(".\links\PREV-RHOD-PEP\TI_asb-267-PREV-RHOD-PEP.txt","Contig18042_20")</f>
        <v>Contig18042_20</v>
      </c>
      <c r="BH155" s="6">
        <v>3.5000000000000003E-2</v>
      </c>
      <c r="BI155" t="str">
        <f>HYPERLINK(".\links\PREV-RHOD-PEP\TI_asb-267-PREV-RHOD-PEP.txt"," 10")</f>
        <v xml:space="preserve"> 10</v>
      </c>
      <c r="BJ155" t="s">
        <v>1690</v>
      </c>
      <c r="BK155">
        <v>33.9</v>
      </c>
      <c r="BL155">
        <v>71</v>
      </c>
      <c r="BM155">
        <v>719</v>
      </c>
      <c r="BN155">
        <v>29</v>
      </c>
      <c r="BO155">
        <v>10</v>
      </c>
      <c r="BP155">
        <v>50</v>
      </c>
      <c r="BQ155">
        <v>0</v>
      </c>
      <c r="BR155">
        <v>614</v>
      </c>
      <c r="BS155">
        <v>227</v>
      </c>
      <c r="BT155">
        <v>1</v>
      </c>
      <c r="BU155" t="s">
        <v>64</v>
      </c>
      <c r="BV155" t="s">
        <v>1691</v>
      </c>
      <c r="BW155" t="s">
        <v>56</v>
      </c>
      <c r="BX155" t="str">
        <f>HYPERLINK(".\links\PREV-RHOD-CDS\TI_asb-267-PREV-RHOD-CDS.txt","Contig17327_7")</f>
        <v>Contig17327_7</v>
      </c>
      <c r="BY155" s="7">
        <v>6.0000000000000002E-5</v>
      </c>
      <c r="BZ155" t="s">
        <v>1692</v>
      </c>
      <c r="CA155">
        <v>48.1</v>
      </c>
      <c r="CB155">
        <v>27</v>
      </c>
      <c r="CC155">
        <v>276</v>
      </c>
      <c r="CD155">
        <v>96</v>
      </c>
      <c r="CE155">
        <v>10</v>
      </c>
      <c r="CF155">
        <v>1</v>
      </c>
      <c r="CG155">
        <v>0</v>
      </c>
      <c r="CH155">
        <v>195</v>
      </c>
      <c r="CI155">
        <v>402</v>
      </c>
      <c r="CJ155">
        <v>1</v>
      </c>
      <c r="CK155" t="s">
        <v>54</v>
      </c>
      <c r="CL155" t="s">
        <v>1693</v>
      </c>
      <c r="CM155">
        <f>HYPERLINK(".\links\GO\TI_asb-267-GO.txt",3.7)</f>
        <v>3.7</v>
      </c>
      <c r="CN155" t="s">
        <v>58</v>
      </c>
      <c r="CO155" t="s">
        <v>58</v>
      </c>
      <c r="CQ155" t="s">
        <v>59</v>
      </c>
      <c r="CR155" s="6">
        <v>3.7</v>
      </c>
      <c r="CS155" t="s">
        <v>60</v>
      </c>
      <c r="CT155" t="s">
        <v>60</v>
      </c>
      <c r="CV155" t="s">
        <v>61</v>
      </c>
      <c r="CW155" s="6">
        <v>3.7</v>
      </c>
      <c r="CX155" t="s">
        <v>62</v>
      </c>
      <c r="CY155" t="s">
        <v>58</v>
      </c>
      <c r="DA155" t="s">
        <v>63</v>
      </c>
      <c r="DB155" s="6">
        <v>3.7</v>
      </c>
      <c r="DC155" t="s">
        <v>56</v>
      </c>
      <c r="DD155" t="s">
        <v>56</v>
      </c>
      <c r="DE155" t="s">
        <v>56</v>
      </c>
      <c r="DF155" t="str">
        <f>HYPERLINK(".\links\PFAM\TI_asb-267-PFAM.txt","7TM_GPCR_Str")</f>
        <v>7TM_GPCR_Str</v>
      </c>
      <c r="DG155" t="str">
        <f>HYPERLINK("http://pfam.sanger.ac.uk/family?acc=PF10326","0.050")</f>
        <v>0.050</v>
      </c>
      <c r="DH155" t="s">
        <v>56</v>
      </c>
      <c r="DI155" s="6" t="s">
        <v>56</v>
      </c>
      <c r="DJ155" s="6" t="s">
        <v>56</v>
      </c>
      <c r="DN155" t="s">
        <v>56</v>
      </c>
      <c r="DO155" t="s">
        <v>56</v>
      </c>
      <c r="DP155" s="3" t="s">
        <v>56</v>
      </c>
      <c r="ED155" s="3" t="s">
        <v>56</v>
      </c>
    </row>
    <row r="156" spans="1:147">
      <c r="A156" t="str">
        <f>HYPERLINK(".\links\seq\TI_asb-268-seq.txt","TI_asb-268")</f>
        <v>TI_asb-268</v>
      </c>
      <c r="B156">
        <v>268</v>
      </c>
      <c r="C156" t="str">
        <f>HYPERLINK(".\links\tsa\TI_asb-268-tsa.txt","1")</f>
        <v>1</v>
      </c>
      <c r="D156">
        <v>1</v>
      </c>
      <c r="E156">
        <v>426</v>
      </c>
      <c r="G156" t="str">
        <f>HYPERLINK(".\links\qual\TI_asb-268-qual.txt","41")</f>
        <v>41</v>
      </c>
      <c r="H156">
        <v>1</v>
      </c>
      <c r="I156">
        <v>0</v>
      </c>
      <c r="J156">
        <f t="shared" si="8"/>
        <v>1</v>
      </c>
      <c r="K156" s="6">
        <f t="shared" si="9"/>
        <v>1</v>
      </c>
      <c r="L156" s="6" t="s">
        <v>3990</v>
      </c>
      <c r="M156" s="6" t="s">
        <v>3966</v>
      </c>
      <c r="N156" s="6" t="s">
        <v>3864</v>
      </c>
      <c r="O156" s="7">
        <v>1.0000000000000001E-31</v>
      </c>
      <c r="P156" s="6">
        <v>37</v>
      </c>
      <c r="Q156" s="3">
        <v>426</v>
      </c>
      <c r="R156" s="3">
        <v>420</v>
      </c>
      <c r="S156" s="6" t="s">
        <v>3635</v>
      </c>
      <c r="T156" s="3">
        <v>3</v>
      </c>
      <c r="U156" t="str">
        <f>HYPERLINK(".\links\NR-LIGHT\TI_asb-268-NR-LIGHT.txt","truncated histone H1")</f>
        <v>truncated histone H1</v>
      </c>
      <c r="V156" t="str">
        <f>HYPERLINK("http://www.ncbi.nlm.nih.gov/sutils/blink.cgi?pid=149689210","1E-031")</f>
        <v>1E-031</v>
      </c>
      <c r="W156" t="str">
        <f>HYPERLINK(".\links\NR-LIGHT\TI_asb-268-NR-LIGHT.txt"," 10")</f>
        <v xml:space="preserve"> 10</v>
      </c>
      <c r="X156" t="str">
        <f>HYPERLINK("http://www.ncbi.nlm.nih.gov/protein/149689210","gi|149689210")</f>
        <v>gi|149689210</v>
      </c>
      <c r="Y156">
        <v>137</v>
      </c>
      <c r="Z156">
        <v>73</v>
      </c>
      <c r="AA156">
        <v>197</v>
      </c>
      <c r="AB156">
        <v>94</v>
      </c>
      <c r="AC156">
        <v>37</v>
      </c>
      <c r="AD156">
        <v>4</v>
      </c>
      <c r="AE156">
        <v>0</v>
      </c>
      <c r="AF156">
        <v>39</v>
      </c>
      <c r="AG156">
        <v>150</v>
      </c>
      <c r="AH156">
        <v>1</v>
      </c>
      <c r="AI156">
        <v>3</v>
      </c>
      <c r="AJ156" t="s">
        <v>53</v>
      </c>
      <c r="AK156" t="s">
        <v>54</v>
      </c>
      <c r="AL156" t="s">
        <v>55</v>
      </c>
      <c r="AM156" t="str">
        <f>HYPERLINK(".\links\SWISSP\TI_asb-268-SWISSP.txt","Histone H1 OS=Drosophila melanogaster GN=His1 PE=1 SV=1")</f>
        <v>Histone H1 OS=Drosophila melanogaster GN=His1 PE=1 SV=1</v>
      </c>
      <c r="AN156" s="19" t="str">
        <f>HYPERLINK("http://www.uniprot.org/uniprot/P02255","1E-022")</f>
        <v>1E-022</v>
      </c>
      <c r="AO156" t="str">
        <f>HYPERLINK(".\links\SWISSP\TI_asb-268-SWISSP.txt"," 10")</f>
        <v xml:space="preserve"> 10</v>
      </c>
      <c r="AP156" t="s">
        <v>1423</v>
      </c>
      <c r="AQ156">
        <v>105</v>
      </c>
      <c r="AR156">
        <v>73</v>
      </c>
      <c r="AS156">
        <v>256</v>
      </c>
      <c r="AT156">
        <v>67</v>
      </c>
      <c r="AU156">
        <v>29</v>
      </c>
      <c r="AV156">
        <v>24</v>
      </c>
      <c r="AW156">
        <v>0</v>
      </c>
      <c r="AX156">
        <v>45</v>
      </c>
      <c r="AY156">
        <v>150</v>
      </c>
      <c r="AZ156">
        <v>1</v>
      </c>
      <c r="BA156">
        <v>3</v>
      </c>
      <c r="BB156" t="s">
        <v>53</v>
      </c>
      <c r="BC156" t="s">
        <v>54</v>
      </c>
      <c r="BD156" t="s">
        <v>143</v>
      </c>
      <c r="BE156" t="s">
        <v>1694</v>
      </c>
      <c r="BF156" t="s">
        <v>1695</v>
      </c>
      <c r="BG156" t="str">
        <f>HYPERLINK(".\links\PREV-RHOD-PEP\TI_asb-268-PREV-RHOD-PEP.txt","Contig18070_21")</f>
        <v>Contig18070_21</v>
      </c>
      <c r="BH156" s="7">
        <v>1.0000000000000001E-32</v>
      </c>
      <c r="BI156" t="str">
        <f>HYPERLINK(".\links\PREV-RHOD-PEP\TI_asb-268-PREV-RHOD-PEP.txt"," 10")</f>
        <v xml:space="preserve"> 10</v>
      </c>
      <c r="BJ156" t="s">
        <v>290</v>
      </c>
      <c r="BK156">
        <v>134</v>
      </c>
      <c r="BL156">
        <v>112</v>
      </c>
      <c r="BM156">
        <v>208</v>
      </c>
      <c r="BN156">
        <v>65</v>
      </c>
      <c r="BO156">
        <v>54</v>
      </c>
      <c r="BP156">
        <v>39</v>
      </c>
      <c r="BQ156">
        <v>0</v>
      </c>
      <c r="BR156">
        <v>1</v>
      </c>
      <c r="BS156">
        <v>33</v>
      </c>
      <c r="BT156">
        <v>1</v>
      </c>
      <c r="BU156" t="s">
        <v>54</v>
      </c>
      <c r="BV156" t="s">
        <v>1696</v>
      </c>
      <c r="BW156" t="s">
        <v>56</v>
      </c>
      <c r="BX156" t="str">
        <f>HYPERLINK(".\links\PREV-RHOD-CDS\TI_asb-268-PREV-RHOD-CDS.txt","Contig17651_14")</f>
        <v>Contig17651_14</v>
      </c>
      <c r="BY156" s="7">
        <v>1.9999999999999999E-38</v>
      </c>
      <c r="BZ156" t="s">
        <v>757</v>
      </c>
      <c r="CA156">
        <v>159</v>
      </c>
      <c r="CB156">
        <v>231</v>
      </c>
      <c r="CC156">
        <v>621</v>
      </c>
      <c r="CD156">
        <v>83</v>
      </c>
      <c r="CE156">
        <v>37</v>
      </c>
      <c r="CF156">
        <v>38</v>
      </c>
      <c r="CG156">
        <v>0</v>
      </c>
      <c r="CH156">
        <v>119</v>
      </c>
      <c r="CI156">
        <v>151</v>
      </c>
      <c r="CJ156">
        <v>1</v>
      </c>
      <c r="CK156" t="s">
        <v>54</v>
      </c>
      <c r="CL156" t="s">
        <v>1427</v>
      </c>
      <c r="CM156">
        <f>HYPERLINK(".\links\GO\TI_asb-268-GO.txt",4E-23)</f>
        <v>3.9999999999999998E-23</v>
      </c>
      <c r="CN156" t="s">
        <v>221</v>
      </c>
      <c r="CO156" t="s">
        <v>185</v>
      </c>
      <c r="CP156" t="s">
        <v>222</v>
      </c>
      <c r="CQ156" t="s">
        <v>223</v>
      </c>
      <c r="CR156" s="7">
        <v>3.9999999999999998E-23</v>
      </c>
      <c r="CS156" t="s">
        <v>224</v>
      </c>
      <c r="CT156" t="s">
        <v>75</v>
      </c>
      <c r="CU156" t="s">
        <v>76</v>
      </c>
      <c r="CV156" t="s">
        <v>225</v>
      </c>
      <c r="CW156" s="7">
        <v>3.9999999999999998E-23</v>
      </c>
      <c r="CX156" t="s">
        <v>1428</v>
      </c>
      <c r="CY156" t="s">
        <v>185</v>
      </c>
      <c r="CZ156" t="s">
        <v>222</v>
      </c>
      <c r="DA156" t="s">
        <v>1429</v>
      </c>
      <c r="DB156" s="7">
        <v>3.9999999999999998E-23</v>
      </c>
      <c r="DC156" t="str">
        <f>HYPERLINK(".\links\CDD\TI_asb-268-CDD.txt","H15")</f>
        <v>H15</v>
      </c>
      <c r="DD156" t="str">
        <f>HYPERLINK("http://www.ncbi.nlm.nih.gov/Structure/cdd/cddsrv.cgi?uid=cd00073&amp;version=v4.0","1E-027")</f>
        <v>1E-027</v>
      </c>
      <c r="DE156" t="s">
        <v>1697</v>
      </c>
      <c r="DF156" t="str">
        <f>HYPERLINK(".\links\PFAM\TI_asb-268-PFAM.txt","Linker_histone")</f>
        <v>Linker_histone</v>
      </c>
      <c r="DG156" t="str">
        <f>HYPERLINK("http://pfam.sanger.ac.uk/family?acc=PF00538","1E-026")</f>
        <v>1E-026</v>
      </c>
      <c r="DH156" t="str">
        <f>HYPERLINK(".\links\PRK\TI_asb-268-PRK.txt","adenylate kinase")</f>
        <v>adenylate kinase</v>
      </c>
      <c r="DI156" s="7">
        <v>4.0000000000000002E-4</v>
      </c>
      <c r="DJ156" s="6" t="str">
        <f>HYPERLINK(".\links\KOG\TI_asb-268-KOG.txt","Histone H1")</f>
        <v>Histone H1</v>
      </c>
      <c r="DK156" s="6" t="str">
        <f>HYPERLINK("http://www.ncbi.nlm.nih.gov/COG/grace/shokog.cgi?KOG4012","1E-024")</f>
        <v>1E-024</v>
      </c>
      <c r="DL156" s="6" t="s">
        <v>4354</v>
      </c>
      <c r="DM156" s="6" t="str">
        <f>HYPERLINK(".\links\KOG\TI_asb-268-KOG.txt","KOG4012")</f>
        <v>KOG4012</v>
      </c>
      <c r="DN156" t="str">
        <f>HYPERLINK(".\links\SMART\TI_asb-268-SMART.txt","H15")</f>
        <v>H15</v>
      </c>
      <c r="DO156" t="str">
        <f>HYPERLINK("http://smart.embl-heidelberg.de/smart/do_annotation.pl?DOMAIN=H15&amp;BLAST=DUMMY","7E-025")</f>
        <v>7E-025</v>
      </c>
      <c r="DP156" s="3" t="s">
        <v>56</v>
      </c>
      <c r="ED156" s="3" t="s">
        <v>56</v>
      </c>
    </row>
    <row r="157" spans="1:147">
      <c r="A157" t="str">
        <f>HYPERLINK(".\links\seq\TI_asb-271-seq.txt","TI_asb-271")</f>
        <v>TI_asb-271</v>
      </c>
      <c r="B157">
        <v>271</v>
      </c>
      <c r="C157" t="str">
        <f>HYPERLINK(".\links\tsa\TI_asb-271-tsa.txt","1")</f>
        <v>1</v>
      </c>
      <c r="D157">
        <v>1</v>
      </c>
      <c r="E157">
        <v>477</v>
      </c>
      <c r="G157" t="str">
        <f>HYPERLINK(".\links\qual\TI_asb-271-qual.txt","36")</f>
        <v>36</v>
      </c>
      <c r="H157">
        <v>1</v>
      </c>
      <c r="I157">
        <v>0</v>
      </c>
      <c r="J157">
        <f t="shared" si="8"/>
        <v>1</v>
      </c>
      <c r="K157" s="6">
        <f t="shared" si="9"/>
        <v>1</v>
      </c>
      <c r="L157" s="6" t="s">
        <v>3991</v>
      </c>
      <c r="M157" s="6" t="s">
        <v>3866</v>
      </c>
      <c r="N157" s="6" t="s">
        <v>3872</v>
      </c>
      <c r="O157" s="7">
        <v>2E-66</v>
      </c>
      <c r="P157" s="6">
        <v>52.8</v>
      </c>
      <c r="Q157" s="3">
        <v>477</v>
      </c>
      <c r="R157" s="3">
        <v>459</v>
      </c>
      <c r="S157" s="3" t="s">
        <v>3636</v>
      </c>
      <c r="T157" s="3">
        <v>3</v>
      </c>
      <c r="U157" t="str">
        <f>HYPERLINK(".\links\NR-LIGHT\TI_asb-271-NR-LIGHT.txt","similar to ribosomal protein S4e")</f>
        <v>similar to ribosomal protein S4e</v>
      </c>
      <c r="V157" t="str">
        <f>HYPERLINK("http://www.ncbi.nlm.nih.gov/sutils/blink.cgi?pid=91083095","2E-070")</f>
        <v>2E-070</v>
      </c>
      <c r="W157" t="str">
        <f>HYPERLINK(".\links\NR-LIGHT\TI_asb-271-NR-LIGHT.txt"," 10")</f>
        <v xml:space="preserve"> 10</v>
      </c>
      <c r="X157" t="str">
        <f>HYPERLINK("http://www.ncbi.nlm.nih.gov/protein/91083095","gi|91083095")</f>
        <v>gi|91083095</v>
      </c>
      <c r="Y157">
        <v>266</v>
      </c>
      <c r="Z157">
        <v>139</v>
      </c>
      <c r="AA157">
        <v>261</v>
      </c>
      <c r="AB157">
        <v>91</v>
      </c>
      <c r="AC157">
        <v>53</v>
      </c>
      <c r="AD157">
        <v>12</v>
      </c>
      <c r="AE157">
        <v>0</v>
      </c>
      <c r="AF157">
        <v>1</v>
      </c>
      <c r="AG157">
        <v>60</v>
      </c>
      <c r="AH157">
        <v>1</v>
      </c>
      <c r="AI157">
        <v>3</v>
      </c>
      <c r="AJ157" t="s">
        <v>53</v>
      </c>
      <c r="AK157" t="s">
        <v>54</v>
      </c>
      <c r="AL157" t="s">
        <v>79</v>
      </c>
      <c r="AM157" t="str">
        <f>HYPERLINK(".\links\SWISSP\TI_asb-271-SWISSP.txt","40S ribosomal protein S4 OS=Carabus granulatus GN=RpS4 PE=2 SV=1")</f>
        <v>40S ribosomal protein S4 OS=Carabus granulatus GN=RpS4 PE=2 SV=1</v>
      </c>
      <c r="AN157" s="19" t="str">
        <f>HYPERLINK("http://www.uniprot.org/uniprot/Q4GXU6","2E-070")</f>
        <v>2E-070</v>
      </c>
      <c r="AO157" t="str">
        <f>HYPERLINK(".\links\SWISSP\TI_asb-271-SWISSP.txt"," 10")</f>
        <v xml:space="preserve"> 10</v>
      </c>
      <c r="AP157" t="s">
        <v>1698</v>
      </c>
      <c r="AQ157">
        <v>264</v>
      </c>
      <c r="AR157">
        <v>139</v>
      </c>
      <c r="AS157">
        <v>261</v>
      </c>
      <c r="AT157">
        <v>90</v>
      </c>
      <c r="AU157">
        <v>53</v>
      </c>
      <c r="AV157">
        <v>13</v>
      </c>
      <c r="AW157">
        <v>0</v>
      </c>
      <c r="AX157">
        <v>1</v>
      </c>
      <c r="AY157">
        <v>60</v>
      </c>
      <c r="AZ157">
        <v>1</v>
      </c>
      <c r="BA157">
        <v>3</v>
      </c>
      <c r="BB157" t="s">
        <v>53</v>
      </c>
      <c r="BC157" t="s">
        <v>54</v>
      </c>
      <c r="BD157" t="s">
        <v>1699</v>
      </c>
      <c r="BE157" t="s">
        <v>1700</v>
      </c>
      <c r="BF157" t="s">
        <v>1701</v>
      </c>
      <c r="BG157" t="str">
        <f>HYPERLINK(".\links\PREV-RHOD-PEP\TI_asb-271-PREV-RHOD-PEP.txt","Contig17729_72")</f>
        <v>Contig17729_72</v>
      </c>
      <c r="BH157" s="7">
        <v>1.9999999999999999E-76</v>
      </c>
      <c r="BI157" t="str">
        <f>HYPERLINK(".\links\PREV-RHOD-PEP\TI_asb-271-PREV-RHOD-PEP.txt"," 3")</f>
        <v xml:space="preserve"> 3</v>
      </c>
      <c r="BJ157" t="s">
        <v>1702</v>
      </c>
      <c r="BK157">
        <v>280</v>
      </c>
      <c r="BL157">
        <v>138</v>
      </c>
      <c r="BM157">
        <v>299</v>
      </c>
      <c r="BN157">
        <v>98</v>
      </c>
      <c r="BO157">
        <v>46</v>
      </c>
      <c r="BP157">
        <v>2</v>
      </c>
      <c r="BQ157">
        <v>0</v>
      </c>
      <c r="BR157">
        <v>16</v>
      </c>
      <c r="BS157">
        <v>63</v>
      </c>
      <c r="BT157">
        <v>1</v>
      </c>
      <c r="BU157" t="s">
        <v>54</v>
      </c>
      <c r="BV157" t="s">
        <v>1703</v>
      </c>
      <c r="BW157" t="s">
        <v>56</v>
      </c>
      <c r="BX157" t="str">
        <f>HYPERLINK(".\links\PREV-RHOD-CDS\TI_asb-271-PREV-RHOD-CDS.txt","Contig17729_72")</f>
        <v>Contig17729_72</v>
      </c>
      <c r="BY157" s="7">
        <v>9.9999999999999999E-119</v>
      </c>
      <c r="BZ157" t="s">
        <v>1702</v>
      </c>
      <c r="CA157">
        <v>424</v>
      </c>
      <c r="CB157">
        <v>406</v>
      </c>
      <c r="CC157">
        <v>900</v>
      </c>
      <c r="CD157">
        <v>87</v>
      </c>
      <c r="CE157">
        <v>45</v>
      </c>
      <c r="CF157">
        <v>50</v>
      </c>
      <c r="CG157">
        <v>0</v>
      </c>
      <c r="CH157">
        <v>46</v>
      </c>
      <c r="CI157">
        <v>63</v>
      </c>
      <c r="CJ157">
        <v>1</v>
      </c>
      <c r="CK157" t="s">
        <v>54</v>
      </c>
      <c r="CL157" t="s">
        <v>1704</v>
      </c>
      <c r="CM157">
        <f>HYPERLINK(".\links\GO\TI_asb-271-GO.txt",1E-65)</f>
        <v>9.9999999999999992E-66</v>
      </c>
      <c r="CN157" t="s">
        <v>702</v>
      </c>
      <c r="CO157" t="s">
        <v>703</v>
      </c>
      <c r="CP157" t="s">
        <v>704</v>
      </c>
      <c r="CQ157" t="s">
        <v>705</v>
      </c>
      <c r="CR157" s="7">
        <v>9.9999999999999992E-66</v>
      </c>
      <c r="CS157" t="s">
        <v>1593</v>
      </c>
      <c r="CT157" t="s">
        <v>75</v>
      </c>
      <c r="CU157" t="s">
        <v>76</v>
      </c>
      <c r="CV157" t="s">
        <v>1594</v>
      </c>
      <c r="CW157" s="7">
        <v>9.9999999999999992E-66</v>
      </c>
      <c r="CX157" t="s">
        <v>708</v>
      </c>
      <c r="CY157" t="s">
        <v>703</v>
      </c>
      <c r="CZ157" t="s">
        <v>704</v>
      </c>
      <c r="DA157" t="s">
        <v>709</v>
      </c>
      <c r="DB157" s="7">
        <v>9.9999999999999992E-66</v>
      </c>
      <c r="DC157" t="str">
        <f>HYPERLINK(".\links\CDD\TI_asb-271-CDD.txt","RPS4A")</f>
        <v>RPS4A</v>
      </c>
      <c r="DD157" t="str">
        <f>HYPERLINK("http://www.ncbi.nlm.nih.gov/Structure/cdd/cddsrv.cgi?uid=COG1471&amp;version=v4.0","8E-055")</f>
        <v>8E-055</v>
      </c>
      <c r="DE157" t="s">
        <v>1705</v>
      </c>
      <c r="DF157" t="str">
        <f>HYPERLINK(".\links\PFAM\TI_asb-271-PFAM.txt","RS4NT")</f>
        <v>RS4NT</v>
      </c>
      <c r="DG157" t="str">
        <f>HYPERLINK("http://pfam.sanger.ac.uk/family?acc=PF08071","3E-017")</f>
        <v>3E-017</v>
      </c>
      <c r="DH157" t="str">
        <f>HYPERLINK(".\links\PRK\TI_asb-271-PRK.txt","40S ribosomal protein S4")</f>
        <v>40S ribosomal protein S4</v>
      </c>
      <c r="DI157" s="7">
        <v>3.0000000000000001E-72</v>
      </c>
      <c r="DJ157" s="6" t="str">
        <f>HYPERLINK(".\links\KOG\TI_asb-271-KOG.txt","Nuclear protein, contains WD40 repeats")</f>
        <v>Nuclear protein, contains WD40 repeats</v>
      </c>
      <c r="DK157" s="6" t="str">
        <f>HYPERLINK("http://www.ncbi.nlm.nih.gov/COG/grace/shokog.cgi?KOG1916","0.0")</f>
        <v>0.0</v>
      </c>
      <c r="DL157" s="6" t="s">
        <v>4337</v>
      </c>
      <c r="DM157" s="6" t="str">
        <f>HYPERLINK(".\links\KOG\TI_asb-271-KOG.txt","KOG1916")</f>
        <v>KOG1916</v>
      </c>
      <c r="DN157" t="str">
        <f>HYPERLINK(".\links\SMART\TI_asb-271-SMART.txt","S4")</f>
        <v>S4</v>
      </c>
      <c r="DO157" t="str">
        <f>HYPERLINK("http://smart.embl-heidelberg.de/smart/do_annotation.pl?DOMAIN=S4&amp;BLAST=DUMMY","8E-009")</f>
        <v>8E-009</v>
      </c>
      <c r="DP157" s="3" t="s">
        <v>56</v>
      </c>
      <c r="ED157" s="3" t="s">
        <v>56</v>
      </c>
    </row>
    <row r="158" spans="1:147">
      <c r="A158" t="str">
        <f>HYPERLINK(".\links\seq\TI_asb-272-seq.txt","TI_asb-272")</f>
        <v>TI_asb-272</v>
      </c>
      <c r="B158">
        <v>272</v>
      </c>
      <c r="C158" t="str">
        <f>HYPERLINK(".\links\tsa\TI_asb-272-tsa.txt","2")</f>
        <v>2</v>
      </c>
      <c r="D158">
        <v>2</v>
      </c>
      <c r="E158">
        <v>561</v>
      </c>
      <c r="F158">
        <v>254</v>
      </c>
      <c r="G158" t="str">
        <f>HYPERLINK(".\links\qual\TI_asb-272-qual.txt","61")</f>
        <v>61</v>
      </c>
      <c r="H158">
        <v>0</v>
      </c>
      <c r="I158">
        <v>2</v>
      </c>
      <c r="J158">
        <f t="shared" si="8"/>
        <v>2</v>
      </c>
      <c r="K158" s="6">
        <f t="shared" si="9"/>
        <v>-2</v>
      </c>
      <c r="L158" s="6" t="s">
        <v>3992</v>
      </c>
      <c r="M158" s="6" t="s">
        <v>3919</v>
      </c>
      <c r="N158" s="6" t="s">
        <v>3902</v>
      </c>
      <c r="O158" s="6">
        <v>1.9999999999999999E-7</v>
      </c>
      <c r="P158" s="6">
        <v>24</v>
      </c>
      <c r="Q158" s="3">
        <v>561</v>
      </c>
      <c r="R158" s="3">
        <v>453</v>
      </c>
      <c r="S158" s="3" t="s">
        <v>3637</v>
      </c>
      <c r="T158" s="3">
        <v>6</v>
      </c>
      <c r="U158" t="str">
        <f>HYPERLINK(".\links\NR-LIGHT\TI_asb-272-NR-LIGHT.txt","conserved Plasmodium protein, unknown function")</f>
        <v>conserved Plasmodium protein, unknown function</v>
      </c>
      <c r="V158" t="str">
        <f>HYPERLINK("http://www.ncbi.nlm.nih.gov/sutils/blink.cgi?pid=124513530","1.6")</f>
        <v>1.6</v>
      </c>
      <c r="W158" t="str">
        <f>HYPERLINK(".\links\NR-LIGHT\TI_asb-272-NR-LIGHT.txt"," 4")</f>
        <v xml:space="preserve"> 4</v>
      </c>
      <c r="X158" t="str">
        <f>HYPERLINK("http://www.ncbi.nlm.nih.gov/protein/124513530","gi|124513530")</f>
        <v>gi|124513530</v>
      </c>
      <c r="Y158">
        <v>34.700000000000003</v>
      </c>
      <c r="Z158">
        <v>61</v>
      </c>
      <c r="AA158">
        <v>592</v>
      </c>
      <c r="AB158">
        <v>27</v>
      </c>
      <c r="AC158">
        <v>10</v>
      </c>
      <c r="AD158">
        <v>44</v>
      </c>
      <c r="AE158">
        <v>1</v>
      </c>
      <c r="AF158">
        <v>467</v>
      </c>
      <c r="AG158">
        <v>38</v>
      </c>
      <c r="AH158">
        <v>1</v>
      </c>
      <c r="AI158">
        <v>-3</v>
      </c>
      <c r="AJ158" t="s">
        <v>53</v>
      </c>
      <c r="AK158" t="s">
        <v>64</v>
      </c>
      <c r="AL158" t="s">
        <v>294</v>
      </c>
      <c r="AM158" t="str">
        <f>HYPERLINK(".\links\SWISSP\TI_asb-272-SWISSP.txt","Putative peptide zinc metalloprotease protein yydH OS=Bacillus subtilis GN=yydH")</f>
        <v>Putative peptide zinc metalloprotease protein yydH OS=Bacillus subtilis GN=yydH</v>
      </c>
      <c r="AN158" s="19" t="str">
        <f>HYPERLINK("http://www.uniprot.org/uniprot/Q45594","3.4")</f>
        <v>3.4</v>
      </c>
      <c r="AO158" t="str">
        <f>HYPERLINK(".\links\SWISSP\TI_asb-272-SWISSP.txt"," 2")</f>
        <v xml:space="preserve"> 2</v>
      </c>
      <c r="AP158" t="s">
        <v>1706</v>
      </c>
      <c r="AQ158">
        <v>31.6</v>
      </c>
      <c r="AR158">
        <v>61</v>
      </c>
      <c r="AS158">
        <v>252</v>
      </c>
      <c r="AT158">
        <v>36</v>
      </c>
      <c r="AU158">
        <v>24</v>
      </c>
      <c r="AV158">
        <v>39</v>
      </c>
      <c r="AW158">
        <v>0</v>
      </c>
      <c r="AX158">
        <v>72</v>
      </c>
      <c r="AY158">
        <v>53</v>
      </c>
      <c r="AZ158">
        <v>1</v>
      </c>
      <c r="BA158">
        <v>-3</v>
      </c>
      <c r="BB158" t="s">
        <v>53</v>
      </c>
      <c r="BC158" t="s">
        <v>64</v>
      </c>
      <c r="BD158" t="s">
        <v>1707</v>
      </c>
      <c r="BE158" t="s">
        <v>1708</v>
      </c>
      <c r="BF158" t="s">
        <v>1709</v>
      </c>
      <c r="BG158" t="str">
        <f>HYPERLINK(".\links\PREV-RHOD-PEP\TI_asb-272-PREV-RHOD-PEP.txt","Contig15877_4")</f>
        <v>Contig15877_4</v>
      </c>
      <c r="BH158" s="6">
        <v>0.22</v>
      </c>
      <c r="BI158" t="str">
        <f>HYPERLINK(".\links\PREV-RHOD-PEP\TI_asb-272-PREV-RHOD-PEP.txt"," 6")</f>
        <v xml:space="preserve"> 6</v>
      </c>
      <c r="BJ158" t="s">
        <v>1710</v>
      </c>
      <c r="BK158">
        <v>31.6</v>
      </c>
      <c r="BL158">
        <v>53</v>
      </c>
      <c r="BM158">
        <v>303</v>
      </c>
      <c r="BN158">
        <v>30</v>
      </c>
      <c r="BO158">
        <v>17</v>
      </c>
      <c r="BP158">
        <v>37</v>
      </c>
      <c r="BQ158">
        <v>0</v>
      </c>
      <c r="BR158">
        <v>126</v>
      </c>
      <c r="BS158">
        <v>95</v>
      </c>
      <c r="BT158">
        <v>1</v>
      </c>
      <c r="BU158" t="s">
        <v>64</v>
      </c>
      <c r="BV158" t="s">
        <v>1711</v>
      </c>
      <c r="BW158" t="s">
        <v>56</v>
      </c>
      <c r="BX158" t="str">
        <f>HYPERLINK(".\links\PREV-RHOD-CDS\TI_asb-272-PREV-RHOD-CDS.txt","Contig17382_19")</f>
        <v>Contig17382_19</v>
      </c>
      <c r="BY158" s="6">
        <v>1.7999999999999999E-2</v>
      </c>
      <c r="BZ158" t="s">
        <v>1712</v>
      </c>
      <c r="CA158">
        <v>40.1</v>
      </c>
      <c r="CB158">
        <v>19</v>
      </c>
      <c r="CC158">
        <v>1377</v>
      </c>
      <c r="CD158">
        <v>100</v>
      </c>
      <c r="CE158">
        <v>1</v>
      </c>
      <c r="CF158">
        <v>0</v>
      </c>
      <c r="CG158">
        <v>0</v>
      </c>
      <c r="CH158">
        <v>386</v>
      </c>
      <c r="CI158">
        <v>153</v>
      </c>
      <c r="CJ158">
        <v>1</v>
      </c>
      <c r="CK158" t="s">
        <v>54</v>
      </c>
      <c r="CL158" t="s">
        <v>1713</v>
      </c>
      <c r="CM158">
        <f>HYPERLINK(".\links\GO\TI_asb-272-GO.txt",8.3)</f>
        <v>8.3000000000000007</v>
      </c>
      <c r="CN158" t="s">
        <v>1714</v>
      </c>
      <c r="CO158" t="s">
        <v>324</v>
      </c>
      <c r="CP158" t="s">
        <v>325</v>
      </c>
      <c r="CQ158" t="s">
        <v>1715</v>
      </c>
      <c r="CR158" s="6">
        <v>8.3000000000000007</v>
      </c>
      <c r="CS158" t="s">
        <v>56</v>
      </c>
      <c r="CT158" t="s">
        <v>56</v>
      </c>
      <c r="CU158" t="s">
        <v>56</v>
      </c>
      <c r="CV158" t="s">
        <v>56</v>
      </c>
      <c r="CW158" s="6" t="s">
        <v>56</v>
      </c>
      <c r="CX158" t="s">
        <v>1716</v>
      </c>
      <c r="CY158" t="s">
        <v>324</v>
      </c>
      <c r="CZ158" t="s">
        <v>325</v>
      </c>
      <c r="DA158" t="s">
        <v>1717</v>
      </c>
      <c r="DB158" s="6">
        <v>8.3000000000000007</v>
      </c>
      <c r="DC158" t="str">
        <f>HYPERLINK(".\links\CDD\TI_asb-272-CDD.txt","PRK11192")</f>
        <v>PRK11192</v>
      </c>
      <c r="DD158" t="str">
        <f>HYPERLINK("http://www.ncbi.nlm.nih.gov/Structure/cdd/cddsrv.cgi?uid=PRK11192&amp;version=v4.0","4E-010")</f>
        <v>4E-010</v>
      </c>
      <c r="DE158" t="s">
        <v>1718</v>
      </c>
      <c r="DF158" t="str">
        <f>HYPERLINK(".\links\PFAM\TI_asb-272-PFAM.txt","RNA_polI_A34")</f>
        <v>RNA_polI_A34</v>
      </c>
      <c r="DG158" t="str">
        <f>HYPERLINK("http://pfam.sanger.ac.uk/family?acc=PF08208","5E-016")</f>
        <v>5E-016</v>
      </c>
      <c r="DH158" t="str">
        <f>HYPERLINK(".\links\PRK\TI_asb-272-PRK.txt","NADH dehydrogenase subunit 5")</f>
        <v>NADH dehydrogenase subunit 5</v>
      </c>
      <c r="DI158" s="7">
        <v>5E-15</v>
      </c>
      <c r="DJ158" s="6" t="str">
        <f>HYPERLINK(".\links\KOG\TI_asb-272-KOG.txt","Ribosome biogenesis protein - Nop58p/Nop5p")</f>
        <v>Ribosome biogenesis protein - Nop58p/Nop5p</v>
      </c>
      <c r="DK158" s="6" t="str">
        <f>HYPERLINK("http://www.ncbi.nlm.nih.gov/COG/grace/shokog.cgi?KOG2572","2E-012")</f>
        <v>2E-012</v>
      </c>
      <c r="DL158" s="6" t="s">
        <v>4351</v>
      </c>
      <c r="DM158" s="6" t="str">
        <f>HYPERLINK(".\links\KOG\TI_asb-272-KOG.txt","KOG2572")</f>
        <v>KOG2572</v>
      </c>
      <c r="DN158" t="str">
        <f>HYPERLINK(".\links\SMART\TI_asb-272-SMART.txt","TOPEUc")</f>
        <v>TOPEUc</v>
      </c>
      <c r="DO158" t="str">
        <f>HYPERLINK("http://smart.embl-heidelberg.de/smart/do_annotation.pl?DOMAIN=TOPEUc&amp;BLAST=DUMMY","4E-009")</f>
        <v>4E-009</v>
      </c>
      <c r="DP158" s="3" t="s">
        <v>56</v>
      </c>
      <c r="ED158" s="3" t="s">
        <v>56</v>
      </c>
    </row>
    <row r="159" spans="1:147">
      <c r="A159" t="str">
        <f>HYPERLINK(".\links\seq\TI_asb-276-seq.txt","TI_asb-276")</f>
        <v>TI_asb-276</v>
      </c>
      <c r="B159">
        <v>276</v>
      </c>
      <c r="C159" t="str">
        <f>HYPERLINK(".\links\tsa\TI_asb-276-tsa.txt","5")</f>
        <v>5</v>
      </c>
      <c r="D159">
        <v>5</v>
      </c>
      <c r="E159">
        <v>875</v>
      </c>
      <c r="F159">
        <v>843</v>
      </c>
      <c r="G159" t="str">
        <f>HYPERLINK(".\links\qual\TI_asb-276-qual.txt","71")</f>
        <v>71</v>
      </c>
      <c r="H159">
        <v>0</v>
      </c>
      <c r="I159">
        <v>5</v>
      </c>
      <c r="J159">
        <f t="shared" si="8"/>
        <v>5</v>
      </c>
      <c r="K159" s="6">
        <f t="shared" si="9"/>
        <v>-5</v>
      </c>
      <c r="L159" s="6" t="s">
        <v>3868</v>
      </c>
      <c r="M159" s="6" t="s">
        <v>3869</v>
      </c>
      <c r="N159" s="6"/>
      <c r="O159" s="6"/>
      <c r="P159" s="6"/>
      <c r="Q159" s="3">
        <v>875</v>
      </c>
      <c r="R159" s="3">
        <v>288</v>
      </c>
      <c r="S159" s="6" t="s">
        <v>3638</v>
      </c>
      <c r="T159" s="3">
        <v>6</v>
      </c>
      <c r="U159" t="str">
        <f>HYPERLINK(".\links\NR-LIGHT\TI_asb-276-NR-LIGHT.txt","protein phosphatase")</f>
        <v>protein phosphatase</v>
      </c>
      <c r="V159" t="str">
        <f>HYPERLINK("http://www.ncbi.nlm.nih.gov/sutils/blink.cgi?pid=221056438","0.042")</f>
        <v>0.042</v>
      </c>
      <c r="W159" t="str">
        <f>HYPERLINK(".\links\NR-LIGHT\TI_asb-276-NR-LIGHT.txt"," 7")</f>
        <v xml:space="preserve"> 7</v>
      </c>
      <c r="X159" t="str">
        <f>HYPERLINK("http://www.ncbi.nlm.nih.gov/protein/221056438","gi|221056438")</f>
        <v>gi|221056438</v>
      </c>
      <c r="Y159">
        <v>41.2</v>
      </c>
      <c r="Z159">
        <v>114</v>
      </c>
      <c r="AA159">
        <v>977</v>
      </c>
      <c r="AB159">
        <v>24</v>
      </c>
      <c r="AC159">
        <v>12</v>
      </c>
      <c r="AD159">
        <v>86</v>
      </c>
      <c r="AE159">
        <v>5</v>
      </c>
      <c r="AF159">
        <v>222</v>
      </c>
      <c r="AG159">
        <v>503</v>
      </c>
      <c r="AH159">
        <v>3</v>
      </c>
      <c r="AI159">
        <v>2</v>
      </c>
      <c r="AJ159" t="s">
        <v>53</v>
      </c>
      <c r="AK159" t="s">
        <v>54</v>
      </c>
      <c r="AL159" t="s">
        <v>1719</v>
      </c>
      <c r="AM159" t="str">
        <f>HYPERLINK(".\links\SWISSP\TI_asb-276-SWISSP.txt","DNA-dependent protein kinase catalytic subunit OS=Gallus gallus GN=PRKDC PE=2")</f>
        <v>DNA-dependent protein kinase catalytic subunit OS=Gallus gallus GN=PRKDC PE=2</v>
      </c>
      <c r="AN159" s="19" t="str">
        <f>HYPERLINK("http://www.uniprot.org/uniprot/Q8QGX4","0.23")</f>
        <v>0.23</v>
      </c>
      <c r="AO159" t="str">
        <f>HYPERLINK(".\links\SWISSP\TI_asb-276-SWISSP.txt"," 1")</f>
        <v xml:space="preserve"> 1</v>
      </c>
      <c r="AP159" t="s">
        <v>1720</v>
      </c>
      <c r="AQ159">
        <v>36.6</v>
      </c>
      <c r="AR159">
        <v>44</v>
      </c>
      <c r="AS159">
        <v>4134</v>
      </c>
      <c r="AT159">
        <v>47</v>
      </c>
      <c r="AU159">
        <v>1</v>
      </c>
      <c r="AV159">
        <v>23</v>
      </c>
      <c r="AW159">
        <v>0</v>
      </c>
      <c r="AX159">
        <v>400</v>
      </c>
      <c r="AY159">
        <v>499</v>
      </c>
      <c r="AZ159">
        <v>1</v>
      </c>
      <c r="BA159">
        <v>-3</v>
      </c>
      <c r="BB159" t="s">
        <v>53</v>
      </c>
      <c r="BC159" t="s">
        <v>64</v>
      </c>
      <c r="BD159" t="s">
        <v>159</v>
      </c>
      <c r="BE159" t="s">
        <v>1721</v>
      </c>
      <c r="BF159" t="s">
        <v>1722</v>
      </c>
      <c r="BG159" t="str">
        <f>HYPERLINK(".\links\PREV-RHOD-PEP\TI_asb-276-PREV-RHOD-PEP.txt","Contig17614_38")</f>
        <v>Contig17614_38</v>
      </c>
      <c r="BH159" s="6">
        <v>1E-3</v>
      </c>
      <c r="BI159" t="str">
        <f>HYPERLINK(".\links\PREV-RHOD-PEP\TI_asb-276-PREV-RHOD-PEP.txt"," 5")</f>
        <v xml:space="preserve"> 5</v>
      </c>
      <c r="BJ159" t="s">
        <v>1723</v>
      </c>
      <c r="BK159">
        <v>40.4</v>
      </c>
      <c r="BL159">
        <v>75</v>
      </c>
      <c r="BM159">
        <v>206</v>
      </c>
      <c r="BN159">
        <v>30</v>
      </c>
      <c r="BO159">
        <v>36</v>
      </c>
      <c r="BP159">
        <v>52</v>
      </c>
      <c r="BQ159">
        <v>0</v>
      </c>
      <c r="BR159">
        <v>7</v>
      </c>
      <c r="BS159">
        <v>542</v>
      </c>
      <c r="BT159">
        <v>9</v>
      </c>
      <c r="BU159" t="s">
        <v>54</v>
      </c>
      <c r="BV159" t="s">
        <v>1724</v>
      </c>
      <c r="BW159" t="s">
        <v>56</v>
      </c>
      <c r="BX159" t="str">
        <f>HYPERLINK(".\links\PREV-RHOD-CDS\TI_asb-276-PREV-RHOD-CDS.txt","Contig17855_41")</f>
        <v>Contig17855_41</v>
      </c>
      <c r="BY159" s="6">
        <v>0.43</v>
      </c>
      <c r="BZ159" t="s">
        <v>1725</v>
      </c>
      <c r="CA159">
        <v>36.200000000000003</v>
      </c>
      <c r="CB159">
        <v>17</v>
      </c>
      <c r="CC159">
        <v>1272</v>
      </c>
      <c r="CD159">
        <v>100</v>
      </c>
      <c r="CE159">
        <v>1</v>
      </c>
      <c r="CF159">
        <v>0</v>
      </c>
      <c r="CG159">
        <v>0</v>
      </c>
      <c r="CH159">
        <v>955</v>
      </c>
      <c r="CI159">
        <v>360</v>
      </c>
      <c r="CJ159">
        <v>1</v>
      </c>
      <c r="CK159" t="s">
        <v>64</v>
      </c>
      <c r="CL159" t="s">
        <v>1726</v>
      </c>
      <c r="CM159">
        <f>HYPERLINK(".\links\GO\TI_asb-276-GO.txt",0.95)</f>
        <v>0.95</v>
      </c>
      <c r="CN159" t="s">
        <v>1727</v>
      </c>
      <c r="CO159" t="s">
        <v>185</v>
      </c>
      <c r="CP159" t="s">
        <v>222</v>
      </c>
      <c r="CQ159" t="s">
        <v>1728</v>
      </c>
      <c r="CR159" s="6">
        <v>0.95</v>
      </c>
      <c r="CS159" t="s">
        <v>60</v>
      </c>
      <c r="CT159" t="s">
        <v>60</v>
      </c>
      <c r="CV159" t="s">
        <v>61</v>
      </c>
      <c r="CW159" s="6">
        <v>0.95</v>
      </c>
      <c r="CX159" t="s">
        <v>62</v>
      </c>
      <c r="CY159" t="s">
        <v>185</v>
      </c>
      <c r="CZ159" t="s">
        <v>222</v>
      </c>
      <c r="DA159" t="s">
        <v>63</v>
      </c>
      <c r="DB159" s="6">
        <v>0.95</v>
      </c>
      <c r="DC159" t="str">
        <f>HYPERLINK(".\links\CDD\TI_asb-276-CDD.txt","ND2")</f>
        <v>ND2</v>
      </c>
      <c r="DD159" t="str">
        <f>HYPERLINK("http://www.ncbi.nlm.nih.gov/Structure/cdd/cddsrv.cgi?uid=MTH00059&amp;version=v4.0","4E-007")</f>
        <v>4E-007</v>
      </c>
      <c r="DE159" t="s">
        <v>1729</v>
      </c>
      <c r="DF159" t="str">
        <f>HYPERLINK(".\links\PFAM\TI_asb-276-PFAM.txt","7TM_GPCR_Srz")</f>
        <v>7TM_GPCR_Srz</v>
      </c>
      <c r="DG159" t="str">
        <f>HYPERLINK("http://pfam.sanger.ac.uk/family?acc=PF10325","0.003")</f>
        <v>0.003</v>
      </c>
      <c r="DH159" t="str">
        <f>HYPERLINK(".\links\PRK\TI_asb-276-PRK.txt","NADH dehydrogenase subunit 2")</f>
        <v>NADH dehydrogenase subunit 2</v>
      </c>
      <c r="DI159" s="7">
        <v>3.9999999999999998E-7</v>
      </c>
      <c r="DJ159" s="6" t="str">
        <f>HYPERLINK(".\links\KOG\TI_asb-276-KOG.txt","DEAD box protein")</f>
        <v>DEAD box protein</v>
      </c>
      <c r="DK159" s="6" t="str">
        <f>HYPERLINK("http://www.ncbi.nlm.nih.gov/COG/grace/shokog.cgi?KOG4284","0.027")</f>
        <v>0.027</v>
      </c>
      <c r="DL159" s="6" t="s">
        <v>4343</v>
      </c>
      <c r="DM159" s="6" t="str">
        <f>HYPERLINK(".\links\KOG\TI_asb-276-KOG.txt","KOG4284")</f>
        <v>KOG4284</v>
      </c>
      <c r="DN159" t="str">
        <f>HYPERLINK(".\links\SMART\TI_asb-276-SMART.txt","TLC")</f>
        <v>TLC</v>
      </c>
      <c r="DO159" t="str">
        <f>HYPERLINK("http://smart.embl-heidelberg.de/smart/do_annotation.pl?DOMAIN=TLC&amp;BLAST=DUMMY","0.032")</f>
        <v>0.032</v>
      </c>
      <c r="DP159" s="3" t="s">
        <v>56</v>
      </c>
      <c r="ED159" s="3" t="s">
        <v>56</v>
      </c>
    </row>
    <row r="160" spans="1:147">
      <c r="A160" t="str">
        <f>HYPERLINK(".\links\seq\TI_asb-277-seq.txt","TI_asb-277")</f>
        <v>TI_asb-277</v>
      </c>
      <c r="B160">
        <v>277</v>
      </c>
      <c r="C160" t="str">
        <f>HYPERLINK(".\links\tsa\TI_asb-277-tsa.txt","1")</f>
        <v>1</v>
      </c>
      <c r="D160">
        <v>1</v>
      </c>
      <c r="E160">
        <v>711</v>
      </c>
      <c r="G160" t="str">
        <f>HYPERLINK(".\links\qual\TI_asb-277-qual.txt","55")</f>
        <v>55</v>
      </c>
      <c r="H160">
        <v>1</v>
      </c>
      <c r="I160">
        <v>0</v>
      </c>
      <c r="J160">
        <f t="shared" si="8"/>
        <v>1</v>
      </c>
      <c r="K160" s="6">
        <f t="shared" si="9"/>
        <v>1</v>
      </c>
      <c r="L160" s="6" t="s">
        <v>3868</v>
      </c>
      <c r="M160" s="6" t="s">
        <v>3869</v>
      </c>
      <c r="N160" s="6"/>
      <c r="O160" s="6"/>
      <c r="P160" s="6"/>
      <c r="Q160" s="3">
        <v>711</v>
      </c>
      <c r="R160" s="3">
        <v>183</v>
      </c>
      <c r="S160" s="3" t="s">
        <v>3639</v>
      </c>
      <c r="T160" s="3">
        <v>2</v>
      </c>
      <c r="U160" t="s">
        <v>56</v>
      </c>
      <c r="V160" t="s">
        <v>56</v>
      </c>
      <c r="W160" t="s">
        <v>56</v>
      </c>
      <c r="X160" t="s">
        <v>56</v>
      </c>
      <c r="Y160" t="s">
        <v>56</v>
      </c>
      <c r="Z160" t="s">
        <v>56</v>
      </c>
      <c r="AA160" t="s">
        <v>56</v>
      </c>
      <c r="AB160" t="s">
        <v>56</v>
      </c>
      <c r="AC160" t="s">
        <v>56</v>
      </c>
      <c r="AD160" t="s">
        <v>56</v>
      </c>
      <c r="AE160" t="s">
        <v>56</v>
      </c>
      <c r="AF160" t="s">
        <v>56</v>
      </c>
      <c r="AG160" t="s">
        <v>56</v>
      </c>
      <c r="AH160" t="s">
        <v>56</v>
      </c>
      <c r="AI160" t="s">
        <v>56</v>
      </c>
      <c r="AJ160" t="s">
        <v>56</v>
      </c>
      <c r="AK160" t="s">
        <v>56</v>
      </c>
      <c r="AL160" t="s">
        <v>56</v>
      </c>
      <c r="AM160" t="str">
        <f>HYPERLINK(".\links\SWISSP\TI_asb-277-SWISSP.txt","Uncharacterized MFS-type transporter yitZ OS=Bacillus subtilis GN=yitZ PE=3 SV=2")</f>
        <v>Uncharacterized MFS-type transporter yitZ OS=Bacillus subtilis GN=yitZ PE=3 SV=2</v>
      </c>
      <c r="AN160" s="19" t="str">
        <f>HYPERLINK("http://www.uniprot.org/uniprot/P70952","5.4")</f>
        <v>5.4</v>
      </c>
      <c r="AO160" t="str">
        <f>HYPERLINK(".\links\SWISSP\TI_asb-277-SWISSP.txt"," 2")</f>
        <v xml:space="preserve"> 2</v>
      </c>
      <c r="AP160" t="s">
        <v>1730</v>
      </c>
      <c r="AQ160">
        <v>31.6</v>
      </c>
      <c r="AR160">
        <v>52</v>
      </c>
      <c r="AS160">
        <v>164</v>
      </c>
      <c r="AT160">
        <v>34</v>
      </c>
      <c r="AU160">
        <v>32</v>
      </c>
      <c r="AV160">
        <v>34</v>
      </c>
      <c r="AW160">
        <v>1</v>
      </c>
      <c r="AX160">
        <v>22</v>
      </c>
      <c r="AY160">
        <v>550</v>
      </c>
      <c r="AZ160">
        <v>1</v>
      </c>
      <c r="BA160">
        <v>-1</v>
      </c>
      <c r="BB160" t="s">
        <v>53</v>
      </c>
      <c r="BC160" t="s">
        <v>64</v>
      </c>
      <c r="BD160" t="s">
        <v>1707</v>
      </c>
      <c r="BE160" t="s">
        <v>1731</v>
      </c>
      <c r="BF160" t="s">
        <v>1732</v>
      </c>
      <c r="BG160" t="str">
        <f>HYPERLINK(".\links\PREV-RHOD-PEP\TI_asb-277-PREV-RHOD-PEP.txt","Contig17157_3")</f>
        <v>Contig17157_3</v>
      </c>
      <c r="BH160" s="6">
        <v>1.2</v>
      </c>
      <c r="BI160" t="str">
        <f>HYPERLINK(".\links\PREV-RHOD-PEP\TI_asb-277-PREV-RHOD-PEP.txt"," 5")</f>
        <v xml:space="preserve"> 5</v>
      </c>
      <c r="BJ160" t="s">
        <v>1733</v>
      </c>
      <c r="BK160">
        <v>29.6</v>
      </c>
      <c r="BL160">
        <v>87</v>
      </c>
      <c r="BM160">
        <v>407</v>
      </c>
      <c r="BN160">
        <v>24</v>
      </c>
      <c r="BO160">
        <v>21</v>
      </c>
      <c r="BP160">
        <v>66</v>
      </c>
      <c r="BQ160">
        <v>8</v>
      </c>
      <c r="BR160">
        <v>27</v>
      </c>
      <c r="BS160">
        <v>439</v>
      </c>
      <c r="BT160">
        <v>1</v>
      </c>
      <c r="BU160" t="s">
        <v>64</v>
      </c>
      <c r="BV160" t="s">
        <v>1734</v>
      </c>
      <c r="BW160" t="s">
        <v>56</v>
      </c>
      <c r="BX160" t="str">
        <f>HYPERLINK(".\links\PREV-RHOD-CDS\TI_asb-277-PREV-RHOD-CDS.txt","Contig17851_91")</f>
        <v>Contig17851_91</v>
      </c>
      <c r="BY160" s="6">
        <v>8.8999999999999996E-2</v>
      </c>
      <c r="BZ160" t="s">
        <v>1735</v>
      </c>
      <c r="CA160">
        <v>38.200000000000003</v>
      </c>
      <c r="CB160">
        <v>18</v>
      </c>
      <c r="CC160">
        <v>1683</v>
      </c>
      <c r="CD160">
        <v>100</v>
      </c>
      <c r="CE160">
        <v>1</v>
      </c>
      <c r="CF160">
        <v>0</v>
      </c>
      <c r="CG160">
        <v>0</v>
      </c>
      <c r="CH160">
        <v>706</v>
      </c>
      <c r="CI160">
        <v>98</v>
      </c>
      <c r="CJ160">
        <v>1</v>
      </c>
      <c r="CK160" t="s">
        <v>64</v>
      </c>
      <c r="CL160" t="s">
        <v>1736</v>
      </c>
      <c r="CM160">
        <f>HYPERLINK(".\links\GO\TI_asb-277-GO.txt",4.4)</f>
        <v>4.4000000000000004</v>
      </c>
      <c r="CN160" t="s">
        <v>1737</v>
      </c>
      <c r="CO160" t="s">
        <v>129</v>
      </c>
      <c r="CP160" t="s">
        <v>151</v>
      </c>
      <c r="CQ160" t="s">
        <v>1738</v>
      </c>
      <c r="CR160" s="6">
        <v>4.4000000000000004</v>
      </c>
      <c r="CS160" t="s">
        <v>499</v>
      </c>
      <c r="CT160" t="s">
        <v>75</v>
      </c>
      <c r="CU160" t="s">
        <v>92</v>
      </c>
      <c r="CV160" t="s">
        <v>500</v>
      </c>
      <c r="CW160" s="6">
        <v>4.4000000000000004</v>
      </c>
      <c r="CX160" t="s">
        <v>1739</v>
      </c>
      <c r="CY160" t="s">
        <v>129</v>
      </c>
      <c r="CZ160" t="s">
        <v>151</v>
      </c>
      <c r="DA160" t="s">
        <v>1740</v>
      </c>
      <c r="DB160" s="6">
        <v>4.4000000000000004</v>
      </c>
      <c r="DC160" t="str">
        <f>HYPERLINK(".\links\CDD\TI_asb-277-CDD.txt","TagG")</f>
        <v>TagG</v>
      </c>
      <c r="DD160" t="str">
        <f>HYPERLINK("http://www.ncbi.nlm.nih.gov/Structure/cdd/cddsrv.cgi?uid=COG1682&amp;version=v4.0","0.061")</f>
        <v>0.061</v>
      </c>
      <c r="DE160" t="s">
        <v>1741</v>
      </c>
      <c r="DF160" t="str">
        <f>HYPERLINK(".\links\PFAM\TI_asb-277-PFAM.txt","DUF2154")</f>
        <v>DUF2154</v>
      </c>
      <c r="DG160" t="str">
        <f>HYPERLINK("http://pfam.sanger.ac.uk/family?acc=PF09922","0.051")</f>
        <v>0.051</v>
      </c>
      <c r="DH160" t="s">
        <v>56</v>
      </c>
      <c r="DI160" s="6" t="s">
        <v>56</v>
      </c>
      <c r="DJ160" s="6" t="str">
        <f>HYPERLINK(".\links\KOG\TI_asb-277-KOG.txt","Predicted membrane protein")</f>
        <v>Predicted membrane protein</v>
      </c>
      <c r="DK160" s="6" t="str">
        <f>HYPERLINK("http://www.ncbi.nlm.nih.gov/COG/grace/shokog.cgi?KOG2970","0.006")</f>
        <v>0.006</v>
      </c>
      <c r="DL160" s="6" t="s">
        <v>4347</v>
      </c>
      <c r="DM160" s="6" t="str">
        <f>HYPERLINK(".\links\KOG\TI_asb-277-KOG.txt","KOG2970")</f>
        <v>KOG2970</v>
      </c>
      <c r="DN160" t="str">
        <f>HYPERLINK(".\links\SMART\TI_asb-277-SMART.txt","PSN")</f>
        <v>PSN</v>
      </c>
      <c r="DO160" t="str">
        <f>HYPERLINK("http://smart.embl-heidelberg.de/smart/do_annotation.pl?DOMAIN=PSN&amp;BLAST=DUMMY","0.008")</f>
        <v>0.008</v>
      </c>
      <c r="DP160" s="3" t="s">
        <v>56</v>
      </c>
      <c r="ED160" s="3" t="s">
        <v>56</v>
      </c>
    </row>
    <row r="161" spans="1:134">
      <c r="A161" t="str">
        <f>HYPERLINK(".\links\seq\TI_asb-278-seq.txt","TI_asb-278")</f>
        <v>TI_asb-278</v>
      </c>
      <c r="B161">
        <v>278</v>
      </c>
      <c r="C161" t="str">
        <f>HYPERLINK(".\links\tsa\TI_asb-278-tsa.txt","1")</f>
        <v>1</v>
      </c>
      <c r="D161">
        <v>1</v>
      </c>
      <c r="E161">
        <v>566</v>
      </c>
      <c r="F161">
        <v>544</v>
      </c>
      <c r="G161" t="str">
        <f>HYPERLINK(".\links\qual\TI_asb-278-qual.txt","24")</f>
        <v>24</v>
      </c>
      <c r="H161">
        <v>1</v>
      </c>
      <c r="I161">
        <v>0</v>
      </c>
      <c r="J161">
        <f t="shared" si="8"/>
        <v>1</v>
      </c>
      <c r="K161" s="6">
        <f t="shared" si="9"/>
        <v>1</v>
      </c>
      <c r="L161" s="6" t="s">
        <v>3993</v>
      </c>
      <c r="M161" s="6" t="s">
        <v>3883</v>
      </c>
      <c r="N161" s="6" t="s">
        <v>3864</v>
      </c>
      <c r="O161" s="7">
        <v>1.9999999999999999E-34</v>
      </c>
      <c r="P161" s="6">
        <v>11.6</v>
      </c>
      <c r="Q161" s="3">
        <v>566</v>
      </c>
      <c r="R161" s="3">
        <v>561</v>
      </c>
      <c r="S161" s="6" t="s">
        <v>3640</v>
      </c>
      <c r="T161" s="3">
        <v>2</v>
      </c>
      <c r="U161" t="str">
        <f>HYPERLINK(".\links\NR-LIGHT\TI_asb-278-NR-LIGHT.txt","hypothetical protein TcasGA2_TC013545")</f>
        <v>hypothetical protein TcasGA2_TC013545</v>
      </c>
      <c r="V161" t="str">
        <f>HYPERLINK("http://www.ncbi.nlm.nih.gov/sutils/blink.cgi?pid=270007094","2E-034")</f>
        <v>2E-034</v>
      </c>
      <c r="W161" t="str">
        <f>HYPERLINK(".\links\NR-LIGHT\TI_asb-278-NR-LIGHT.txt"," 10")</f>
        <v xml:space="preserve"> 10</v>
      </c>
      <c r="X161" t="str">
        <f>HYPERLINK("http://www.ncbi.nlm.nih.gov/protein/270007094","gi|270007094")</f>
        <v>gi|270007094</v>
      </c>
      <c r="Y161">
        <v>147</v>
      </c>
      <c r="Z161">
        <v>175</v>
      </c>
      <c r="AA161">
        <v>1599</v>
      </c>
      <c r="AB161">
        <v>44</v>
      </c>
      <c r="AC161">
        <v>11</v>
      </c>
      <c r="AD161">
        <v>98</v>
      </c>
      <c r="AE161">
        <v>4</v>
      </c>
      <c r="AF161">
        <v>185</v>
      </c>
      <c r="AG161">
        <v>2</v>
      </c>
      <c r="AH161">
        <v>1</v>
      </c>
      <c r="AI161">
        <v>2</v>
      </c>
      <c r="AJ161" t="s">
        <v>53</v>
      </c>
      <c r="AK161" t="s">
        <v>54</v>
      </c>
      <c r="AL161" t="s">
        <v>79</v>
      </c>
      <c r="AM161" t="str">
        <f>HYPERLINK(".\links\SWISSP\TI_asb-278-SWISSP.txt","UDP-glucose:glycoprotein glucosyltransferase 2 OS=Homo sapiens GN=UGGT2 PE=1")</f>
        <v>UDP-glucose:glycoprotein glucosyltransferase 2 OS=Homo sapiens GN=UGGT2 PE=1</v>
      </c>
      <c r="AN161" s="19" t="str">
        <f>HYPERLINK("http://www.uniprot.org/uniprot/Q9NYU1","1E-024")</f>
        <v>1E-024</v>
      </c>
      <c r="AO161" t="str">
        <f>HYPERLINK(".\links\SWISSP\TI_asb-278-SWISSP.txt"," 10")</f>
        <v xml:space="preserve"> 10</v>
      </c>
      <c r="AP161" t="s">
        <v>1742</v>
      </c>
      <c r="AQ161">
        <v>112</v>
      </c>
      <c r="AR161">
        <v>163</v>
      </c>
      <c r="AS161">
        <v>1516</v>
      </c>
      <c r="AT161">
        <v>39</v>
      </c>
      <c r="AU161">
        <v>11</v>
      </c>
      <c r="AV161">
        <v>99</v>
      </c>
      <c r="AW161">
        <v>4</v>
      </c>
      <c r="AX161">
        <v>111</v>
      </c>
      <c r="AY161">
        <v>38</v>
      </c>
      <c r="AZ161">
        <v>1</v>
      </c>
      <c r="BA161">
        <v>2</v>
      </c>
      <c r="BB161" t="s">
        <v>53</v>
      </c>
      <c r="BC161" t="s">
        <v>54</v>
      </c>
      <c r="BD161" t="s">
        <v>330</v>
      </c>
      <c r="BE161" t="s">
        <v>1743</v>
      </c>
      <c r="BF161" t="s">
        <v>1744</v>
      </c>
      <c r="BG161" t="str">
        <f>HYPERLINK(".\links\PREV-RHOD-PEP\TI_asb-278-PREV-RHOD-PEP.txt","Contig17896_56")</f>
        <v>Contig17896_56</v>
      </c>
      <c r="BH161" s="7">
        <v>5E-80</v>
      </c>
      <c r="BI161" t="str">
        <f>HYPERLINK(".\links\PREV-RHOD-PEP\TI_asb-278-PREV-RHOD-PEP.txt"," 10")</f>
        <v xml:space="preserve"> 10</v>
      </c>
      <c r="BJ161" t="s">
        <v>1745</v>
      </c>
      <c r="BK161">
        <v>292</v>
      </c>
      <c r="BL161">
        <v>171</v>
      </c>
      <c r="BM161">
        <v>1560</v>
      </c>
      <c r="BN161">
        <v>84</v>
      </c>
      <c r="BO161">
        <v>11</v>
      </c>
      <c r="BP161">
        <v>26</v>
      </c>
      <c r="BQ161">
        <v>0</v>
      </c>
      <c r="BR161">
        <v>92</v>
      </c>
      <c r="BS161">
        <v>2</v>
      </c>
      <c r="BT161">
        <v>1</v>
      </c>
      <c r="BU161" t="s">
        <v>54</v>
      </c>
      <c r="BV161" t="s">
        <v>1746</v>
      </c>
      <c r="BW161" t="s">
        <v>56</v>
      </c>
      <c r="BX161" t="str">
        <f>HYPERLINK(".\links\PREV-RHOD-CDS\TI_asb-278-PREV-RHOD-CDS.txt","Contig17896_56")</f>
        <v>Contig17896_56</v>
      </c>
      <c r="BY161" s="7">
        <v>9.9999999999999993E-103</v>
      </c>
      <c r="BZ161" t="s">
        <v>1745</v>
      </c>
      <c r="CA161">
        <v>371</v>
      </c>
      <c r="CB161">
        <v>470</v>
      </c>
      <c r="CC161">
        <v>4683</v>
      </c>
      <c r="CD161">
        <v>84</v>
      </c>
      <c r="CE161">
        <v>10</v>
      </c>
      <c r="CF161">
        <v>71</v>
      </c>
      <c r="CG161">
        <v>0</v>
      </c>
      <c r="CH161">
        <v>309</v>
      </c>
      <c r="CI161">
        <v>37</v>
      </c>
      <c r="CJ161">
        <v>1</v>
      </c>
      <c r="CK161" t="s">
        <v>54</v>
      </c>
      <c r="CL161" t="s">
        <v>1747</v>
      </c>
      <c r="CM161">
        <f>HYPERLINK(".\links\GO\TI_asb-278-GO.txt",7E-26)</f>
        <v>6.9999999999999997E-26</v>
      </c>
      <c r="CN161" t="s">
        <v>1748</v>
      </c>
      <c r="CO161" t="s">
        <v>129</v>
      </c>
      <c r="CP161" t="s">
        <v>151</v>
      </c>
      <c r="CQ161" t="s">
        <v>1749</v>
      </c>
      <c r="CR161" s="7">
        <v>1.9999999999999999E-23</v>
      </c>
      <c r="CS161" t="s">
        <v>641</v>
      </c>
      <c r="CT161" t="s">
        <v>75</v>
      </c>
      <c r="CU161" t="s">
        <v>76</v>
      </c>
      <c r="CV161" t="s">
        <v>642</v>
      </c>
      <c r="CW161" s="7">
        <v>1.9999999999999999E-23</v>
      </c>
      <c r="CX161" t="s">
        <v>628</v>
      </c>
      <c r="CY161" t="s">
        <v>129</v>
      </c>
      <c r="CZ161" t="s">
        <v>151</v>
      </c>
      <c r="DA161" t="s">
        <v>629</v>
      </c>
      <c r="DB161" s="7">
        <v>1.9999999999999999E-23</v>
      </c>
      <c r="DC161" t="s">
        <v>56</v>
      </c>
      <c r="DD161" t="s">
        <v>56</v>
      </c>
      <c r="DE161" t="s">
        <v>56</v>
      </c>
      <c r="DF161" t="str">
        <f>HYPERLINK(".\links\PFAM\TI_asb-278-PFAM.txt","XK-related")</f>
        <v>XK-related</v>
      </c>
      <c r="DG161" t="str">
        <f>HYPERLINK("http://pfam.sanger.ac.uk/family?acc=PF09815","0.011")</f>
        <v>0.011</v>
      </c>
      <c r="DH161" t="str">
        <f>HYPERLINK(".\links\PRK\TI_asb-278-PRK.txt","NADH dehydrogenase subunit 5")</f>
        <v>NADH dehydrogenase subunit 5</v>
      </c>
      <c r="DI161" s="6">
        <v>0.01</v>
      </c>
      <c r="DJ161" s="6" t="str">
        <f>HYPERLINK(".\links\KOG\TI_asb-278-KOG.txt","UDP-glucose:glycoprotein glucosyltransferase")</f>
        <v>UDP-glucose:glycoprotein glucosyltransferase</v>
      </c>
      <c r="DK161" s="6" t="str">
        <f>HYPERLINK("http://www.ncbi.nlm.nih.gov/COG/grace/shokog.cgi?KOG1879","7E-032")</f>
        <v>7E-032</v>
      </c>
      <c r="DL161" s="6" t="s">
        <v>4341</v>
      </c>
      <c r="DM161" s="6" t="str">
        <f>HYPERLINK(".\links\KOG\TI_asb-278-KOG.txt","KOG1879")</f>
        <v>KOG1879</v>
      </c>
      <c r="DN161" t="str">
        <f>HYPERLINK(".\links\SMART\TI_asb-278-SMART.txt","PI3Kc")</f>
        <v>PI3Kc</v>
      </c>
      <c r="DO161" t="str">
        <f>HYPERLINK("http://smart.embl-heidelberg.de/smart/do_annotation.pl?DOMAIN=PI3Kc&amp;BLAST=DUMMY","0.079")</f>
        <v>0.079</v>
      </c>
      <c r="DP161" s="3" t="s">
        <v>56</v>
      </c>
      <c r="ED161" s="3" t="s">
        <v>56</v>
      </c>
    </row>
    <row r="162" spans="1:134">
      <c r="A162" t="str">
        <f>HYPERLINK(".\links\seq\TI_asb-279-seq.txt","TI_asb-279")</f>
        <v>TI_asb-279</v>
      </c>
      <c r="B162">
        <v>279</v>
      </c>
      <c r="C162" t="str">
        <f>HYPERLINK(".\links\tsa\TI_asb-279-tsa.txt","1")</f>
        <v>1</v>
      </c>
      <c r="D162">
        <v>1</v>
      </c>
      <c r="E162">
        <v>186</v>
      </c>
      <c r="F162">
        <v>154</v>
      </c>
      <c r="G162" t="str">
        <f>HYPERLINK(".\links\qual\TI_asb-279-qual.txt","25")</f>
        <v>25</v>
      </c>
      <c r="H162">
        <v>1</v>
      </c>
      <c r="I162">
        <v>0</v>
      </c>
      <c r="J162">
        <f t="shared" si="8"/>
        <v>1</v>
      </c>
      <c r="K162" s="6">
        <f t="shared" si="9"/>
        <v>1</v>
      </c>
      <c r="L162" s="6" t="s">
        <v>3868</v>
      </c>
      <c r="M162" s="6" t="s">
        <v>3869</v>
      </c>
      <c r="N162" s="6"/>
      <c r="O162" s="6"/>
      <c r="P162" s="6"/>
      <c r="Q162" s="3">
        <v>186</v>
      </c>
      <c r="R162" s="3">
        <v>174</v>
      </c>
      <c r="S162" s="3" t="s">
        <v>3641</v>
      </c>
      <c r="T162" s="3">
        <v>4</v>
      </c>
      <c r="U162" t="s">
        <v>56</v>
      </c>
      <c r="V162" t="s">
        <v>56</v>
      </c>
      <c r="W162" t="s">
        <v>56</v>
      </c>
      <c r="X162" t="s">
        <v>56</v>
      </c>
      <c r="Y162" t="s">
        <v>56</v>
      </c>
      <c r="Z162" t="s">
        <v>56</v>
      </c>
      <c r="AA162" t="s">
        <v>56</v>
      </c>
      <c r="AB162" t="s">
        <v>56</v>
      </c>
      <c r="AC162" t="s">
        <v>56</v>
      </c>
      <c r="AD162" t="s">
        <v>56</v>
      </c>
      <c r="AE162" t="s">
        <v>56</v>
      </c>
      <c r="AF162" t="s">
        <v>56</v>
      </c>
      <c r="AG162" t="s">
        <v>56</v>
      </c>
      <c r="AH162" t="s">
        <v>56</v>
      </c>
      <c r="AI162" t="s">
        <v>56</v>
      </c>
      <c r="AJ162" t="s">
        <v>56</v>
      </c>
      <c r="AK162" t="s">
        <v>56</v>
      </c>
      <c r="AL162" t="s">
        <v>56</v>
      </c>
      <c r="AM162" t="s">
        <v>56</v>
      </c>
      <c r="AN162" s="19" t="s">
        <v>56</v>
      </c>
      <c r="AO162" t="s">
        <v>56</v>
      </c>
      <c r="AP162" t="s">
        <v>56</v>
      </c>
      <c r="AQ162" t="s">
        <v>56</v>
      </c>
      <c r="AR162" t="s">
        <v>56</v>
      </c>
      <c r="AS162" t="s">
        <v>56</v>
      </c>
      <c r="AT162" t="s">
        <v>56</v>
      </c>
      <c r="AU162" t="s">
        <v>56</v>
      </c>
      <c r="AV162" t="s">
        <v>56</v>
      </c>
      <c r="AW162" t="s">
        <v>56</v>
      </c>
      <c r="AX162" t="s">
        <v>56</v>
      </c>
      <c r="AY162" t="s">
        <v>56</v>
      </c>
      <c r="AZ162" t="s">
        <v>56</v>
      </c>
      <c r="BA162" t="s">
        <v>56</v>
      </c>
      <c r="BB162" t="s">
        <v>56</v>
      </c>
      <c r="BC162" t="s">
        <v>56</v>
      </c>
      <c r="BD162" t="s">
        <v>56</v>
      </c>
      <c r="BE162" t="s">
        <v>56</v>
      </c>
      <c r="BF162" t="s">
        <v>56</v>
      </c>
      <c r="BG162" t="str">
        <f>HYPERLINK(".\links\PREV-RHOD-PEP\TI_asb-279-PREV-RHOD-PEP.txt","Contig4117_1")</f>
        <v>Contig4117_1</v>
      </c>
      <c r="BH162" s="6">
        <v>0.09</v>
      </c>
      <c r="BI162" t="str">
        <f>HYPERLINK(".\links\PREV-RHOD-PEP\TI_asb-279-PREV-RHOD-PEP.txt"," 2")</f>
        <v xml:space="preserve"> 2</v>
      </c>
      <c r="BJ162" t="s">
        <v>1750</v>
      </c>
      <c r="BK162">
        <v>32</v>
      </c>
      <c r="BL162">
        <v>25</v>
      </c>
      <c r="BM162">
        <v>26</v>
      </c>
      <c r="BN162">
        <v>56</v>
      </c>
      <c r="BO162">
        <v>96</v>
      </c>
      <c r="BP162">
        <v>11</v>
      </c>
      <c r="BQ162">
        <v>0</v>
      </c>
      <c r="BR162">
        <v>2</v>
      </c>
      <c r="BS162">
        <v>75</v>
      </c>
      <c r="BT162">
        <v>1</v>
      </c>
      <c r="BU162" t="s">
        <v>54</v>
      </c>
      <c r="BV162" t="s">
        <v>1751</v>
      </c>
      <c r="BW162" t="s">
        <v>56</v>
      </c>
      <c r="BX162" t="str">
        <f>HYPERLINK(".\links\PREV-RHOD-CDS\TI_asb-279-PREV-RHOD-CDS.txt","Contig22339_1")</f>
        <v>Contig22339_1</v>
      </c>
      <c r="BY162" s="7">
        <v>6.0000000000000002E-6</v>
      </c>
      <c r="BZ162" t="s">
        <v>489</v>
      </c>
      <c r="CA162">
        <v>50.1</v>
      </c>
      <c r="CB162">
        <v>36</v>
      </c>
      <c r="CC162">
        <v>147</v>
      </c>
      <c r="CD162">
        <v>91</v>
      </c>
      <c r="CE162">
        <v>25</v>
      </c>
      <c r="CF162">
        <v>3</v>
      </c>
      <c r="CG162">
        <v>0</v>
      </c>
      <c r="CH162">
        <v>24</v>
      </c>
      <c r="CI162">
        <v>115</v>
      </c>
      <c r="CJ162">
        <v>1</v>
      </c>
      <c r="CK162" t="s">
        <v>54</v>
      </c>
      <c r="CL162" t="s">
        <v>56</v>
      </c>
      <c r="CM162" t="s">
        <v>56</v>
      </c>
      <c r="CN162" t="s">
        <v>56</v>
      </c>
      <c r="CO162" t="s">
        <v>56</v>
      </c>
      <c r="CP162" t="s">
        <v>56</v>
      </c>
      <c r="CQ162" t="s">
        <v>56</v>
      </c>
      <c r="CR162" s="6" t="s">
        <v>56</v>
      </c>
      <c r="CS162" t="s">
        <v>56</v>
      </c>
      <c r="CT162" t="s">
        <v>56</v>
      </c>
      <c r="CU162" t="s">
        <v>56</v>
      </c>
      <c r="CV162" t="s">
        <v>56</v>
      </c>
      <c r="CW162" s="6" t="s">
        <v>56</v>
      </c>
      <c r="CX162" t="s">
        <v>56</v>
      </c>
      <c r="CY162" t="s">
        <v>56</v>
      </c>
      <c r="CZ162" t="s">
        <v>56</v>
      </c>
      <c r="DA162" t="s">
        <v>56</v>
      </c>
      <c r="DB162" s="6" t="s">
        <v>56</v>
      </c>
      <c r="DC162" t="s">
        <v>56</v>
      </c>
      <c r="DD162" t="s">
        <v>56</v>
      </c>
      <c r="DE162" t="s">
        <v>56</v>
      </c>
      <c r="DF162" t="str">
        <f>HYPERLINK(".\links\PFAM\TI_asb-279-PFAM.txt","COX3")</f>
        <v>COX3</v>
      </c>
      <c r="DG162" t="str">
        <f>HYPERLINK("http://pfam.sanger.ac.uk/family?acc=PF00510","0.075")</f>
        <v>0.075</v>
      </c>
      <c r="DH162" t="str">
        <f>HYPERLINK(".\links\PRK\TI_asb-279-PRK.txt","predicted protein")</f>
        <v>predicted protein</v>
      </c>
      <c r="DI162" s="6">
        <v>3.0000000000000001E-3</v>
      </c>
      <c r="DJ162" s="6" t="s">
        <v>56</v>
      </c>
      <c r="DN162" t="str">
        <f>HYPERLINK(".\links\SMART\TI_asb-279-SMART.txt","CENPB")</f>
        <v>CENPB</v>
      </c>
      <c r="DO162" t="str">
        <f>HYPERLINK("http://smart.embl-heidelberg.de/smart/do_annotation.pl?DOMAIN=CENPB&amp;BLAST=DUMMY","0.021")</f>
        <v>0.021</v>
      </c>
      <c r="DP162" s="3" t="s">
        <v>56</v>
      </c>
      <c r="ED162" s="3" t="s">
        <v>56</v>
      </c>
    </row>
    <row r="163" spans="1:134">
      <c r="A163" t="str">
        <f>HYPERLINK(".\links\seq\TI_asb-280-seq.txt","TI_asb-280")</f>
        <v>TI_asb-280</v>
      </c>
      <c r="B163">
        <v>280</v>
      </c>
      <c r="C163" t="str">
        <f>HYPERLINK(".\links\tsa\TI_asb-280-tsa.txt","1")</f>
        <v>1</v>
      </c>
      <c r="D163">
        <v>1</v>
      </c>
      <c r="E163">
        <v>509</v>
      </c>
      <c r="G163" t="str">
        <f>HYPERLINK(".\links\qual\TI_asb-280-qual.txt","33")</f>
        <v>33</v>
      </c>
      <c r="H163">
        <v>1</v>
      </c>
      <c r="I163">
        <v>0</v>
      </c>
      <c r="J163">
        <f t="shared" si="8"/>
        <v>1</v>
      </c>
      <c r="K163" s="6">
        <f t="shared" si="9"/>
        <v>1</v>
      </c>
      <c r="L163" s="6" t="s">
        <v>3994</v>
      </c>
      <c r="M163" s="6" t="s">
        <v>3912</v>
      </c>
      <c r="N163" s="6" t="s">
        <v>3864</v>
      </c>
      <c r="O163" s="7">
        <v>1.9999999999999999E-44</v>
      </c>
      <c r="P163" s="6">
        <v>46.9</v>
      </c>
      <c r="Q163" s="3">
        <v>509</v>
      </c>
      <c r="R163" s="3">
        <v>336</v>
      </c>
      <c r="S163" s="3" t="s">
        <v>3642</v>
      </c>
      <c r="T163" s="3">
        <v>1</v>
      </c>
      <c r="U163" t="str">
        <f>HYPERLINK(".\links\NR-LIGHT\TI_asb-280-NR-LIGHT.txt","similar to skpA CG16983-PA, isoform A isoform 1")</f>
        <v>similar to skpA CG16983-PA, isoform A isoform 1</v>
      </c>
      <c r="V163" t="str">
        <f>HYPERLINK("http://www.ncbi.nlm.nih.gov/sutils/blink.cgi?pid=66504030","2E-044")</f>
        <v>2E-044</v>
      </c>
      <c r="W163" t="str">
        <f>HYPERLINK(".\links\NR-LIGHT\TI_asb-280-NR-LIGHT.txt"," 10")</f>
        <v xml:space="preserve"> 10</v>
      </c>
      <c r="X163" t="str">
        <f>HYPERLINK("http://www.ncbi.nlm.nih.gov/protein/66504030","gi|66504030")</f>
        <v>gi|66504030</v>
      </c>
      <c r="Y163">
        <v>148</v>
      </c>
      <c r="Z163">
        <v>76</v>
      </c>
      <c r="AA163">
        <v>162</v>
      </c>
      <c r="AB163">
        <v>96</v>
      </c>
      <c r="AC163">
        <v>47</v>
      </c>
      <c r="AD163">
        <v>3</v>
      </c>
      <c r="AE163">
        <v>0</v>
      </c>
      <c r="AF163">
        <v>11</v>
      </c>
      <c r="AG163">
        <v>68</v>
      </c>
      <c r="AH163">
        <v>3</v>
      </c>
      <c r="AI163">
        <v>1</v>
      </c>
      <c r="AJ163" t="s">
        <v>65</v>
      </c>
      <c r="AK163" t="s">
        <v>54</v>
      </c>
      <c r="AL163" t="s">
        <v>344</v>
      </c>
      <c r="AM163" t="str">
        <f>HYPERLINK(".\links\SWISSP\TI_asb-280-SWISSP.txt","S-phase kinase-associated protein 1 OS=Rattus norvegicus GN=Skp1 PE=2 SV=3")</f>
        <v>S-phase kinase-associated protein 1 OS=Rattus norvegicus GN=Skp1 PE=2 SV=3</v>
      </c>
      <c r="AN163" s="19" t="str">
        <f>HYPERLINK("http://www.uniprot.org/uniprot/Q6PEC4","5E-040")</f>
        <v>5E-040</v>
      </c>
      <c r="AO163" t="str">
        <f>HYPERLINK(".\links\SWISSP\TI_asb-280-SWISSP.txt"," 10")</f>
        <v xml:space="preserve"> 10</v>
      </c>
      <c r="AP163" t="s">
        <v>1752</v>
      </c>
      <c r="AQ163">
        <v>134</v>
      </c>
      <c r="AR163">
        <v>76</v>
      </c>
      <c r="AS163">
        <v>163</v>
      </c>
      <c r="AT163">
        <v>86</v>
      </c>
      <c r="AU163">
        <v>47</v>
      </c>
      <c r="AV163">
        <v>10</v>
      </c>
      <c r="AW163">
        <v>0</v>
      </c>
      <c r="AX163">
        <v>11</v>
      </c>
      <c r="AY163">
        <v>68</v>
      </c>
      <c r="AZ163">
        <v>3</v>
      </c>
      <c r="BA163">
        <v>1</v>
      </c>
      <c r="BB163" t="s">
        <v>65</v>
      </c>
      <c r="BC163" t="s">
        <v>54</v>
      </c>
      <c r="BD163" t="s">
        <v>122</v>
      </c>
      <c r="BE163" t="s">
        <v>1753</v>
      </c>
      <c r="BF163" t="s">
        <v>1754</v>
      </c>
      <c r="BG163" t="str">
        <f>HYPERLINK(".\links\PREV-RHOD-PEP\TI_asb-280-PREV-RHOD-PEP.txt","Contig17916_77")</f>
        <v>Contig17916_77</v>
      </c>
      <c r="BH163" s="7">
        <v>7.9999999999999998E-48</v>
      </c>
      <c r="BI163" t="str">
        <f>HYPERLINK(".\links\PREV-RHOD-PEP\TI_asb-280-PREV-RHOD-PEP.txt"," 6")</f>
        <v xml:space="preserve"> 6</v>
      </c>
      <c r="BJ163" t="s">
        <v>1755</v>
      </c>
      <c r="BK163">
        <v>149</v>
      </c>
      <c r="BL163">
        <v>76</v>
      </c>
      <c r="BM163">
        <v>162</v>
      </c>
      <c r="BN163">
        <v>97</v>
      </c>
      <c r="BO163">
        <v>47</v>
      </c>
      <c r="BP163">
        <v>2</v>
      </c>
      <c r="BQ163">
        <v>0</v>
      </c>
      <c r="BR163">
        <v>11</v>
      </c>
      <c r="BS163">
        <v>68</v>
      </c>
      <c r="BT163">
        <v>3</v>
      </c>
      <c r="BU163" t="s">
        <v>54</v>
      </c>
      <c r="BV163" t="s">
        <v>1756</v>
      </c>
      <c r="BW163" t="s">
        <v>56</v>
      </c>
      <c r="BX163" t="str">
        <f>HYPERLINK(".\links\PREV-RHOD-CDS\TI_asb-280-PREV-RHOD-CDS.txt","Contig17916_77")</f>
        <v>Contig17916_77</v>
      </c>
      <c r="BY163" s="7">
        <v>9.9999999999999995E-127</v>
      </c>
      <c r="BZ163" t="s">
        <v>1755</v>
      </c>
      <c r="CA163">
        <v>452</v>
      </c>
      <c r="CB163">
        <v>404</v>
      </c>
      <c r="CC163">
        <v>489</v>
      </c>
      <c r="CD163">
        <v>89</v>
      </c>
      <c r="CE163">
        <v>83</v>
      </c>
      <c r="CF163">
        <v>42</v>
      </c>
      <c r="CG163">
        <v>3</v>
      </c>
      <c r="CH163">
        <v>63</v>
      </c>
      <c r="CI163">
        <v>102</v>
      </c>
      <c r="CJ163">
        <v>1</v>
      </c>
      <c r="CK163" t="s">
        <v>54</v>
      </c>
      <c r="CL163" t="s">
        <v>1757</v>
      </c>
      <c r="CM163">
        <f>HYPERLINK(".\links\GO\TI_asb-280-GO.txt",3E-41)</f>
        <v>2.9999999999999999E-41</v>
      </c>
      <c r="CN163" t="s">
        <v>208</v>
      </c>
      <c r="CO163" t="s">
        <v>185</v>
      </c>
      <c r="CP163" t="s">
        <v>186</v>
      </c>
      <c r="CQ163" t="s">
        <v>209</v>
      </c>
      <c r="CR163" s="7">
        <v>9.9999999999999993E-41</v>
      </c>
      <c r="CS163" t="s">
        <v>518</v>
      </c>
      <c r="CT163" t="s">
        <v>247</v>
      </c>
      <c r="CU163" t="s">
        <v>247</v>
      </c>
      <c r="CV163" t="s">
        <v>519</v>
      </c>
      <c r="CW163" s="7">
        <v>9.9999999999999993E-41</v>
      </c>
      <c r="CX163" t="s">
        <v>1758</v>
      </c>
      <c r="CY163" t="s">
        <v>185</v>
      </c>
      <c r="CZ163" t="s">
        <v>186</v>
      </c>
      <c r="DA163" t="s">
        <v>1759</v>
      </c>
      <c r="DB163" s="7">
        <v>9.9999999999999993E-41</v>
      </c>
      <c r="DC163" t="str">
        <f>HYPERLINK(".\links\CDD\TI_asb-280-CDD.txt","Skp1")</f>
        <v>Skp1</v>
      </c>
      <c r="DD163" t="str">
        <f>HYPERLINK("http://www.ncbi.nlm.nih.gov/Structure/cdd/cddsrv.cgi?uid=pfam01466&amp;version=v4.0","3E-031")</f>
        <v>3E-031</v>
      </c>
      <c r="DE163" t="s">
        <v>1760</v>
      </c>
      <c r="DF163" t="str">
        <f>HYPERLINK(".\links\PFAM\TI_asb-280-PFAM.txt","Skp1")</f>
        <v>Skp1</v>
      </c>
      <c r="DG163" t="str">
        <f>HYPERLINK("http://pfam.sanger.ac.uk/family?acc=PF01466","2E-034")</f>
        <v>2E-034</v>
      </c>
      <c r="DH163" t="str">
        <f>HYPERLINK(".\links\PRK\TI_asb-280-PRK.txt","NADH dehydrogenase subunit 5")</f>
        <v>NADH dehydrogenase subunit 5</v>
      </c>
      <c r="DI163" s="6">
        <v>3.0000000000000001E-3</v>
      </c>
      <c r="DJ163" s="6" t="str">
        <f>HYPERLINK(".\links\KOG\TI_asb-280-KOG.txt","SCF ubiquitin ligase, Skp1 component")</f>
        <v>SCF ubiquitin ligase, Skp1 component</v>
      </c>
      <c r="DK163" s="6" t="str">
        <f>HYPERLINK("http://www.ncbi.nlm.nih.gov/COG/grace/shokog.cgi?KOG1724","9E-036")</f>
        <v>9E-036</v>
      </c>
      <c r="DL163" s="6" t="s">
        <v>4340</v>
      </c>
      <c r="DM163" s="6" t="str">
        <f>HYPERLINK(".\links\KOG\TI_asb-280-KOG.txt","KOG1724")</f>
        <v>KOG1724</v>
      </c>
      <c r="DN163" t="str">
        <f>HYPERLINK(".\links\SMART\TI_asb-280-SMART.txt","Skp1")</f>
        <v>Skp1</v>
      </c>
      <c r="DO163" t="str">
        <f>HYPERLINK("http://smart.embl-heidelberg.de/smart/do_annotation.pl?DOMAIN=Skp1&amp;BLAST=DUMMY","9E-015")</f>
        <v>9E-015</v>
      </c>
      <c r="DP163" s="3" t="s">
        <v>56</v>
      </c>
      <c r="ED163" s="3" t="s">
        <v>56</v>
      </c>
    </row>
    <row r="164" spans="1:134">
      <c r="A164" t="str">
        <f>HYPERLINK(".\links\seq\TI_asb-283-seq.txt","TI_asb-283")</f>
        <v>TI_asb-283</v>
      </c>
      <c r="B164">
        <v>283</v>
      </c>
      <c r="C164" t="str">
        <f>HYPERLINK(".\links\tsa\TI_asb-283-tsa.txt","3")</f>
        <v>3</v>
      </c>
      <c r="D164">
        <v>3</v>
      </c>
      <c r="E164">
        <v>994</v>
      </c>
      <c r="F164">
        <v>961</v>
      </c>
      <c r="G164" t="str">
        <f>HYPERLINK(".\links\qual\TI_asb-283-qual.txt","51")</f>
        <v>51</v>
      </c>
      <c r="H164">
        <v>0</v>
      </c>
      <c r="I164">
        <v>3</v>
      </c>
      <c r="J164">
        <f t="shared" si="8"/>
        <v>3</v>
      </c>
      <c r="K164" s="6">
        <f t="shared" si="9"/>
        <v>-3</v>
      </c>
      <c r="L164" s="6" t="s">
        <v>3868</v>
      </c>
      <c r="M164" s="6" t="s">
        <v>3869</v>
      </c>
      <c r="N164" s="6"/>
      <c r="O164" s="6"/>
      <c r="P164" s="6"/>
      <c r="Q164" s="3">
        <v>994</v>
      </c>
      <c r="R164" s="3">
        <v>696</v>
      </c>
      <c r="S164" s="6" t="s">
        <v>3643</v>
      </c>
      <c r="T164" s="3">
        <v>3</v>
      </c>
      <c r="U164" t="str">
        <f>HYPERLINK(".\links\NR-LIGHT\TI_asb-283-NR-LIGHT.txt","cyln2 (cytoplasmic linker protein-115) (clip-115)")</f>
        <v>cyln2 (cytoplasmic linker protein-115) (clip-115)</v>
      </c>
      <c r="V164" t="str">
        <f>HYPERLINK("http://www.ncbi.nlm.nih.gov/sutils/blink.cgi?pid=256081884","0.008")</f>
        <v>0.008</v>
      </c>
      <c r="W164" t="str">
        <f>HYPERLINK(".\links\NR-LIGHT\TI_asb-283-NR-LIGHT.txt"," 10")</f>
        <v xml:space="preserve"> 10</v>
      </c>
      <c r="X164" t="str">
        <f>HYPERLINK("http://www.ncbi.nlm.nih.gov/protein/256081884","gi|256081884")</f>
        <v>gi|256081884</v>
      </c>
      <c r="Y164">
        <v>43.9</v>
      </c>
      <c r="Z164">
        <v>172</v>
      </c>
      <c r="AA164">
        <v>1086</v>
      </c>
      <c r="AB164">
        <v>24</v>
      </c>
      <c r="AC164">
        <v>16</v>
      </c>
      <c r="AD164">
        <v>130</v>
      </c>
      <c r="AE164">
        <v>9</v>
      </c>
      <c r="AF164">
        <v>573</v>
      </c>
      <c r="AG164">
        <v>84</v>
      </c>
      <c r="AH164">
        <v>1</v>
      </c>
      <c r="AI164">
        <v>3</v>
      </c>
      <c r="AJ164" t="s">
        <v>53</v>
      </c>
      <c r="AK164" t="s">
        <v>54</v>
      </c>
      <c r="AL164" t="s">
        <v>1761</v>
      </c>
      <c r="AM164" t="str">
        <f>HYPERLINK(".\links\SWISSP\TI_asb-283-SWISSP.txt","Uncharacterized protein PFL1135c OS=Plasmodium falciparum (isolate 3D7)")</f>
        <v>Uncharacterized protein PFL1135c OS=Plasmodium falciparum (isolate 3D7)</v>
      </c>
      <c r="AN164" s="19" t="str">
        <f>HYPERLINK("http://www.uniprot.org/uniprot/Q8I5I1","0.075")</f>
        <v>0.075</v>
      </c>
      <c r="AO164" t="str">
        <f>HYPERLINK(".\links\SWISSP\TI_asb-283-SWISSP.txt"," 10")</f>
        <v xml:space="preserve"> 10</v>
      </c>
      <c r="AP164" t="s">
        <v>1762</v>
      </c>
      <c r="AQ164">
        <v>38.5</v>
      </c>
      <c r="AR164">
        <v>135</v>
      </c>
      <c r="AS164">
        <v>1560</v>
      </c>
      <c r="AT164">
        <v>24</v>
      </c>
      <c r="AU164">
        <v>9</v>
      </c>
      <c r="AV164">
        <v>102</v>
      </c>
      <c r="AW164">
        <v>0</v>
      </c>
      <c r="AX164">
        <v>248</v>
      </c>
      <c r="AY164">
        <v>228</v>
      </c>
      <c r="AZ164">
        <v>1</v>
      </c>
      <c r="BA164">
        <v>3</v>
      </c>
      <c r="BB164" t="s">
        <v>53</v>
      </c>
      <c r="BC164" t="s">
        <v>54</v>
      </c>
      <c r="BD164" t="s">
        <v>1763</v>
      </c>
      <c r="BE164" t="s">
        <v>1764</v>
      </c>
      <c r="BF164" t="s">
        <v>1765</v>
      </c>
      <c r="BG164" t="str">
        <f>HYPERLINK(".\links\PREV-RHOD-PEP\TI_asb-283-PREV-RHOD-PEP.txt","Contig18049_53")</f>
        <v>Contig18049_53</v>
      </c>
      <c r="BH164" s="6">
        <v>2.1000000000000001E-2</v>
      </c>
      <c r="BI164" t="str">
        <f>HYPERLINK(".\links\PREV-RHOD-PEP\TI_asb-283-PREV-RHOD-PEP.txt"," 10")</f>
        <v xml:space="preserve"> 10</v>
      </c>
      <c r="BJ164" t="s">
        <v>1766</v>
      </c>
      <c r="BK164">
        <v>36.200000000000003</v>
      </c>
      <c r="BL164">
        <v>187</v>
      </c>
      <c r="BM164">
        <v>2175</v>
      </c>
      <c r="BN164">
        <v>21</v>
      </c>
      <c r="BO164">
        <v>9</v>
      </c>
      <c r="BP164">
        <v>147</v>
      </c>
      <c r="BQ164">
        <v>4</v>
      </c>
      <c r="BR164">
        <v>523</v>
      </c>
      <c r="BS164">
        <v>84</v>
      </c>
      <c r="BT164">
        <v>2</v>
      </c>
      <c r="BU164" t="s">
        <v>54</v>
      </c>
      <c r="BV164" t="s">
        <v>1767</v>
      </c>
      <c r="BW164" t="s">
        <v>56</v>
      </c>
      <c r="BX164" t="str">
        <f>HYPERLINK(".\links\PREV-RHOD-CDS\TI_asb-283-PREV-RHOD-CDS.txt","Contig17234_1")</f>
        <v>Contig17234_1</v>
      </c>
      <c r="BY164" s="6">
        <v>3.2000000000000001E-2</v>
      </c>
      <c r="BZ164" t="s">
        <v>1768</v>
      </c>
      <c r="CA164">
        <v>40.1</v>
      </c>
      <c r="CB164">
        <v>23</v>
      </c>
      <c r="CC164">
        <v>3333</v>
      </c>
      <c r="CD164">
        <v>95</v>
      </c>
      <c r="CE164">
        <v>1</v>
      </c>
      <c r="CF164">
        <v>1</v>
      </c>
      <c r="CG164">
        <v>0</v>
      </c>
      <c r="CH164">
        <v>2429</v>
      </c>
      <c r="CI164">
        <v>129</v>
      </c>
      <c r="CJ164">
        <v>1</v>
      </c>
      <c r="CK164" t="s">
        <v>64</v>
      </c>
      <c r="CL164" t="s">
        <v>57</v>
      </c>
      <c r="CM164">
        <f>HYPERLINK(".\links\GO\TI_asb-283-GO.txt",0.012)</f>
        <v>1.2E-2</v>
      </c>
      <c r="CN164" t="s">
        <v>58</v>
      </c>
      <c r="CO164" t="s">
        <v>58</v>
      </c>
      <c r="CQ164" t="s">
        <v>59</v>
      </c>
      <c r="CR164" s="6">
        <v>1.2E-2</v>
      </c>
      <c r="CS164" t="s">
        <v>60</v>
      </c>
      <c r="CT164" t="s">
        <v>60</v>
      </c>
      <c r="CV164" t="s">
        <v>61</v>
      </c>
      <c r="CW164" s="6">
        <v>1.2E-2</v>
      </c>
      <c r="CX164" t="s">
        <v>62</v>
      </c>
      <c r="CY164" t="s">
        <v>58</v>
      </c>
      <c r="DA164" t="s">
        <v>63</v>
      </c>
      <c r="DB164" s="6">
        <v>1.2E-2</v>
      </c>
      <c r="DC164" t="str">
        <f>HYPERLINK(".\links\CDD\TI_asb-283-CDD.txt","ND5")</f>
        <v>ND5</v>
      </c>
      <c r="DD164" t="str">
        <f>HYPERLINK("http://www.ncbi.nlm.nih.gov/Structure/cdd/cddsrv.cgi?uid=MTH00095&amp;version=v4.0","1E-004")</f>
        <v>1E-004</v>
      </c>
      <c r="DE164" t="s">
        <v>1769</v>
      </c>
      <c r="DF164" t="str">
        <f>HYPERLINK(".\links\PFAM\TI_asb-283-PFAM.txt","7TM_GPCR_Srx")</f>
        <v>7TM_GPCR_Srx</v>
      </c>
      <c r="DG164" t="str">
        <f>HYPERLINK("http://pfam.sanger.ac.uk/family?acc=PF10328","0.002")</f>
        <v>0.002</v>
      </c>
      <c r="DH164" t="str">
        <f>HYPERLINK(".\links\PRK\TI_asb-283-PRK.txt","NADH dehydrogenase subunit 5")</f>
        <v>NADH dehydrogenase subunit 5</v>
      </c>
      <c r="DI164" s="7">
        <v>2.0000000000000002E-5</v>
      </c>
      <c r="DJ164" s="6" t="str">
        <f>HYPERLINK(".\links\KOG\TI_asb-283-KOG.txt","Kinesin-like protein")</f>
        <v>Kinesin-like protein</v>
      </c>
      <c r="DK164" s="6" t="str">
        <f>HYPERLINK("http://www.ncbi.nlm.nih.gov/COG/grace/shokog.cgi?KOG0243","0.034")</f>
        <v>0.034</v>
      </c>
      <c r="DL164" s="6" t="s">
        <v>4344</v>
      </c>
      <c r="DM164" s="6" t="str">
        <f>HYPERLINK(".\links\KOG\TI_asb-283-KOG.txt","KOG0243")</f>
        <v>KOG0243</v>
      </c>
      <c r="DN164" t="str">
        <f>HYPERLINK(".\links\SMART\TI_asb-283-SMART.txt","VKc")</f>
        <v>VKc</v>
      </c>
      <c r="DO164" t="str">
        <f>HYPERLINK("http://smart.embl-heidelberg.de/smart/do_annotation.pl?DOMAIN=VKc&amp;BLAST=DUMMY","0.022")</f>
        <v>0.022</v>
      </c>
      <c r="DP164" s="3" t="s">
        <v>56</v>
      </c>
      <c r="ED164" s="3" t="s">
        <v>56</v>
      </c>
    </row>
    <row r="165" spans="1:134">
      <c r="A165" t="str">
        <f>HYPERLINK(".\links\seq\TI_asb-284-seq.txt","TI_asb-284")</f>
        <v>TI_asb-284</v>
      </c>
      <c r="B165">
        <v>284</v>
      </c>
      <c r="C165" t="str">
        <f>HYPERLINK(".\links\tsa\TI_asb-284-tsa.txt","1")</f>
        <v>1</v>
      </c>
      <c r="D165">
        <v>1</v>
      </c>
      <c r="E165">
        <v>511</v>
      </c>
      <c r="G165" t="str">
        <f>HYPERLINK(".\links\qual\TI_asb-284-qual.txt","40")</f>
        <v>40</v>
      </c>
      <c r="H165">
        <v>1</v>
      </c>
      <c r="I165">
        <v>0</v>
      </c>
      <c r="J165">
        <f t="shared" si="8"/>
        <v>1</v>
      </c>
      <c r="K165" s="6">
        <f t="shared" si="9"/>
        <v>1</v>
      </c>
      <c r="L165" s="6" t="s">
        <v>3995</v>
      </c>
      <c r="M165" s="6" t="s">
        <v>3904</v>
      </c>
      <c r="N165" s="6" t="s">
        <v>3872</v>
      </c>
      <c r="O165" s="7">
        <v>1.9999999999999999E-36</v>
      </c>
      <c r="P165" s="6">
        <v>20.7</v>
      </c>
      <c r="Q165" s="3">
        <v>511</v>
      </c>
      <c r="R165" s="3">
        <v>276</v>
      </c>
      <c r="S165" s="6" t="s">
        <v>3644</v>
      </c>
      <c r="T165" s="3">
        <v>6</v>
      </c>
      <c r="U165" t="str">
        <f>HYPERLINK(".\links\NR-LIGHT\TI_asb-284-NR-LIGHT.txt","hypothetical protein DAPPUDRAFT_300984")</f>
        <v>hypothetical protein DAPPUDRAFT_300984</v>
      </c>
      <c r="V165" t="str">
        <f>HYPERLINK("http://www.ncbi.nlm.nih.gov/sutils/blink.cgi?pid=321458268","4E-033")</f>
        <v>4E-033</v>
      </c>
      <c r="W165" t="str">
        <f>HYPERLINK(".\links\NR-LIGHT\TI_asb-284-NR-LIGHT.txt"," 10")</f>
        <v xml:space="preserve"> 10</v>
      </c>
      <c r="X165" t="str">
        <f>HYPERLINK("http://www.ncbi.nlm.nih.gov/protein/321458268","gi|321458268")</f>
        <v>gi|321458268</v>
      </c>
      <c r="Y165">
        <v>142</v>
      </c>
      <c r="Z165">
        <v>75</v>
      </c>
      <c r="AA165">
        <v>366</v>
      </c>
      <c r="AB165">
        <v>81</v>
      </c>
      <c r="AC165">
        <v>20</v>
      </c>
      <c r="AD165">
        <v>14</v>
      </c>
      <c r="AE165">
        <v>0</v>
      </c>
      <c r="AF165">
        <v>292</v>
      </c>
      <c r="AG165">
        <v>286</v>
      </c>
      <c r="AH165">
        <v>1</v>
      </c>
      <c r="AI165">
        <v>1</v>
      </c>
      <c r="AJ165" t="s">
        <v>53</v>
      </c>
      <c r="AK165" t="s">
        <v>54</v>
      </c>
      <c r="AL165" t="s">
        <v>193</v>
      </c>
      <c r="AM165" t="str">
        <f>HYPERLINK(".\links\SWISSP\TI_asb-284-SWISSP.txt","2-oxoisovalerate dehydrogenase subunit beta, mitochondrial OS=Bos taurus")</f>
        <v>2-oxoisovalerate dehydrogenase subunit beta, mitochondrial OS=Bos taurus</v>
      </c>
      <c r="AN165" s="19" t="str">
        <f>HYPERLINK("http://www.uniprot.org/uniprot/P21839","1E-030")</f>
        <v>1E-030</v>
      </c>
      <c r="AO165" t="str">
        <f>HYPERLINK(".\links\SWISSP\TI_asb-284-SWISSP.txt"," 10")</f>
        <v xml:space="preserve"> 10</v>
      </c>
      <c r="AP165" t="s">
        <v>1770</v>
      </c>
      <c r="AQ165">
        <v>132</v>
      </c>
      <c r="AR165">
        <v>75</v>
      </c>
      <c r="AS165">
        <v>392</v>
      </c>
      <c r="AT165">
        <v>73</v>
      </c>
      <c r="AU165">
        <v>19</v>
      </c>
      <c r="AV165">
        <v>20</v>
      </c>
      <c r="AW165">
        <v>0</v>
      </c>
      <c r="AX165">
        <v>318</v>
      </c>
      <c r="AY165">
        <v>286</v>
      </c>
      <c r="AZ165">
        <v>1</v>
      </c>
      <c r="BA165">
        <v>1</v>
      </c>
      <c r="BB165" t="s">
        <v>53</v>
      </c>
      <c r="BC165" t="s">
        <v>54</v>
      </c>
      <c r="BD165" t="s">
        <v>113</v>
      </c>
      <c r="BE165" t="s">
        <v>1771</v>
      </c>
      <c r="BF165" t="s">
        <v>1772</v>
      </c>
      <c r="BG165" t="str">
        <f>HYPERLINK(".\links\PREV-RHOD-PEP\TI_asb-284-PREV-RHOD-PEP.txt","Contig17911_124")</f>
        <v>Contig17911_124</v>
      </c>
      <c r="BH165" s="7">
        <v>7.9999999999999995E-29</v>
      </c>
      <c r="BI165" t="str">
        <f>HYPERLINK(".\links\PREV-RHOD-PEP\TI_asb-284-PREV-RHOD-PEP.txt"," 10")</f>
        <v xml:space="preserve"> 10</v>
      </c>
      <c r="BJ165" t="s">
        <v>1773</v>
      </c>
      <c r="BK165">
        <v>122</v>
      </c>
      <c r="BL165">
        <v>75</v>
      </c>
      <c r="BM165">
        <v>373</v>
      </c>
      <c r="BN165">
        <v>68</v>
      </c>
      <c r="BO165">
        <v>20</v>
      </c>
      <c r="BP165">
        <v>24</v>
      </c>
      <c r="BQ165">
        <v>0</v>
      </c>
      <c r="BR165">
        <v>299</v>
      </c>
      <c r="BS165">
        <v>286</v>
      </c>
      <c r="BT165">
        <v>1</v>
      </c>
      <c r="BU165" t="s">
        <v>54</v>
      </c>
      <c r="BV165" t="s">
        <v>1774</v>
      </c>
      <c r="BW165" t="s">
        <v>56</v>
      </c>
      <c r="BX165" t="str">
        <f>HYPERLINK(".\links\PREV-RHOD-CDS\TI_asb-284-PREV-RHOD-CDS.txt","Contig18051_93")</f>
        <v>Contig18051_93</v>
      </c>
      <c r="BY165" s="6">
        <v>0.99</v>
      </c>
      <c r="BZ165" t="s">
        <v>1775</v>
      </c>
      <c r="CA165">
        <v>34.200000000000003</v>
      </c>
      <c r="CB165">
        <v>16</v>
      </c>
      <c r="CC165">
        <v>2421</v>
      </c>
      <c r="CD165">
        <v>100</v>
      </c>
      <c r="CE165">
        <v>1</v>
      </c>
      <c r="CF165">
        <v>0</v>
      </c>
      <c r="CG165">
        <v>0</v>
      </c>
      <c r="CH165">
        <v>398</v>
      </c>
      <c r="CI165">
        <v>490</v>
      </c>
      <c r="CJ165">
        <v>1</v>
      </c>
      <c r="CK165" t="s">
        <v>54</v>
      </c>
      <c r="CL165" t="s">
        <v>1776</v>
      </c>
      <c r="CM165">
        <f>HYPERLINK(".\links\GO\TI_asb-284-GO.txt",4E-31)</f>
        <v>4.0000000000000003E-31</v>
      </c>
      <c r="CN165" t="s">
        <v>1777</v>
      </c>
      <c r="CO165" t="s">
        <v>129</v>
      </c>
      <c r="CP165" t="s">
        <v>130</v>
      </c>
      <c r="CQ165" t="s">
        <v>1778</v>
      </c>
      <c r="CR165" s="7">
        <v>4.0000000000000003E-31</v>
      </c>
      <c r="CS165" t="s">
        <v>60</v>
      </c>
      <c r="CT165" t="s">
        <v>60</v>
      </c>
      <c r="CV165" t="s">
        <v>61</v>
      </c>
      <c r="CW165" s="7">
        <v>4.0000000000000003E-31</v>
      </c>
      <c r="CX165" t="s">
        <v>1779</v>
      </c>
      <c r="CY165" t="s">
        <v>129</v>
      </c>
      <c r="CZ165" t="s">
        <v>130</v>
      </c>
      <c r="DA165" t="s">
        <v>1780</v>
      </c>
      <c r="DB165" s="7">
        <v>4.0000000000000003E-31</v>
      </c>
      <c r="DC165" t="str">
        <f>HYPERLINK(".\links\CDD\TI_asb-284-CDD.txt","PTZ00182")</f>
        <v>PTZ00182</v>
      </c>
      <c r="DD165" t="str">
        <f>HYPERLINK("http://www.ncbi.nlm.nih.gov/Structure/cdd/cddsrv.cgi?uid=PTZ00182&amp;version=v4.0","8E-035")</f>
        <v>8E-035</v>
      </c>
      <c r="DE165" t="s">
        <v>1781</v>
      </c>
      <c r="DF165" t="str">
        <f>HYPERLINK(".\links\PFAM\TI_asb-284-PFAM.txt","Transketolase_C")</f>
        <v>Transketolase_C</v>
      </c>
      <c r="DG165" t="str">
        <f>HYPERLINK("http://pfam.sanger.ac.uk/family?acc=PF02780","4E-017")</f>
        <v>4E-017</v>
      </c>
      <c r="DH165" t="str">
        <f>HYPERLINK(".\links\PRK\TI_asb-284-PRK.txt","3-methyl-2-oxobutanate dehydrogenase")</f>
        <v>3-methyl-2-oxobutanate dehydrogenase</v>
      </c>
      <c r="DI165" s="7">
        <v>2.9999999999999998E-31</v>
      </c>
      <c r="DJ165" s="6" t="str">
        <f>HYPERLINK(".\links\KOG\TI_asb-284-KOG.txt","Branched chain alpha-keto acid dehydrogenase E1, beta subunit")</f>
        <v>Branched chain alpha-keto acid dehydrogenase E1, beta subunit</v>
      </c>
      <c r="DK165" s="6" t="str">
        <f>HYPERLINK("http://www.ncbi.nlm.nih.gov/COG/grace/shokog.cgi?KOG0525","2E-036")</f>
        <v>2E-036</v>
      </c>
      <c r="DL165" s="6" t="s">
        <v>4349</v>
      </c>
      <c r="DM165" s="6" t="str">
        <f>HYPERLINK(".\links\KOG\TI_asb-284-KOG.txt","KOG0525")</f>
        <v>KOG0525</v>
      </c>
      <c r="DN165" t="str">
        <f>HYPERLINK(".\links\SMART\TI_asb-284-SMART.txt","ZnF_TAZ")</f>
        <v>ZnF_TAZ</v>
      </c>
      <c r="DO165" t="str">
        <f>HYPERLINK("http://smart.embl-heidelberg.de/smart/do_annotation.pl?DOMAIN=ZnF_TAZ&amp;BLAST=DUMMY","0.066")</f>
        <v>0.066</v>
      </c>
      <c r="DP165" s="3" t="s">
        <v>56</v>
      </c>
      <c r="ED165" s="3" t="s">
        <v>56</v>
      </c>
    </row>
    <row r="166" spans="1:134">
      <c r="A166" t="str">
        <f>HYPERLINK(".\links\seq\TI_asb-286-seq.txt","TI_asb-286")</f>
        <v>TI_asb-286</v>
      </c>
      <c r="B166">
        <v>286</v>
      </c>
      <c r="C166" t="str">
        <f>HYPERLINK(".\links\tsa\TI_asb-286-tsa.txt","1")</f>
        <v>1</v>
      </c>
      <c r="D166">
        <v>1</v>
      </c>
      <c r="E166">
        <v>425</v>
      </c>
      <c r="G166" t="str">
        <f>HYPERLINK(".\links\qual\TI_asb-286-qual.txt","28")</f>
        <v>28</v>
      </c>
      <c r="H166">
        <v>0</v>
      </c>
      <c r="I166">
        <v>1</v>
      </c>
      <c r="J166">
        <f t="shared" si="8"/>
        <v>1</v>
      </c>
      <c r="K166" s="6">
        <f t="shared" si="9"/>
        <v>-1</v>
      </c>
      <c r="L166" s="6" t="s">
        <v>3868</v>
      </c>
      <c r="M166" s="6" t="s">
        <v>3869</v>
      </c>
      <c r="N166" s="6"/>
      <c r="O166" s="6"/>
      <c r="P166" s="6"/>
      <c r="Q166" s="3">
        <v>425</v>
      </c>
      <c r="R166" s="3">
        <v>114</v>
      </c>
      <c r="S166" s="3" t="s">
        <v>3645</v>
      </c>
      <c r="T166" s="3">
        <v>4</v>
      </c>
      <c r="U166" t="str">
        <f>HYPERLINK(".\links\NR-LIGHT\TI_asb-286-NR-LIGHT.txt","hypothetical protein D2085.4")</f>
        <v>hypothetical protein D2085.4</v>
      </c>
      <c r="V166" t="str">
        <f>HYPERLINK("http://www.ncbi.nlm.nih.gov/sutils/blink.cgi?pid=17532705","0.54")</f>
        <v>0.54</v>
      </c>
      <c r="W166" t="str">
        <f>HYPERLINK(".\links\NR-LIGHT\TI_asb-286-NR-LIGHT.txt"," 1")</f>
        <v xml:space="preserve"> 1</v>
      </c>
      <c r="X166" t="str">
        <f>HYPERLINK("http://www.ncbi.nlm.nih.gov/protein/17532705","gi|17532705")</f>
        <v>gi|17532705</v>
      </c>
      <c r="Y166">
        <v>35.4</v>
      </c>
      <c r="Z166">
        <v>67</v>
      </c>
      <c r="AA166">
        <v>1001</v>
      </c>
      <c r="AB166">
        <v>35</v>
      </c>
      <c r="AC166">
        <v>7</v>
      </c>
      <c r="AD166">
        <v>43</v>
      </c>
      <c r="AE166">
        <v>1</v>
      </c>
      <c r="AF166">
        <v>185</v>
      </c>
      <c r="AG166">
        <v>190</v>
      </c>
      <c r="AH166">
        <v>1</v>
      </c>
      <c r="AI166">
        <v>-3</v>
      </c>
      <c r="AJ166" t="s">
        <v>53</v>
      </c>
      <c r="AK166" t="s">
        <v>64</v>
      </c>
      <c r="AL166" t="s">
        <v>385</v>
      </c>
      <c r="AM166" t="s">
        <v>56</v>
      </c>
      <c r="AN166" s="19" t="s">
        <v>56</v>
      </c>
      <c r="AO166" t="s">
        <v>56</v>
      </c>
      <c r="AP166" t="s">
        <v>56</v>
      </c>
      <c r="AQ166" t="s">
        <v>56</v>
      </c>
      <c r="AR166" t="s">
        <v>56</v>
      </c>
      <c r="AS166" t="s">
        <v>56</v>
      </c>
      <c r="AT166" t="s">
        <v>56</v>
      </c>
      <c r="AU166" t="s">
        <v>56</v>
      </c>
      <c r="AV166" t="s">
        <v>56</v>
      </c>
      <c r="AW166" t="s">
        <v>56</v>
      </c>
      <c r="AX166" t="s">
        <v>56</v>
      </c>
      <c r="AY166" t="s">
        <v>56</v>
      </c>
      <c r="AZ166" t="s">
        <v>56</v>
      </c>
      <c r="BA166" t="s">
        <v>56</v>
      </c>
      <c r="BB166" t="s">
        <v>56</v>
      </c>
      <c r="BC166" t="s">
        <v>56</v>
      </c>
      <c r="BD166" t="s">
        <v>56</v>
      </c>
      <c r="BE166" t="s">
        <v>56</v>
      </c>
      <c r="BF166" t="s">
        <v>56</v>
      </c>
      <c r="BG166" t="str">
        <f>HYPERLINK(".\links\PREV-RHOD-PEP\TI_asb-286-PREV-RHOD-PEP.txt","Contig17854_42")</f>
        <v>Contig17854_42</v>
      </c>
      <c r="BH166" s="6">
        <v>7.3</v>
      </c>
      <c r="BI166" t="str">
        <f>HYPERLINK(".\links\PREV-RHOD-PEP\TI_asb-286-PREV-RHOD-PEP.txt"," 1")</f>
        <v xml:space="preserve"> 1</v>
      </c>
      <c r="BJ166" t="s">
        <v>1782</v>
      </c>
      <c r="BK166">
        <v>25.8</v>
      </c>
      <c r="BL166">
        <v>17</v>
      </c>
      <c r="BM166">
        <v>99</v>
      </c>
      <c r="BN166">
        <v>52</v>
      </c>
      <c r="BO166">
        <v>17</v>
      </c>
      <c r="BP166">
        <v>8</v>
      </c>
      <c r="BQ166">
        <v>0</v>
      </c>
      <c r="BR166">
        <v>68</v>
      </c>
      <c r="BS166">
        <v>175</v>
      </c>
      <c r="BT166">
        <v>1</v>
      </c>
      <c r="BU166" t="s">
        <v>54</v>
      </c>
      <c r="BV166" t="s">
        <v>1783</v>
      </c>
      <c r="BW166" t="s">
        <v>56</v>
      </c>
      <c r="BX166" t="str">
        <f>HYPERLINK(".\links\PREV-RHOD-CDS\TI_asb-286-PREV-RHOD-CDS.txt","Contig18034_56")</f>
        <v>Contig18034_56</v>
      </c>
      <c r="BY166" s="6">
        <v>5.2999999999999999E-2</v>
      </c>
      <c r="BZ166" t="s">
        <v>1784</v>
      </c>
      <c r="CA166">
        <v>38.200000000000003</v>
      </c>
      <c r="CB166">
        <v>18</v>
      </c>
      <c r="CC166">
        <v>435</v>
      </c>
      <c r="CD166">
        <v>100</v>
      </c>
      <c r="CE166">
        <v>4</v>
      </c>
      <c r="CF166">
        <v>0</v>
      </c>
      <c r="CG166">
        <v>0</v>
      </c>
      <c r="CH166">
        <v>272</v>
      </c>
      <c r="CI166">
        <v>223</v>
      </c>
      <c r="CJ166">
        <v>1</v>
      </c>
      <c r="CK166" t="s">
        <v>64</v>
      </c>
      <c r="CL166" t="s">
        <v>1785</v>
      </c>
      <c r="CM166">
        <f>HYPERLINK(".\links\GO\TI_asb-286-GO.txt",0.036)</f>
        <v>3.5999999999999997E-2</v>
      </c>
      <c r="CN166" t="s">
        <v>56</v>
      </c>
      <c r="CO166" t="s">
        <v>56</v>
      </c>
      <c r="CP166" t="s">
        <v>56</v>
      </c>
      <c r="CQ166" t="s">
        <v>56</v>
      </c>
      <c r="CR166" s="5" t="s">
        <v>56</v>
      </c>
      <c r="CS166" t="s">
        <v>56</v>
      </c>
      <c r="CT166" t="s">
        <v>56</v>
      </c>
      <c r="CU166" t="s">
        <v>56</v>
      </c>
      <c r="CV166" t="s">
        <v>56</v>
      </c>
      <c r="CW166" s="5" t="s">
        <v>56</v>
      </c>
      <c r="CX166" t="s">
        <v>1786</v>
      </c>
      <c r="CY166" t="s">
        <v>129</v>
      </c>
      <c r="CZ166" t="s">
        <v>130</v>
      </c>
      <c r="DA166" t="s">
        <v>1787</v>
      </c>
      <c r="DB166" s="5">
        <v>3.5999999999999997E-2</v>
      </c>
      <c r="DC166" t="str">
        <f>HYPERLINK(".\links\CDD\TI_asb-286-CDD.txt","7TM_GPCR_Srz")</f>
        <v>7TM_GPCR_Srz</v>
      </c>
      <c r="DD166" t="str">
        <f>HYPERLINK("http://www.ncbi.nlm.nih.gov/Structure/cdd/cddsrv.cgi?uid=pfam10325&amp;version=v4.0","0.012")</f>
        <v>0.012</v>
      </c>
      <c r="DE166" t="s">
        <v>1788</v>
      </c>
      <c r="DF166" t="str">
        <f>HYPERLINK(".\links\PFAM\TI_asb-286-PFAM.txt","7TM_GPCR_Srz")</f>
        <v>7TM_GPCR_Srz</v>
      </c>
      <c r="DG166" t="str">
        <f>HYPERLINK("http://pfam.sanger.ac.uk/family?acc=PF10325","0.003")</f>
        <v>0.003</v>
      </c>
      <c r="DH166" t="str">
        <f>HYPERLINK(".\links\PRK\TI_asb-286-PRK.txt","NADH dehydrogenase subunit 4")</f>
        <v>NADH dehydrogenase subunit 4</v>
      </c>
      <c r="DI166" s="6">
        <v>1.2E-2</v>
      </c>
      <c r="DJ166" s="6" t="s">
        <v>56</v>
      </c>
      <c r="DN166" t="str">
        <f>HYPERLINK(".\links\SMART\TI_asb-286-SMART.txt","AgrB")</f>
        <v>AgrB</v>
      </c>
      <c r="DO166" t="str">
        <f>HYPERLINK("http://smart.embl-heidelberg.de/smart/do_annotation.pl?DOMAIN=AgrB&amp;BLAST=DUMMY","0.022")</f>
        <v>0.022</v>
      </c>
      <c r="DP166" s="3" t="s">
        <v>56</v>
      </c>
      <c r="ED166" s="3" t="s">
        <v>56</v>
      </c>
    </row>
    <row r="167" spans="1:134">
      <c r="A167" t="str">
        <f>HYPERLINK(".\links\seq\TI_asb-287-seq.txt","TI_asb-287")</f>
        <v>TI_asb-287</v>
      </c>
      <c r="B167">
        <v>287</v>
      </c>
      <c r="C167" t="str">
        <f>HYPERLINK(".\links\tsa\TI_asb-287-tsa.txt","2")</f>
        <v>2</v>
      </c>
      <c r="D167">
        <v>2</v>
      </c>
      <c r="E167">
        <v>718</v>
      </c>
      <c r="G167" t="str">
        <f>HYPERLINK(".\links\qual\TI_asb-287-qual.txt","79")</f>
        <v>79</v>
      </c>
      <c r="H167">
        <v>0</v>
      </c>
      <c r="I167">
        <v>2</v>
      </c>
      <c r="J167">
        <f t="shared" si="8"/>
        <v>2</v>
      </c>
      <c r="K167" s="6">
        <f t="shared" si="9"/>
        <v>-2</v>
      </c>
      <c r="L167" s="6" t="s">
        <v>3868</v>
      </c>
      <c r="M167" s="6" t="s">
        <v>3869</v>
      </c>
      <c r="N167" s="6"/>
      <c r="O167" s="6"/>
      <c r="P167" s="6"/>
      <c r="Q167" s="3">
        <v>718</v>
      </c>
      <c r="R167" s="3">
        <v>216</v>
      </c>
      <c r="S167" s="6" t="s">
        <v>3646</v>
      </c>
      <c r="T167" s="3">
        <v>5</v>
      </c>
      <c r="U167" t="s">
        <v>56</v>
      </c>
      <c r="V167" t="s">
        <v>56</v>
      </c>
      <c r="W167" t="s">
        <v>56</v>
      </c>
      <c r="X167" t="s">
        <v>56</v>
      </c>
      <c r="Y167" t="s">
        <v>56</v>
      </c>
      <c r="Z167" t="s">
        <v>56</v>
      </c>
      <c r="AA167" t="s">
        <v>56</v>
      </c>
      <c r="AB167" t="s">
        <v>56</v>
      </c>
      <c r="AC167" t="s">
        <v>56</v>
      </c>
      <c r="AD167" t="s">
        <v>56</v>
      </c>
      <c r="AE167" t="s">
        <v>56</v>
      </c>
      <c r="AF167" t="s">
        <v>56</v>
      </c>
      <c r="AG167" t="s">
        <v>56</v>
      </c>
      <c r="AH167" t="s">
        <v>56</v>
      </c>
      <c r="AI167" t="s">
        <v>56</v>
      </c>
      <c r="AJ167" t="s">
        <v>56</v>
      </c>
      <c r="AK167" t="s">
        <v>56</v>
      </c>
      <c r="AL167" t="s">
        <v>56</v>
      </c>
      <c r="AM167" t="str">
        <f>HYPERLINK(".\links\SWISSP\TI_asb-287-SWISSP.txt","DNA-directed RNA polymerase subunit beta'' OS=Plasmodium falciparum GN=rpoC2")</f>
        <v>DNA-directed RNA polymerase subunit beta'' OS=Plasmodium falciparum GN=rpoC2</v>
      </c>
      <c r="AN167" s="19" t="str">
        <f>HYPERLINK("http://www.uniprot.org/uniprot/Q25802","5.4")</f>
        <v>5.4</v>
      </c>
      <c r="AO167" t="str">
        <f>HYPERLINK(".\links\SWISSP\TI_asb-287-SWISSP.txt"," 2")</f>
        <v xml:space="preserve"> 2</v>
      </c>
      <c r="AP167" t="s">
        <v>1789</v>
      </c>
      <c r="AQ167">
        <v>31.6</v>
      </c>
      <c r="AR167">
        <v>121</v>
      </c>
      <c r="AS167">
        <v>960</v>
      </c>
      <c r="AT167">
        <v>27</v>
      </c>
      <c r="AU167">
        <v>13</v>
      </c>
      <c r="AV167">
        <v>88</v>
      </c>
      <c r="AW167">
        <v>25</v>
      </c>
      <c r="AX167">
        <v>385</v>
      </c>
      <c r="AY167">
        <v>399</v>
      </c>
      <c r="AZ167">
        <v>1</v>
      </c>
      <c r="BA167">
        <v>-3</v>
      </c>
      <c r="BB167" t="s">
        <v>53</v>
      </c>
      <c r="BC167" t="s">
        <v>64</v>
      </c>
      <c r="BD167" t="s">
        <v>1790</v>
      </c>
      <c r="BE167" t="s">
        <v>1791</v>
      </c>
      <c r="BF167" t="s">
        <v>1792</v>
      </c>
      <c r="BG167" t="str">
        <f>HYPERLINK(".\links\PREV-RHOD-PEP\TI_asb-287-PREV-RHOD-PEP.txt","Contig17635_16")</f>
        <v>Contig17635_16</v>
      </c>
      <c r="BH167" s="6">
        <v>2.8</v>
      </c>
      <c r="BI167" t="str">
        <f>HYPERLINK(".\links\PREV-RHOD-PEP\TI_asb-287-PREV-RHOD-PEP.txt"," 2")</f>
        <v xml:space="preserve"> 2</v>
      </c>
      <c r="BJ167" t="s">
        <v>1793</v>
      </c>
      <c r="BK167">
        <v>28.5</v>
      </c>
      <c r="BL167">
        <v>34</v>
      </c>
      <c r="BM167">
        <v>612</v>
      </c>
      <c r="BN167">
        <v>41</v>
      </c>
      <c r="BO167">
        <v>6</v>
      </c>
      <c r="BP167">
        <v>20</v>
      </c>
      <c r="BQ167">
        <v>0</v>
      </c>
      <c r="BR167">
        <v>460</v>
      </c>
      <c r="BS167">
        <v>558</v>
      </c>
      <c r="BT167">
        <v>1</v>
      </c>
      <c r="BU167" t="s">
        <v>64</v>
      </c>
      <c r="BV167" t="s">
        <v>1794</v>
      </c>
      <c r="BW167" t="s">
        <v>56</v>
      </c>
      <c r="BX167" t="str">
        <f>HYPERLINK(".\links\PREV-RHOD-CDS\TI_asb-287-PREV-RHOD-CDS.txt","Contig17778_42")</f>
        <v>Contig17778_42</v>
      </c>
      <c r="BY167" s="6">
        <v>6.0000000000000001E-3</v>
      </c>
      <c r="BZ167" t="s">
        <v>1795</v>
      </c>
      <c r="CA167">
        <v>42.1</v>
      </c>
      <c r="CB167">
        <v>20</v>
      </c>
      <c r="CC167">
        <v>1503</v>
      </c>
      <c r="CD167">
        <v>100</v>
      </c>
      <c r="CE167">
        <v>1</v>
      </c>
      <c r="CF167">
        <v>0</v>
      </c>
      <c r="CG167">
        <v>0</v>
      </c>
      <c r="CH167">
        <v>527</v>
      </c>
      <c r="CI167">
        <v>276</v>
      </c>
      <c r="CJ167">
        <v>1</v>
      </c>
      <c r="CK167" t="s">
        <v>64</v>
      </c>
      <c r="CL167" t="s">
        <v>1796</v>
      </c>
      <c r="CM167">
        <f>HYPERLINK(".\links\GO\TI_asb-287-GO.txt",5.9)</f>
        <v>5.9</v>
      </c>
      <c r="CN167" t="s">
        <v>58</v>
      </c>
      <c r="CO167" t="s">
        <v>58</v>
      </c>
      <c r="CQ167" t="s">
        <v>59</v>
      </c>
      <c r="CR167" s="6">
        <v>5.9</v>
      </c>
      <c r="CS167" t="s">
        <v>499</v>
      </c>
      <c r="CT167" t="s">
        <v>75</v>
      </c>
      <c r="CU167" t="s">
        <v>92</v>
      </c>
      <c r="CV167" t="s">
        <v>500</v>
      </c>
      <c r="CW167" s="6">
        <v>5.9</v>
      </c>
      <c r="CX167" t="s">
        <v>62</v>
      </c>
      <c r="CY167" t="s">
        <v>58</v>
      </c>
      <c r="DA167" t="s">
        <v>63</v>
      </c>
      <c r="DB167" s="6">
        <v>5.9</v>
      </c>
      <c r="DC167" t="str">
        <f>HYPERLINK(".\links\CDD\TI_asb-287-CDD.txt","PRK07164")</f>
        <v>PRK07164</v>
      </c>
      <c r="DD167" t="str">
        <f>HYPERLINK("http://www.ncbi.nlm.nih.gov/Structure/cdd/cddsrv.cgi?uid=PRK07164&amp;version=v4.0","0.021")</f>
        <v>0.021</v>
      </c>
      <c r="DE167" t="s">
        <v>1797</v>
      </c>
      <c r="DF167" t="str">
        <f>HYPERLINK(".\links\PFAM\TI_asb-287-PFAM.txt","7TM_GPCR_Srh")</f>
        <v>7TM_GPCR_Srh</v>
      </c>
      <c r="DG167" t="str">
        <f>HYPERLINK("http://pfam.sanger.ac.uk/family?acc=PF10318","0.001")</f>
        <v>0.001</v>
      </c>
      <c r="DH167" t="str">
        <f>HYPERLINK(".\links\PRK\TI_asb-287-PRK.txt","NADH dehydrogenase subunit 5")</f>
        <v>NADH dehydrogenase subunit 5</v>
      </c>
      <c r="DI167" s="6">
        <v>4.0000000000000001E-3</v>
      </c>
      <c r="DJ167" s="6" t="s">
        <v>56</v>
      </c>
      <c r="DN167" t="str">
        <f>HYPERLINK(".\links\SMART\TI_asb-287-SMART.txt","AgrB")</f>
        <v>AgrB</v>
      </c>
      <c r="DO167" t="str">
        <f>HYPERLINK("http://smart.embl-heidelberg.de/smart/do_annotation.pl?DOMAIN=AgrB&amp;BLAST=DUMMY","0.051")</f>
        <v>0.051</v>
      </c>
      <c r="DP167" s="3" t="s">
        <v>56</v>
      </c>
      <c r="ED167" s="3" t="s">
        <v>56</v>
      </c>
    </row>
    <row r="168" spans="1:134">
      <c r="A168" t="str">
        <f>HYPERLINK(".\links\seq\TI_asb-288-seq.txt","TI_asb-288")</f>
        <v>TI_asb-288</v>
      </c>
      <c r="B168">
        <v>288</v>
      </c>
      <c r="C168" t="str">
        <f>HYPERLINK(".\links\tsa\TI_asb-288-tsa.txt","2")</f>
        <v>2</v>
      </c>
      <c r="D168">
        <v>2</v>
      </c>
      <c r="E168">
        <v>822</v>
      </c>
      <c r="G168" t="str">
        <f>HYPERLINK(".\links\qual\TI_asb-288-qual.txt","59")</f>
        <v>59</v>
      </c>
      <c r="H168">
        <v>1</v>
      </c>
      <c r="I168">
        <v>1</v>
      </c>
      <c r="J168">
        <f t="shared" si="8"/>
        <v>0</v>
      </c>
      <c r="K168" s="6">
        <f t="shared" si="9"/>
        <v>0</v>
      </c>
      <c r="L168" s="6" t="s">
        <v>3868</v>
      </c>
      <c r="M168" s="6" t="s">
        <v>3869</v>
      </c>
      <c r="N168" s="6"/>
      <c r="O168" s="6"/>
      <c r="P168" s="6"/>
      <c r="Q168" s="3">
        <v>822</v>
      </c>
      <c r="R168" s="3">
        <v>630</v>
      </c>
      <c r="S168" s="3" t="s">
        <v>3647</v>
      </c>
      <c r="T168" s="3">
        <v>1</v>
      </c>
      <c r="U168" t="str">
        <f>HYPERLINK(".\links\NR-LIGHT\TI_asb-288-NR-LIGHT.txt","cellular myosin heavy chain")</f>
        <v>cellular myosin heavy chain</v>
      </c>
      <c r="V168" t="str">
        <f>HYPERLINK("http://www.ncbi.nlm.nih.gov/sutils/blink.cgi?pid=256082567","0.065")</f>
        <v>0.065</v>
      </c>
      <c r="W168" t="str">
        <f>HYPERLINK(".\links\NR-LIGHT\TI_asb-288-NR-LIGHT.txt"," 7")</f>
        <v xml:space="preserve"> 7</v>
      </c>
      <c r="X168" t="str">
        <f>HYPERLINK("http://www.ncbi.nlm.nih.gov/protein/256082567","gi|256082567")</f>
        <v>gi|256082567</v>
      </c>
      <c r="Y168">
        <v>40.4</v>
      </c>
      <c r="Z168">
        <v>133</v>
      </c>
      <c r="AA168">
        <v>542</v>
      </c>
      <c r="AB168">
        <v>21</v>
      </c>
      <c r="AC168">
        <v>25</v>
      </c>
      <c r="AD168">
        <v>105</v>
      </c>
      <c r="AE168">
        <v>1</v>
      </c>
      <c r="AF168">
        <v>204</v>
      </c>
      <c r="AG168">
        <v>193</v>
      </c>
      <c r="AH168">
        <v>1</v>
      </c>
      <c r="AI168">
        <v>1</v>
      </c>
      <c r="AJ168" t="s">
        <v>53</v>
      </c>
      <c r="AK168" t="s">
        <v>54</v>
      </c>
      <c r="AL168" t="s">
        <v>1761</v>
      </c>
      <c r="AM168" t="str">
        <f>HYPERLINK(".\links\SWISSP\TI_asb-288-SWISSP.txt","GRIP and coiled-coil domain-containing protein PFC0235w OS=Plasmodium falciparum")</f>
        <v>GRIP and coiled-coil domain-containing protein PFC0235w OS=Plasmodium falciparum</v>
      </c>
      <c r="AN168" s="19" t="str">
        <f>HYPERLINK("http://www.uniprot.org/uniprot/O97237","0.62")</f>
        <v>0.62</v>
      </c>
      <c r="AO168" t="str">
        <f>HYPERLINK(".\links\SWISSP\TI_asb-288-SWISSP.txt"," 10")</f>
        <v xml:space="preserve"> 10</v>
      </c>
      <c r="AP168" t="s">
        <v>1798</v>
      </c>
      <c r="AQ168">
        <v>35</v>
      </c>
      <c r="AR168">
        <v>54</v>
      </c>
      <c r="AS168">
        <v>1139</v>
      </c>
      <c r="AT168">
        <v>33</v>
      </c>
      <c r="AU168">
        <v>5</v>
      </c>
      <c r="AV168">
        <v>36</v>
      </c>
      <c r="AW168">
        <v>0</v>
      </c>
      <c r="AX168">
        <v>778</v>
      </c>
      <c r="AY168">
        <v>415</v>
      </c>
      <c r="AZ168">
        <v>1</v>
      </c>
      <c r="BA168">
        <v>1</v>
      </c>
      <c r="BB168" t="s">
        <v>53</v>
      </c>
      <c r="BC168" t="s">
        <v>54</v>
      </c>
      <c r="BD168" t="s">
        <v>1763</v>
      </c>
      <c r="BE168" t="s">
        <v>1799</v>
      </c>
      <c r="BF168" t="s">
        <v>1800</v>
      </c>
      <c r="BG168" t="str">
        <f>HYPERLINK(".\links\PREV-RHOD-PEP\TI_asb-288-PREV-RHOD-PEP.txt","Contig7471_2")</f>
        <v>Contig7471_2</v>
      </c>
      <c r="BH168" s="7">
        <v>9.9999999999999994E-50</v>
      </c>
      <c r="BI168" t="str">
        <f>HYPERLINK(".\links\PREV-RHOD-PEP\TI_asb-288-PREV-RHOD-PEP.txt"," 10")</f>
        <v xml:space="preserve"> 10</v>
      </c>
      <c r="BJ168" t="s">
        <v>1188</v>
      </c>
      <c r="BK168">
        <v>192</v>
      </c>
      <c r="BL168">
        <v>187</v>
      </c>
      <c r="BM168">
        <v>410</v>
      </c>
      <c r="BN168">
        <v>51</v>
      </c>
      <c r="BO168">
        <v>46</v>
      </c>
      <c r="BP168">
        <v>91</v>
      </c>
      <c r="BQ168">
        <v>0</v>
      </c>
      <c r="BR168">
        <v>143</v>
      </c>
      <c r="BS168">
        <v>34</v>
      </c>
      <c r="BT168">
        <v>1</v>
      </c>
      <c r="BU168" t="s">
        <v>54</v>
      </c>
      <c r="BV168" t="s">
        <v>1801</v>
      </c>
      <c r="BW168" t="s">
        <v>439</v>
      </c>
      <c r="BX168" t="str">
        <f>HYPERLINK(".\links\PREV-RHOD-CDS\TI_asb-288-PREV-RHOD-CDS.txt","Contig17651_7")</f>
        <v>Contig17651_7</v>
      </c>
      <c r="BY168" s="6">
        <v>2.5999999999999999E-2</v>
      </c>
      <c r="BZ168" t="s">
        <v>1190</v>
      </c>
      <c r="CA168">
        <v>40.1</v>
      </c>
      <c r="CB168">
        <v>19</v>
      </c>
      <c r="CC168">
        <v>632</v>
      </c>
      <c r="CD168">
        <v>100</v>
      </c>
      <c r="CE168">
        <v>3</v>
      </c>
      <c r="CF168">
        <v>0</v>
      </c>
      <c r="CG168">
        <v>0</v>
      </c>
      <c r="CH168">
        <v>147</v>
      </c>
      <c r="CI168">
        <v>483</v>
      </c>
      <c r="CJ168">
        <v>1</v>
      </c>
      <c r="CK168" t="s">
        <v>54</v>
      </c>
      <c r="CL168" t="s">
        <v>1802</v>
      </c>
      <c r="CM168">
        <f>HYPERLINK(".\links\GO\TI_asb-288-GO.txt",1.5)</f>
        <v>1.5</v>
      </c>
      <c r="CN168" t="s">
        <v>1803</v>
      </c>
      <c r="CO168" t="s">
        <v>1012</v>
      </c>
      <c r="CP168" t="s">
        <v>1631</v>
      </c>
      <c r="CQ168" t="s">
        <v>1804</v>
      </c>
      <c r="CR168" s="6">
        <v>1.9</v>
      </c>
      <c r="CS168" t="s">
        <v>1805</v>
      </c>
      <c r="CT168" t="s">
        <v>75</v>
      </c>
      <c r="CU168" t="s">
        <v>76</v>
      </c>
      <c r="CV168" t="s">
        <v>1806</v>
      </c>
      <c r="CW168" s="6">
        <v>1.9</v>
      </c>
      <c r="CX168" t="s">
        <v>1807</v>
      </c>
      <c r="CY168" t="s">
        <v>1012</v>
      </c>
      <c r="CZ168" t="s">
        <v>1631</v>
      </c>
      <c r="DA168" t="s">
        <v>1808</v>
      </c>
      <c r="DB168" s="6">
        <v>1.9</v>
      </c>
      <c r="DC168" t="str">
        <f>HYPERLINK(".\links\CDD\TI_asb-288-CDD.txt","TatC")</f>
        <v>TatC</v>
      </c>
      <c r="DD168" t="str">
        <f>HYPERLINK("http://www.ncbi.nlm.nih.gov/Structure/cdd/cddsrv.cgi?uid=pfam00902&amp;version=v4.0","0.051")</f>
        <v>0.051</v>
      </c>
      <c r="DE168" t="s">
        <v>1809</v>
      </c>
      <c r="DF168" t="str">
        <f>HYPERLINK(".\links\PFAM\TI_asb-288-PFAM.txt","SGT1")</f>
        <v>SGT1</v>
      </c>
      <c r="DG168" t="str">
        <f>HYPERLINK("http://pfam.sanger.ac.uk/family?acc=PF07093","0.088")</f>
        <v>0.088</v>
      </c>
      <c r="DH168" t="str">
        <f>HYPERLINK(".\links\PRK\TI_asb-288-PRK.txt","reticulocyte binding protein 2-like protein")</f>
        <v>reticulocyte binding protein 2-like protein</v>
      </c>
      <c r="DI168" s="6">
        <v>8.9999999999999993E-3</v>
      </c>
      <c r="DJ168" s="6" t="s">
        <v>56</v>
      </c>
      <c r="DN168" t="s">
        <v>56</v>
      </c>
      <c r="DO168" t="s">
        <v>56</v>
      </c>
      <c r="DP168" s="3" t="s">
        <v>56</v>
      </c>
      <c r="ED168" s="3" t="s">
        <v>56</v>
      </c>
    </row>
    <row r="169" spans="1:134">
      <c r="A169" t="str">
        <f>HYPERLINK(".\links\seq\TI_asb-289-seq.txt","TI_asb-289")</f>
        <v>TI_asb-289</v>
      </c>
      <c r="B169">
        <v>289</v>
      </c>
      <c r="C169" t="str">
        <f>HYPERLINK(".\links\tsa\TI_asb-289-tsa.txt","6")</f>
        <v>6</v>
      </c>
      <c r="D169">
        <v>6</v>
      </c>
      <c r="E169">
        <v>1004</v>
      </c>
      <c r="F169">
        <v>722</v>
      </c>
      <c r="G169" t="str">
        <f>HYPERLINK(".\links\qual\TI_asb-289-qual.txt","56")</f>
        <v>56</v>
      </c>
      <c r="H169">
        <v>1</v>
      </c>
      <c r="I169">
        <v>5</v>
      </c>
      <c r="J169">
        <f t="shared" si="8"/>
        <v>4</v>
      </c>
      <c r="K169" s="6">
        <f t="shared" si="9"/>
        <v>-4</v>
      </c>
      <c r="L169" s="6" t="s">
        <v>3932</v>
      </c>
      <c r="M169" s="6" t="s">
        <v>3912</v>
      </c>
      <c r="N169" s="6" t="str">
        <f>HYPERLINK(".\links\PFAM\TI_asb-289-PFAM.txt","PFAM")</f>
        <v>PFAM</v>
      </c>
      <c r="O169" s="6">
        <v>3E-10</v>
      </c>
      <c r="P169" s="6">
        <v>64.2</v>
      </c>
      <c r="Q169" s="3">
        <v>1004</v>
      </c>
      <c r="R169" s="3">
        <v>177</v>
      </c>
      <c r="S169" s="3" t="s">
        <v>3648</v>
      </c>
      <c r="T169" s="3">
        <v>6</v>
      </c>
      <c r="U169" t="str">
        <f>HYPERLINK(".\links\NR-LIGHT\TI_asb-289-NR-LIGHT.txt","hypothetical protein HMPREF9422_1833")</f>
        <v>hypothetical protein HMPREF9422_1833</v>
      </c>
      <c r="V169" t="str">
        <f>HYPERLINK("http://www.ncbi.nlm.nih.gov/sutils/blink.cgi?pid=322386844","8.5")</f>
        <v>8.5</v>
      </c>
      <c r="W169" t="str">
        <f>HYPERLINK(".\links\NR-LIGHT\TI_asb-289-NR-LIGHT.txt"," 1")</f>
        <v xml:space="preserve"> 1</v>
      </c>
      <c r="X169" t="str">
        <f>HYPERLINK("http://www.ncbi.nlm.nih.gov/protein/322386844","gi|322386844")</f>
        <v>gi|322386844</v>
      </c>
      <c r="Y169">
        <v>33.9</v>
      </c>
      <c r="Z169">
        <v>44</v>
      </c>
      <c r="AA169">
        <v>84</v>
      </c>
      <c r="AB169">
        <v>43</v>
      </c>
      <c r="AC169">
        <v>52</v>
      </c>
      <c r="AD169">
        <v>25</v>
      </c>
      <c r="AE169">
        <v>0</v>
      </c>
      <c r="AF169">
        <v>26</v>
      </c>
      <c r="AG169">
        <v>445</v>
      </c>
      <c r="AH169">
        <v>1</v>
      </c>
      <c r="AI169">
        <v>-3</v>
      </c>
      <c r="AJ169" t="s">
        <v>53</v>
      </c>
      <c r="AK169" t="s">
        <v>64</v>
      </c>
      <c r="AL169" t="s">
        <v>1810</v>
      </c>
      <c r="AM169" t="s">
        <v>56</v>
      </c>
      <c r="AN169" s="19" t="s">
        <v>56</v>
      </c>
      <c r="AO169" t="s">
        <v>56</v>
      </c>
      <c r="AP169" t="s">
        <v>56</v>
      </c>
      <c r="AQ169" t="s">
        <v>56</v>
      </c>
      <c r="AR169" t="s">
        <v>56</v>
      </c>
      <c r="AS169" t="s">
        <v>56</v>
      </c>
      <c r="AT169" t="s">
        <v>56</v>
      </c>
      <c r="AU169" t="s">
        <v>56</v>
      </c>
      <c r="AV169" t="s">
        <v>56</v>
      </c>
      <c r="AW169" t="s">
        <v>56</v>
      </c>
      <c r="AX169" t="s">
        <v>56</v>
      </c>
      <c r="AY169" t="s">
        <v>56</v>
      </c>
      <c r="AZ169" t="s">
        <v>56</v>
      </c>
      <c r="BA169" t="s">
        <v>56</v>
      </c>
      <c r="BB169" t="s">
        <v>56</v>
      </c>
      <c r="BC169" t="s">
        <v>56</v>
      </c>
      <c r="BD169" t="s">
        <v>56</v>
      </c>
      <c r="BE169" t="s">
        <v>56</v>
      </c>
      <c r="BF169" t="s">
        <v>56</v>
      </c>
      <c r="BG169" t="s">
        <v>56</v>
      </c>
      <c r="BH169" s="6" t="s">
        <v>56</v>
      </c>
      <c r="BI169" t="s">
        <v>56</v>
      </c>
      <c r="BJ169" t="s">
        <v>56</v>
      </c>
      <c r="BK169" t="s">
        <v>56</v>
      </c>
      <c r="BL169" t="s">
        <v>56</v>
      </c>
      <c r="BM169" t="s">
        <v>56</v>
      </c>
      <c r="BN169" t="s">
        <v>56</v>
      </c>
      <c r="BO169" t="s">
        <v>56</v>
      </c>
      <c r="BP169" t="s">
        <v>56</v>
      </c>
      <c r="BQ169" t="s">
        <v>56</v>
      </c>
      <c r="BR169" t="s">
        <v>56</v>
      </c>
      <c r="BS169" t="s">
        <v>56</v>
      </c>
      <c r="BT169" t="s">
        <v>56</v>
      </c>
      <c r="BU169" t="s">
        <v>56</v>
      </c>
      <c r="BV169" t="s">
        <v>56</v>
      </c>
      <c r="BW169" t="s">
        <v>56</v>
      </c>
      <c r="BX169" t="str">
        <f>HYPERLINK(".\links\PREV-RHOD-CDS\TI_asb-289-PREV-RHOD-CDS.txt","Contig17967_35")</f>
        <v>Contig17967_35</v>
      </c>
      <c r="BY169" s="6">
        <v>0.5</v>
      </c>
      <c r="BZ169" t="s">
        <v>1811</v>
      </c>
      <c r="CA169">
        <v>36.200000000000003</v>
      </c>
      <c r="CB169">
        <v>21</v>
      </c>
      <c r="CC169">
        <v>2472</v>
      </c>
      <c r="CD169">
        <v>95</v>
      </c>
      <c r="CE169">
        <v>1</v>
      </c>
      <c r="CF169">
        <v>1</v>
      </c>
      <c r="CG169">
        <v>0</v>
      </c>
      <c r="CH169">
        <v>52</v>
      </c>
      <c r="CI169">
        <v>251</v>
      </c>
      <c r="CJ169">
        <v>1</v>
      </c>
      <c r="CK169" t="s">
        <v>64</v>
      </c>
      <c r="CL169" t="s">
        <v>1812</v>
      </c>
      <c r="CM169">
        <f>HYPERLINK(".\links\GO\TI_asb-289-GO.txt",6.5)</f>
        <v>6.5</v>
      </c>
      <c r="CN169" t="s">
        <v>56</v>
      </c>
      <c r="CO169" t="s">
        <v>56</v>
      </c>
      <c r="CP169" t="s">
        <v>56</v>
      </c>
      <c r="CQ169" t="s">
        <v>56</v>
      </c>
      <c r="CR169" s="6" t="s">
        <v>56</v>
      </c>
      <c r="CS169" t="s">
        <v>56</v>
      </c>
      <c r="CT169" t="s">
        <v>56</v>
      </c>
      <c r="CU169" t="s">
        <v>56</v>
      </c>
      <c r="CV169" t="s">
        <v>56</v>
      </c>
      <c r="CW169" s="6" t="s">
        <v>56</v>
      </c>
      <c r="CX169" t="s">
        <v>543</v>
      </c>
      <c r="CY169" t="s">
        <v>1012</v>
      </c>
      <c r="CZ169" t="s">
        <v>1631</v>
      </c>
      <c r="DA169" t="s">
        <v>544</v>
      </c>
      <c r="DB169" s="6">
        <v>6.5</v>
      </c>
      <c r="DC169" t="str">
        <f>HYPERLINK(".\links\CDD\TI_asb-289-CDD.txt","7tm_4")</f>
        <v>7tm_4</v>
      </c>
      <c r="DD169" t="str">
        <f>HYPERLINK("http://www.ncbi.nlm.nih.gov/Structure/cdd/cddsrv.cgi?uid=pfam01461&amp;version=v4.0","8E-007")</f>
        <v>8E-007</v>
      </c>
      <c r="DE169" t="s">
        <v>1813</v>
      </c>
      <c r="DF169" t="str">
        <f>HYPERLINK(".\links\PFAM\TI_asb-289-PFAM.txt","7TM_GPCR_Srz")</f>
        <v>7TM_GPCR_Srz</v>
      </c>
      <c r="DG169" t="str">
        <f>HYPERLINK("http://pfam.sanger.ac.uk/family?acc=PF10325","3E-010")</f>
        <v>3E-010</v>
      </c>
      <c r="DH169" t="str">
        <f>HYPERLINK(".\links\PRK\TI_asb-289-PRK.txt","NADH dehydrogenase subunit 2")</f>
        <v>NADH dehydrogenase subunit 2</v>
      </c>
      <c r="DI169" s="7">
        <v>9.0000000000000003E-16</v>
      </c>
      <c r="DJ169" s="6" t="str">
        <f>HYPERLINK(".\links\KOG\TI_asb-289-KOG.txt","Ferric reductase-like proteins")</f>
        <v>Ferric reductase-like proteins</v>
      </c>
      <c r="DK169" s="6" t="str">
        <f>HYPERLINK("http://www.ncbi.nlm.nih.gov/COG/grace/shokog.cgi?KOG1743","5E-005")</f>
        <v>5E-005</v>
      </c>
      <c r="DL169" s="6" t="s">
        <v>4361</v>
      </c>
      <c r="DM169" s="6" t="str">
        <f>HYPERLINK(".\links\KOG\TI_asb-289-KOG.txt","KOG1743")</f>
        <v>KOG1743</v>
      </c>
      <c r="DN169" t="str">
        <f>HYPERLINK(".\links\SMART\TI_asb-289-SMART.txt","TOPEUc")</f>
        <v>TOPEUc</v>
      </c>
      <c r="DO169" t="str">
        <f>HYPERLINK("http://smart.embl-heidelberg.de/smart/do_annotation.pl?DOMAIN=TOPEUc&amp;BLAST=DUMMY","1E-004")</f>
        <v>1E-004</v>
      </c>
      <c r="DP169" s="3" t="s">
        <v>56</v>
      </c>
      <c r="ED169" s="3" t="s">
        <v>56</v>
      </c>
    </row>
    <row r="170" spans="1:134">
      <c r="A170" t="str">
        <f>HYPERLINK(".\links\seq\TI_asb-290-seq.txt","TI_asb-290")</f>
        <v>TI_asb-290</v>
      </c>
      <c r="B170">
        <v>290</v>
      </c>
      <c r="C170" t="str">
        <f>HYPERLINK(".\links\tsa\TI_asb-290-tsa.txt","2")</f>
        <v>2</v>
      </c>
      <c r="D170">
        <v>2</v>
      </c>
      <c r="E170">
        <v>724</v>
      </c>
      <c r="G170" t="str">
        <f>HYPERLINK(".\links\qual\TI_asb-290-qual.txt","72")</f>
        <v>72</v>
      </c>
      <c r="H170">
        <v>2</v>
      </c>
      <c r="I170">
        <v>0</v>
      </c>
      <c r="J170">
        <f t="shared" si="8"/>
        <v>2</v>
      </c>
      <c r="K170" s="6">
        <f t="shared" si="9"/>
        <v>2</v>
      </c>
      <c r="L170" s="6" t="s">
        <v>3996</v>
      </c>
      <c r="M170" s="6" t="s">
        <v>3919</v>
      </c>
      <c r="N170" s="6" t="s">
        <v>3872</v>
      </c>
      <c r="O170" s="7">
        <v>2.0000000000000002E-31</v>
      </c>
      <c r="P170" s="6">
        <v>67.900000000000006</v>
      </c>
      <c r="Q170" s="3">
        <v>724</v>
      </c>
      <c r="R170" s="3">
        <v>486</v>
      </c>
      <c r="S170" s="3" t="s">
        <v>3649</v>
      </c>
      <c r="T170" s="3">
        <v>3</v>
      </c>
      <c r="U170" t="str">
        <f>HYPERLINK(".\links\NR-LIGHT\TI_asb-290-NR-LIGHT.txt","similar to predicted protein")</f>
        <v>similar to predicted protein</v>
      </c>
      <c r="V170" t="str">
        <f>HYPERLINK("http://www.ncbi.nlm.nih.gov/sutils/blink.cgi?pid=221127344","4E-030")</f>
        <v>4E-030</v>
      </c>
      <c r="W170" t="str">
        <f>HYPERLINK(".\links\NR-LIGHT\TI_asb-290-NR-LIGHT.txt"," 10")</f>
        <v xml:space="preserve"> 10</v>
      </c>
      <c r="X170" t="str">
        <f>HYPERLINK("http://www.ncbi.nlm.nih.gov/protein/221127344","gi|221127344")</f>
        <v>gi|221127344</v>
      </c>
      <c r="Y170">
        <v>133</v>
      </c>
      <c r="Z170">
        <v>163</v>
      </c>
      <c r="AA170">
        <v>250</v>
      </c>
      <c r="AB170">
        <v>47</v>
      </c>
      <c r="AC170">
        <v>65</v>
      </c>
      <c r="AD170">
        <v>85</v>
      </c>
      <c r="AE170">
        <v>6</v>
      </c>
      <c r="AF170">
        <v>14</v>
      </c>
      <c r="AG170">
        <v>252</v>
      </c>
      <c r="AH170">
        <v>1</v>
      </c>
      <c r="AI170">
        <v>3</v>
      </c>
      <c r="AJ170" t="s">
        <v>53</v>
      </c>
      <c r="AK170" t="s">
        <v>54</v>
      </c>
      <c r="AL170" t="s">
        <v>1814</v>
      </c>
      <c r="AM170" t="str">
        <f>HYPERLINK(".\links\SWISSP\TI_asb-290-SWISSP.txt","Golgi SNAP receptor complex member 1 OS=Pongo abelii GN=GOSR1 PE=2 SV=1")</f>
        <v>Golgi SNAP receptor complex member 1 OS=Pongo abelii GN=GOSR1 PE=2 SV=1</v>
      </c>
      <c r="AN170" s="19" t="str">
        <f>HYPERLINK("http://www.uniprot.org/uniprot/Q5RBL6","3E-029")</f>
        <v>3E-029</v>
      </c>
      <c r="AO170" t="str">
        <f>HYPERLINK(".\links\SWISSP\TI_asb-290-SWISSP.txt"," 10")</f>
        <v xml:space="preserve"> 10</v>
      </c>
      <c r="AP170" t="s">
        <v>1815</v>
      </c>
      <c r="AQ170">
        <v>128</v>
      </c>
      <c r="AR170">
        <v>165</v>
      </c>
      <c r="AS170">
        <v>248</v>
      </c>
      <c r="AT170">
        <v>46</v>
      </c>
      <c r="AU170">
        <v>67</v>
      </c>
      <c r="AV170">
        <v>89</v>
      </c>
      <c r="AW170">
        <v>10</v>
      </c>
      <c r="AX170">
        <v>5</v>
      </c>
      <c r="AY170">
        <v>258</v>
      </c>
      <c r="AZ170">
        <v>1</v>
      </c>
      <c r="BA170">
        <v>3</v>
      </c>
      <c r="BB170" t="s">
        <v>53</v>
      </c>
      <c r="BC170" t="s">
        <v>54</v>
      </c>
      <c r="BD170" t="s">
        <v>245</v>
      </c>
      <c r="BE170" t="s">
        <v>1816</v>
      </c>
      <c r="BF170" t="s">
        <v>1817</v>
      </c>
      <c r="BG170" t="str">
        <f>HYPERLINK(".\links\PREV-RHOD-PEP\TI_asb-290-PREV-RHOD-PEP.txt","Contig17794_96")</f>
        <v>Contig17794_96</v>
      </c>
      <c r="BH170" s="7">
        <v>7.9999999999999997E-69</v>
      </c>
      <c r="BI170" t="str">
        <f>HYPERLINK(".\links\PREV-RHOD-PEP\TI_asb-290-PREV-RHOD-PEP.txt"," 10")</f>
        <v xml:space="preserve"> 10</v>
      </c>
      <c r="BJ170" t="s">
        <v>1818</v>
      </c>
      <c r="BK170">
        <v>256</v>
      </c>
      <c r="BL170">
        <v>156</v>
      </c>
      <c r="BM170">
        <v>234</v>
      </c>
      <c r="BN170">
        <v>82</v>
      </c>
      <c r="BO170">
        <v>67</v>
      </c>
      <c r="BP170">
        <v>27</v>
      </c>
      <c r="BQ170">
        <v>0</v>
      </c>
      <c r="BR170">
        <v>1</v>
      </c>
      <c r="BS170">
        <v>255</v>
      </c>
      <c r="BT170">
        <v>1</v>
      </c>
      <c r="BU170" t="s">
        <v>54</v>
      </c>
      <c r="BV170" t="s">
        <v>1819</v>
      </c>
      <c r="BW170" t="s">
        <v>56</v>
      </c>
      <c r="BX170" t="str">
        <f>HYPERLINK(".\links\PREV-RHOD-CDS\TI_asb-290-PREV-RHOD-CDS.txt","Contig17794_96")</f>
        <v>Contig17794_96</v>
      </c>
      <c r="BY170" s="7">
        <v>8E-70</v>
      </c>
      <c r="BZ170" t="s">
        <v>1818</v>
      </c>
      <c r="CA170">
        <v>264</v>
      </c>
      <c r="CB170">
        <v>462</v>
      </c>
      <c r="CC170">
        <v>705</v>
      </c>
      <c r="CD170">
        <v>82</v>
      </c>
      <c r="CE170">
        <v>66</v>
      </c>
      <c r="CF170">
        <v>83</v>
      </c>
      <c r="CG170">
        <v>6</v>
      </c>
      <c r="CH170">
        <v>1</v>
      </c>
      <c r="CI170">
        <v>255</v>
      </c>
      <c r="CJ170">
        <v>1</v>
      </c>
      <c r="CK170" t="s">
        <v>54</v>
      </c>
      <c r="CL170" t="s">
        <v>1820</v>
      </c>
      <c r="CM170">
        <f>HYPERLINK(".\links\GO\TI_asb-290-GO.txt",5E-29)</f>
        <v>4.9999999999999999E-29</v>
      </c>
      <c r="CN170" t="s">
        <v>576</v>
      </c>
      <c r="CO170" t="s">
        <v>185</v>
      </c>
      <c r="CP170" t="s">
        <v>186</v>
      </c>
      <c r="CQ170" t="s">
        <v>577</v>
      </c>
      <c r="CR170" s="7">
        <v>4.9999999999999999E-29</v>
      </c>
      <c r="CS170" t="s">
        <v>132</v>
      </c>
      <c r="CT170" t="s">
        <v>75</v>
      </c>
      <c r="CU170" t="s">
        <v>76</v>
      </c>
      <c r="CV170" t="s">
        <v>133</v>
      </c>
      <c r="CW170" s="7">
        <v>4.9999999999999999E-29</v>
      </c>
      <c r="CX170" t="s">
        <v>661</v>
      </c>
      <c r="CY170" t="s">
        <v>185</v>
      </c>
      <c r="CZ170" t="s">
        <v>186</v>
      </c>
      <c r="DA170" t="s">
        <v>662</v>
      </c>
      <c r="DB170" s="7">
        <v>4.9999999999999999E-29</v>
      </c>
      <c r="DC170" t="str">
        <f>HYPERLINK(".\links\CDD\TI_asb-290-CDD.txt","V-SNARE")</f>
        <v>V-SNARE</v>
      </c>
      <c r="DD170" t="str">
        <f>HYPERLINK("http://www.ncbi.nlm.nih.gov/Structure/cdd/cddsrv.cgi?uid=pfam05008&amp;version=v4.0","1E-008")</f>
        <v>1E-008</v>
      </c>
      <c r="DE170" t="s">
        <v>1821</v>
      </c>
      <c r="DF170" t="str">
        <f>HYPERLINK(".\links\PFAM\TI_asb-290-PFAM.txt","V-SNARE")</f>
        <v>V-SNARE</v>
      </c>
      <c r="DG170" t="str">
        <f>HYPERLINK("http://pfam.sanger.ac.uk/family?acc=PF05008","7E-010")</f>
        <v>7E-010</v>
      </c>
      <c r="DH170" t="str">
        <f>HYPERLINK(".\links\PRK\TI_asb-290-PRK.txt","NADH dehydrogenase subunit 5")</f>
        <v>NADH dehydrogenase subunit 5</v>
      </c>
      <c r="DI170" s="6">
        <v>4.0000000000000001E-3</v>
      </c>
      <c r="DJ170" s="6" t="str">
        <f>HYPERLINK(".\links\KOG\TI_asb-290-KOG.txt","Nuclear protein, contains WD40 repeats")</f>
        <v>Nuclear protein, contains WD40 repeats</v>
      </c>
      <c r="DK170" s="6" t="str">
        <f>HYPERLINK("http://www.ncbi.nlm.nih.gov/COG/grace/shokog.cgi?KOG1916","0.0")</f>
        <v>0.0</v>
      </c>
      <c r="DL170" s="6" t="s">
        <v>4337</v>
      </c>
      <c r="DM170" s="6" t="str">
        <f>HYPERLINK(".\links\KOG\TI_asb-290-KOG.txt","KOG1916")</f>
        <v>KOG1916</v>
      </c>
      <c r="DN170" t="str">
        <f>HYPERLINK(".\links\SMART\TI_asb-290-SMART.txt","PSN")</f>
        <v>PSN</v>
      </c>
      <c r="DO170" t="str">
        <f>HYPERLINK("http://smart.embl-heidelberg.de/smart/do_annotation.pl?DOMAIN=PSN&amp;BLAST=DUMMY","0.005")</f>
        <v>0.005</v>
      </c>
      <c r="DP170" s="3" t="s">
        <v>56</v>
      </c>
      <c r="ED170" s="3" t="s">
        <v>56</v>
      </c>
    </row>
    <row r="171" spans="1:134">
      <c r="A171" t="str">
        <f>HYPERLINK(".\links\seq\TI_asb-291-seq.txt","TI_asb-291")</f>
        <v>TI_asb-291</v>
      </c>
      <c r="B171">
        <v>291</v>
      </c>
      <c r="C171" t="str">
        <f>HYPERLINK(".\links\tsa\TI_asb-291-tsa.txt","1")</f>
        <v>1</v>
      </c>
      <c r="D171">
        <v>1</v>
      </c>
      <c r="E171">
        <v>800</v>
      </c>
      <c r="G171" t="str">
        <f>HYPERLINK(".\links\qual\TI_asb-291-qual.txt","31")</f>
        <v>31</v>
      </c>
      <c r="H171">
        <v>0</v>
      </c>
      <c r="I171">
        <v>1</v>
      </c>
      <c r="J171">
        <f t="shared" si="8"/>
        <v>1</v>
      </c>
      <c r="K171" s="6">
        <f t="shared" si="9"/>
        <v>-1</v>
      </c>
      <c r="L171" s="6" t="s">
        <v>3997</v>
      </c>
      <c r="M171" s="6" t="s">
        <v>3886</v>
      </c>
      <c r="N171" s="6" t="s">
        <v>3864</v>
      </c>
      <c r="O171" s="7">
        <v>1E-62</v>
      </c>
      <c r="P171" s="6">
        <v>21.3</v>
      </c>
      <c r="Q171" s="3">
        <v>800</v>
      </c>
      <c r="R171" s="3">
        <v>501</v>
      </c>
      <c r="S171" s="3" t="s">
        <v>3650</v>
      </c>
      <c r="T171" s="3">
        <v>2</v>
      </c>
      <c r="U171" t="str">
        <f>HYPERLINK(".\links\NR-LIGHT\TI_asb-291-NR-LIGHT.txt","similar to ENSANGP00000001286")</f>
        <v>similar to ENSANGP00000001286</v>
      </c>
      <c r="V171" t="str">
        <f>HYPERLINK("http://www.ncbi.nlm.nih.gov/sutils/blink.cgi?pid=156554871","1E-062")</f>
        <v>1E-062</v>
      </c>
      <c r="W171" t="str">
        <f>HYPERLINK(".\links\NR-LIGHT\TI_asb-291-NR-LIGHT.txt"," 10")</f>
        <v xml:space="preserve"> 10</v>
      </c>
      <c r="X171" t="str">
        <f>HYPERLINK("http://www.ncbi.nlm.nih.gov/protein/156554871","gi|156554871")</f>
        <v>gi|156554871</v>
      </c>
      <c r="Y171">
        <v>218</v>
      </c>
      <c r="Z171">
        <v>169</v>
      </c>
      <c r="AA171">
        <v>790</v>
      </c>
      <c r="AB171">
        <v>68</v>
      </c>
      <c r="AC171">
        <v>21</v>
      </c>
      <c r="AD171">
        <v>54</v>
      </c>
      <c r="AE171">
        <v>1</v>
      </c>
      <c r="AF171">
        <v>420</v>
      </c>
      <c r="AG171">
        <v>36</v>
      </c>
      <c r="AH171">
        <v>3</v>
      </c>
      <c r="AI171">
        <v>2</v>
      </c>
      <c r="AJ171" t="s">
        <v>65</v>
      </c>
      <c r="AK171" t="s">
        <v>54</v>
      </c>
      <c r="AL171" t="s">
        <v>66</v>
      </c>
      <c r="AM171" t="str">
        <f>HYPERLINK(".\links\SWISSP\TI_asb-291-SWISSP.txt","TBC1 domain family member CG11727 OS=Drosophila melanogaster GN=CG11727 PE=1")</f>
        <v>TBC1 domain family member CG11727 OS=Drosophila melanogaster GN=CG11727 PE=1</v>
      </c>
      <c r="AN171" s="19" t="str">
        <f>HYPERLINK("http://www.uniprot.org/uniprot/Q9VYY9","2E-047")</f>
        <v>2E-047</v>
      </c>
      <c r="AO171" t="str">
        <f>HYPERLINK(".\links\SWISSP\TI_asb-291-SWISSP.txt"," 10")</f>
        <v xml:space="preserve"> 10</v>
      </c>
      <c r="AP171" t="s">
        <v>1822</v>
      </c>
      <c r="AQ171">
        <v>165</v>
      </c>
      <c r="AR171">
        <v>155</v>
      </c>
      <c r="AS171">
        <v>807</v>
      </c>
      <c r="AT171">
        <v>56</v>
      </c>
      <c r="AU171">
        <v>19</v>
      </c>
      <c r="AV171">
        <v>68</v>
      </c>
      <c r="AW171">
        <v>6</v>
      </c>
      <c r="AX171">
        <v>396</v>
      </c>
      <c r="AY171">
        <v>36</v>
      </c>
      <c r="AZ171">
        <v>3</v>
      </c>
      <c r="BA171">
        <v>2</v>
      </c>
      <c r="BB171" t="s">
        <v>65</v>
      </c>
      <c r="BC171" t="s">
        <v>54</v>
      </c>
      <c r="BD171" t="s">
        <v>143</v>
      </c>
      <c r="BE171" t="s">
        <v>1823</v>
      </c>
      <c r="BF171" t="s">
        <v>1824</v>
      </c>
      <c r="BG171" t="str">
        <f>HYPERLINK(".\links\PREV-RHOD-PEP\TI_asb-291-PREV-RHOD-PEP.txt","Contig17358_14")</f>
        <v>Contig17358_14</v>
      </c>
      <c r="BH171" s="7">
        <v>2.0000000000000002E-86</v>
      </c>
      <c r="BI171" t="str">
        <f>HYPERLINK(".\links\PREV-RHOD-PEP\TI_asb-291-PREV-RHOD-PEP.txt"," 10")</f>
        <v xml:space="preserve"> 10</v>
      </c>
      <c r="BJ171" t="s">
        <v>1825</v>
      </c>
      <c r="BK171">
        <v>285</v>
      </c>
      <c r="BL171">
        <v>173</v>
      </c>
      <c r="BM171">
        <v>838</v>
      </c>
      <c r="BN171">
        <v>84</v>
      </c>
      <c r="BO171">
        <v>21</v>
      </c>
      <c r="BP171">
        <v>27</v>
      </c>
      <c r="BQ171">
        <v>0</v>
      </c>
      <c r="BR171">
        <v>388</v>
      </c>
      <c r="BS171">
        <v>33</v>
      </c>
      <c r="BT171">
        <v>3</v>
      </c>
      <c r="BU171" t="s">
        <v>54</v>
      </c>
      <c r="BV171" t="s">
        <v>1826</v>
      </c>
      <c r="BW171" t="s">
        <v>56</v>
      </c>
      <c r="BX171" t="str">
        <f>HYPERLINK(".\links\PREV-RHOD-CDS\TI_asb-291-PREV-RHOD-CDS.txt","Contig17358_14")</f>
        <v>Contig17358_14</v>
      </c>
      <c r="BY171" s="7">
        <v>1.0000000000000001E-111</v>
      </c>
      <c r="BZ171" t="s">
        <v>1825</v>
      </c>
      <c r="CA171">
        <v>402</v>
      </c>
      <c r="CB171">
        <v>506</v>
      </c>
      <c r="CC171">
        <v>2517</v>
      </c>
      <c r="CD171">
        <v>85</v>
      </c>
      <c r="CE171">
        <v>20</v>
      </c>
      <c r="CF171">
        <v>75</v>
      </c>
      <c r="CG171">
        <v>1</v>
      </c>
      <c r="CH171">
        <v>1195</v>
      </c>
      <c r="CI171">
        <v>66</v>
      </c>
      <c r="CJ171">
        <v>1</v>
      </c>
      <c r="CK171" t="s">
        <v>54</v>
      </c>
      <c r="CL171" t="s">
        <v>1827</v>
      </c>
      <c r="CM171">
        <f>HYPERLINK(".\links\GO\TI_asb-291-GO.txt",0.000000000000000005)</f>
        <v>5.0000000000000004E-18</v>
      </c>
      <c r="CN171" t="s">
        <v>208</v>
      </c>
      <c r="CO171" t="s">
        <v>185</v>
      </c>
      <c r="CP171" t="s">
        <v>186</v>
      </c>
      <c r="CQ171" t="s">
        <v>209</v>
      </c>
      <c r="CR171" s="6">
        <v>3.0000000000000001E-5</v>
      </c>
      <c r="CS171" t="s">
        <v>74</v>
      </c>
      <c r="CT171" t="s">
        <v>75</v>
      </c>
      <c r="CU171" t="s">
        <v>76</v>
      </c>
      <c r="CV171" t="s">
        <v>77</v>
      </c>
      <c r="CW171" s="6">
        <v>3.0000000000000001E-5</v>
      </c>
      <c r="CX171" t="s">
        <v>1828</v>
      </c>
      <c r="CY171" t="s">
        <v>185</v>
      </c>
      <c r="CZ171" t="s">
        <v>186</v>
      </c>
      <c r="DA171" t="s">
        <v>1829</v>
      </c>
      <c r="DB171" s="6">
        <v>3.0000000000000001E-5</v>
      </c>
      <c r="DC171" t="str">
        <f>HYPERLINK(".\links\CDD\TI_asb-291-CDD.txt","Smc")</f>
        <v>Smc</v>
      </c>
      <c r="DD171" t="str">
        <f>HYPERLINK("http://www.ncbi.nlm.nih.gov/Structure/cdd/cddsrv.cgi?uid=COG1196&amp;version=v4.0","3E-007")</f>
        <v>3E-007</v>
      </c>
      <c r="DE171" t="s">
        <v>1830</v>
      </c>
      <c r="DF171" t="str">
        <f>HYPERLINK(".\links\PFAM\TI_asb-291-PFAM.txt","SMC_N")</f>
        <v>SMC_N</v>
      </c>
      <c r="DG171" t="str">
        <f>HYPERLINK("http://pfam.sanger.ac.uk/family?acc=PF02463","3E-006")</f>
        <v>3E-006</v>
      </c>
      <c r="DH171" t="str">
        <f>HYPERLINK(".\links\PRK\TI_asb-291-PRK.txt","phosphodiesterase")</f>
        <v>phosphodiesterase</v>
      </c>
      <c r="DI171" s="7">
        <v>2.0000000000000002E-5</v>
      </c>
      <c r="DJ171" s="6" t="str">
        <f>HYPERLINK(".\links\KOG\TI_asb-291-KOG.txt","Predicted GTPase activator NB4S/EVI5 (contains TBC domain)/Calmodulin-binding protein Pollux (contains PTB and TBC domains)")</f>
        <v>Predicted GTPase activator NB4S/EVI5 (contains TBC domain)/Calmodulin-binding protein Pollux (contains PTB and TBC domains)</v>
      </c>
      <c r="DK171" s="6" t="str">
        <f>HYPERLINK("http://www.ncbi.nlm.nih.gov/COG/grace/shokog.cgi?KOG4436","9E-009")</f>
        <v>9E-009</v>
      </c>
      <c r="DL171" s="6" t="s">
        <v>4337</v>
      </c>
      <c r="DM171" s="6" t="str">
        <f>HYPERLINK(".\links\KOG\TI_asb-291-KOG.txt","KOG4436")</f>
        <v>KOG4436</v>
      </c>
      <c r="DN171" t="str">
        <f>HYPERLINK(".\links\SMART\TI_asb-291-SMART.txt","Spc7")</f>
        <v>Spc7</v>
      </c>
      <c r="DO171" t="str">
        <f>HYPERLINK("http://smart.embl-heidelberg.de/smart/do_annotation.pl?DOMAIN=Spc7&amp;BLAST=DUMMY","4E-004")</f>
        <v>4E-004</v>
      </c>
      <c r="DP171" s="3" t="s">
        <v>56</v>
      </c>
      <c r="ED171" s="3" t="s">
        <v>56</v>
      </c>
    </row>
    <row r="172" spans="1:134">
      <c r="A172" t="str">
        <f>HYPERLINK(".\links\seq\TI_asb-292-seq.txt","TI_asb-292")</f>
        <v>TI_asb-292</v>
      </c>
      <c r="B172">
        <v>292</v>
      </c>
      <c r="C172" t="str">
        <f>HYPERLINK(".\links\tsa\TI_asb-292-tsa.txt","1")</f>
        <v>1</v>
      </c>
      <c r="D172">
        <v>1</v>
      </c>
      <c r="E172">
        <v>768</v>
      </c>
      <c r="F172">
        <v>744</v>
      </c>
      <c r="G172" t="str">
        <f>HYPERLINK(".\links\qual\TI_asb-292-qual.txt","41")</f>
        <v>41</v>
      </c>
      <c r="H172">
        <v>0</v>
      </c>
      <c r="I172">
        <v>1</v>
      </c>
      <c r="J172">
        <f t="shared" si="8"/>
        <v>1</v>
      </c>
      <c r="K172" s="6">
        <f t="shared" si="9"/>
        <v>-1</v>
      </c>
      <c r="L172" s="6" t="s">
        <v>3998</v>
      </c>
      <c r="M172" s="6" t="s">
        <v>3919</v>
      </c>
      <c r="N172" s="6" t="s">
        <v>3872</v>
      </c>
      <c r="O172" s="7">
        <v>9.9999999999999996E-81</v>
      </c>
      <c r="P172" s="6">
        <v>94.3</v>
      </c>
      <c r="Q172" s="3">
        <v>768</v>
      </c>
      <c r="R172" s="3">
        <v>603</v>
      </c>
      <c r="S172" s="3" t="s">
        <v>3651</v>
      </c>
      <c r="T172" s="3">
        <v>2</v>
      </c>
      <c r="U172" t="str">
        <f>HYPERLINK(".\links\NR-LIGHT\TI_asb-292-NR-LIGHT.txt","similar to VPS28 protein homolog")</f>
        <v>similar to VPS28 protein homolog</v>
      </c>
      <c r="V172" t="str">
        <f>HYPERLINK("http://www.ncbi.nlm.nih.gov/sutils/blink.cgi?pid=66506589","5E-086")</f>
        <v>5E-086</v>
      </c>
      <c r="W172" t="str">
        <f>HYPERLINK(".\links\NR-LIGHT\TI_asb-292-NR-LIGHT.txt"," 10")</f>
        <v xml:space="preserve"> 10</v>
      </c>
      <c r="X172" t="str">
        <f>HYPERLINK("http://www.ncbi.nlm.nih.gov/protein/66506589","gi|66506589")</f>
        <v>gi|66506589</v>
      </c>
      <c r="Y172">
        <v>319</v>
      </c>
      <c r="Z172">
        <v>199</v>
      </c>
      <c r="AA172">
        <v>213</v>
      </c>
      <c r="AB172">
        <v>77</v>
      </c>
      <c r="AC172">
        <v>93</v>
      </c>
      <c r="AD172">
        <v>44</v>
      </c>
      <c r="AE172">
        <v>0</v>
      </c>
      <c r="AF172">
        <v>15</v>
      </c>
      <c r="AG172">
        <v>41</v>
      </c>
      <c r="AH172">
        <v>1</v>
      </c>
      <c r="AI172">
        <v>2</v>
      </c>
      <c r="AJ172" t="s">
        <v>53</v>
      </c>
      <c r="AK172" t="s">
        <v>54</v>
      </c>
      <c r="AL172" t="s">
        <v>344</v>
      </c>
      <c r="AM172" t="str">
        <f>HYPERLINK(".\links\SWISSP\TI_asb-292-SWISSP.txt","Vacuolar protein sorting-associated protein 28 homolog OS=Rattus norvegicus")</f>
        <v>Vacuolar protein sorting-associated protein 28 homolog OS=Rattus norvegicus</v>
      </c>
      <c r="AN172" s="19" t="str">
        <f>HYPERLINK("http://www.uniprot.org/uniprot/B5DEN9","2E-078")</f>
        <v>2E-078</v>
      </c>
      <c r="AO172" t="str">
        <f>HYPERLINK(".\links\SWISSP\TI_asb-292-SWISSP.txt"," 10")</f>
        <v xml:space="preserve"> 10</v>
      </c>
      <c r="AP172" t="s">
        <v>1831</v>
      </c>
      <c r="AQ172">
        <v>292</v>
      </c>
      <c r="AR172">
        <v>197</v>
      </c>
      <c r="AS172">
        <v>228</v>
      </c>
      <c r="AT172">
        <v>71</v>
      </c>
      <c r="AU172">
        <v>86</v>
      </c>
      <c r="AV172">
        <v>57</v>
      </c>
      <c r="AW172">
        <v>0</v>
      </c>
      <c r="AX172">
        <v>32</v>
      </c>
      <c r="AY172">
        <v>41</v>
      </c>
      <c r="AZ172">
        <v>1</v>
      </c>
      <c r="BA172">
        <v>2</v>
      </c>
      <c r="BB172" t="s">
        <v>53</v>
      </c>
      <c r="BC172" t="s">
        <v>54</v>
      </c>
      <c r="BD172" t="s">
        <v>122</v>
      </c>
      <c r="BE172" t="s">
        <v>1832</v>
      </c>
      <c r="BF172" t="s">
        <v>1833</v>
      </c>
      <c r="BG172" t="str">
        <f>HYPERLINK(".\links\PREV-RHOD-PEP\TI_asb-292-PREV-RHOD-PEP.txt","Contig3111_5")</f>
        <v>Contig3111_5</v>
      </c>
      <c r="BH172" s="7">
        <v>9.9999999999999997E-106</v>
      </c>
      <c r="BI172" t="str">
        <f>HYPERLINK(".\links\PREV-RHOD-PEP\TI_asb-292-PREV-RHOD-PEP.txt"," 10")</f>
        <v xml:space="preserve"> 10</v>
      </c>
      <c r="BJ172" t="s">
        <v>1834</v>
      </c>
      <c r="BK172">
        <v>376</v>
      </c>
      <c r="BL172">
        <v>199</v>
      </c>
      <c r="BM172">
        <v>214</v>
      </c>
      <c r="BN172">
        <v>95</v>
      </c>
      <c r="BO172">
        <v>93</v>
      </c>
      <c r="BP172">
        <v>8</v>
      </c>
      <c r="BQ172">
        <v>0</v>
      </c>
      <c r="BR172">
        <v>3</v>
      </c>
      <c r="BS172">
        <v>3</v>
      </c>
      <c r="BT172">
        <v>2</v>
      </c>
      <c r="BU172" t="s">
        <v>54</v>
      </c>
      <c r="BV172" t="s">
        <v>1835</v>
      </c>
      <c r="BW172" t="s">
        <v>56</v>
      </c>
      <c r="BX172" t="str">
        <f>HYPERLINK(".\links\PREV-RHOD-CDS\TI_asb-292-PREV-RHOD-CDS.txt","Contig3111_5")</f>
        <v>Contig3111_5</v>
      </c>
      <c r="BY172" s="6">
        <v>0</v>
      </c>
      <c r="BZ172" t="s">
        <v>1834</v>
      </c>
      <c r="CA172">
        <v>664</v>
      </c>
      <c r="CB172">
        <v>594</v>
      </c>
      <c r="CC172">
        <v>645</v>
      </c>
      <c r="CD172">
        <v>89</v>
      </c>
      <c r="CE172">
        <v>92</v>
      </c>
      <c r="CF172">
        <v>65</v>
      </c>
      <c r="CG172">
        <v>0</v>
      </c>
      <c r="CH172">
        <v>51</v>
      </c>
      <c r="CI172">
        <v>46</v>
      </c>
      <c r="CJ172">
        <v>1</v>
      </c>
      <c r="CK172" t="s">
        <v>54</v>
      </c>
      <c r="CL172" t="s">
        <v>1836</v>
      </c>
      <c r="CM172">
        <f>HYPERLINK(".\links\GO\TI_asb-292-GO.txt",5E-79)</f>
        <v>5E-79</v>
      </c>
      <c r="CN172" t="s">
        <v>208</v>
      </c>
      <c r="CO172" t="s">
        <v>185</v>
      </c>
      <c r="CP172" t="s">
        <v>186</v>
      </c>
      <c r="CQ172" t="s">
        <v>209</v>
      </c>
      <c r="CR172" s="7">
        <v>5E-79</v>
      </c>
      <c r="CS172" t="s">
        <v>74</v>
      </c>
      <c r="CT172" t="s">
        <v>75</v>
      </c>
      <c r="CU172" t="s">
        <v>76</v>
      </c>
      <c r="CV172" t="s">
        <v>77</v>
      </c>
      <c r="CW172" s="7">
        <v>5E-79</v>
      </c>
      <c r="CX172" t="s">
        <v>1837</v>
      </c>
      <c r="CY172" t="s">
        <v>185</v>
      </c>
      <c r="CZ172" t="s">
        <v>186</v>
      </c>
      <c r="DA172" t="s">
        <v>1838</v>
      </c>
      <c r="DB172" s="7">
        <v>5E-79</v>
      </c>
      <c r="DC172" t="str">
        <f>HYPERLINK(".\links\CDD\TI_asb-292-CDD.txt","VPS28")</f>
        <v>VPS28</v>
      </c>
      <c r="DD172" t="str">
        <f>HYPERLINK("http://www.ncbi.nlm.nih.gov/Structure/cdd/cddsrv.cgi?uid=pfam03997&amp;version=v4.0","4E-081")</f>
        <v>4E-081</v>
      </c>
      <c r="DE172" t="s">
        <v>1839</v>
      </c>
      <c r="DF172" t="str">
        <f>HYPERLINK(".\links\PFAM\TI_asb-292-PFAM.txt","VPS28")</f>
        <v>VPS28</v>
      </c>
      <c r="DG172" t="str">
        <f>HYPERLINK("http://pfam.sanger.ac.uk/family?acc=PF03997","9E-082")</f>
        <v>9E-082</v>
      </c>
      <c r="DH172" t="s">
        <v>56</v>
      </c>
      <c r="DI172" s="6" t="s">
        <v>56</v>
      </c>
      <c r="DJ172" s="6" t="str">
        <f>HYPERLINK(".\links\KOG\TI_asb-292-KOG.txt","Nuclear protein, contains WD40 repeats")</f>
        <v>Nuclear protein, contains WD40 repeats</v>
      </c>
      <c r="DK172" s="6" t="str">
        <f>HYPERLINK("http://www.ncbi.nlm.nih.gov/COG/grace/shokog.cgi?KOG1916","0.0")</f>
        <v>0.0</v>
      </c>
      <c r="DL172" s="6" t="s">
        <v>4337</v>
      </c>
      <c r="DM172" s="6" t="str">
        <f>HYPERLINK(".\links\KOG\TI_asb-292-KOG.txt","KOG1916")</f>
        <v>KOG1916</v>
      </c>
      <c r="DN172" t="s">
        <v>56</v>
      </c>
      <c r="DO172" t="s">
        <v>56</v>
      </c>
      <c r="DP172" s="3" t="s">
        <v>56</v>
      </c>
      <c r="ED172" s="3" t="s">
        <v>56</v>
      </c>
    </row>
    <row r="173" spans="1:134">
      <c r="A173" t="str">
        <f>HYPERLINK(".\links\seq\TI_asb-293-seq.txt","TI_asb-293")</f>
        <v>TI_asb-293</v>
      </c>
      <c r="B173">
        <v>293</v>
      </c>
      <c r="C173" t="str">
        <f>HYPERLINK(".\links\tsa\TI_asb-293-tsa.txt","1")</f>
        <v>1</v>
      </c>
      <c r="D173">
        <v>1</v>
      </c>
      <c r="E173">
        <v>800</v>
      </c>
      <c r="F173">
        <v>779</v>
      </c>
      <c r="G173" t="str">
        <f>HYPERLINK(".\links\qual\TI_asb-293-qual.txt","50")</f>
        <v>50</v>
      </c>
      <c r="H173">
        <v>0</v>
      </c>
      <c r="I173">
        <v>1</v>
      </c>
      <c r="J173">
        <f t="shared" si="8"/>
        <v>1</v>
      </c>
      <c r="K173" s="6">
        <f t="shared" si="9"/>
        <v>-1</v>
      </c>
      <c r="L173" s="6" t="s">
        <v>3999</v>
      </c>
      <c r="M173" s="6" t="s">
        <v>3906</v>
      </c>
      <c r="N173" s="6" t="s">
        <v>3872</v>
      </c>
      <c r="O173" s="6">
        <v>1.9999999999999999E-11</v>
      </c>
      <c r="P173" s="6">
        <v>25.2</v>
      </c>
      <c r="Q173" s="3">
        <v>800</v>
      </c>
      <c r="R173" s="3">
        <v>498</v>
      </c>
      <c r="S173" s="3" t="s">
        <v>3652</v>
      </c>
      <c r="T173" s="3">
        <v>2</v>
      </c>
      <c r="U173" t="str">
        <f>HYPERLINK(".\links\NR-LIGHT\TI_asb-293-NR-LIGHT.txt","eukaryotic translation initiation factor 3, subunit 10 theta, 150/170kDa isoform")</f>
        <v>eukaryotic translation initiation factor 3, subunit 10 theta, 150/170kDa isoform</v>
      </c>
      <c r="V173" t="str">
        <f>HYPERLINK("http://www.ncbi.nlm.nih.gov/sutils/blink.cgi?pid=119924055","0.18")</f>
        <v>0.18</v>
      </c>
      <c r="W173" t="str">
        <f>HYPERLINK(".\links\NR-LIGHT\TI_asb-293-NR-LIGHT.txt"," 10")</f>
        <v xml:space="preserve"> 10</v>
      </c>
      <c r="X173" t="str">
        <f>HYPERLINK("http://www.ncbi.nlm.nih.gov/protein/119924055","gi|119924055")</f>
        <v>gi|119924055</v>
      </c>
      <c r="Y173">
        <v>38.9</v>
      </c>
      <c r="Z173">
        <v>70</v>
      </c>
      <c r="AA173">
        <v>1376</v>
      </c>
      <c r="AB173">
        <v>31</v>
      </c>
      <c r="AC173">
        <v>5</v>
      </c>
      <c r="AD173">
        <v>48</v>
      </c>
      <c r="AE173">
        <v>0</v>
      </c>
      <c r="AF173">
        <v>1239</v>
      </c>
      <c r="AG173">
        <v>215</v>
      </c>
      <c r="AH173">
        <v>1</v>
      </c>
      <c r="AI173">
        <v>2</v>
      </c>
      <c r="AJ173" t="s">
        <v>53</v>
      </c>
      <c r="AK173" t="s">
        <v>54</v>
      </c>
      <c r="AL173" t="s">
        <v>113</v>
      </c>
      <c r="AM173" t="str">
        <f>HYPERLINK(".\links\SWISSP\TI_asb-293-SWISSP.txt","Eukaryotic translation initiation factor 3 subunit A OS=Mus musculus GN=Eif3a")</f>
        <v>Eukaryotic translation initiation factor 3 subunit A OS=Mus musculus GN=Eif3a</v>
      </c>
      <c r="AN173" s="19" t="str">
        <f>HYPERLINK("http://www.uniprot.org/uniprot/P23116","0.35")</f>
        <v>0.35</v>
      </c>
      <c r="AO173" t="str">
        <f>HYPERLINK(".\links\SWISSP\TI_asb-293-SWISSP.txt"," 8")</f>
        <v xml:space="preserve"> 8</v>
      </c>
      <c r="AP173" t="s">
        <v>1840</v>
      </c>
      <c r="AQ173">
        <v>35.799999999999997</v>
      </c>
      <c r="AR173">
        <v>40</v>
      </c>
      <c r="AS173">
        <v>1344</v>
      </c>
      <c r="AT173">
        <v>42</v>
      </c>
      <c r="AU173">
        <v>3</v>
      </c>
      <c r="AV173">
        <v>23</v>
      </c>
      <c r="AW173">
        <v>0</v>
      </c>
      <c r="AX173">
        <v>1203</v>
      </c>
      <c r="AY173">
        <v>215</v>
      </c>
      <c r="AZ173">
        <v>1</v>
      </c>
      <c r="BA173">
        <v>2</v>
      </c>
      <c r="BB173" t="s">
        <v>53</v>
      </c>
      <c r="BC173" t="s">
        <v>54</v>
      </c>
      <c r="BD173" t="s">
        <v>214</v>
      </c>
      <c r="BE173" t="s">
        <v>1841</v>
      </c>
      <c r="BF173" t="s">
        <v>1842</v>
      </c>
      <c r="BG173" t="str">
        <f>HYPERLINK(".\links\PREV-RHOD-PEP\TI_asb-293-PREV-RHOD-PEP.txt","Contig17357_20")</f>
        <v>Contig17357_20</v>
      </c>
      <c r="BH173" s="7">
        <v>1E-27</v>
      </c>
      <c r="BI173" t="str">
        <f>HYPERLINK(".\links\PREV-RHOD-PEP\TI_asb-293-PREV-RHOD-PEP.txt"," 6")</f>
        <v xml:space="preserve"> 6</v>
      </c>
      <c r="BJ173" t="s">
        <v>1843</v>
      </c>
      <c r="BK173">
        <v>119</v>
      </c>
      <c r="BL173">
        <v>96</v>
      </c>
      <c r="BM173">
        <v>1136</v>
      </c>
      <c r="BN173">
        <v>59</v>
      </c>
      <c r="BO173">
        <v>8</v>
      </c>
      <c r="BP173">
        <v>39</v>
      </c>
      <c r="BQ173">
        <v>1</v>
      </c>
      <c r="BR173">
        <v>1041</v>
      </c>
      <c r="BS173">
        <v>215</v>
      </c>
      <c r="BT173">
        <v>1</v>
      </c>
      <c r="BU173" t="s">
        <v>54</v>
      </c>
      <c r="BV173" t="s">
        <v>1844</v>
      </c>
      <c r="BW173" t="s">
        <v>56</v>
      </c>
      <c r="BX173" t="str">
        <f>HYPERLINK(".\links\PREV-RHOD-CDS\TI_asb-293-PREV-RHOD-CDS.txt","Contig17357_20")</f>
        <v>Contig17357_20</v>
      </c>
      <c r="BY173" s="7">
        <v>2.0000000000000001E-33</v>
      </c>
      <c r="BZ173" t="s">
        <v>1843</v>
      </c>
      <c r="CA173">
        <v>143</v>
      </c>
      <c r="CB173">
        <v>556</v>
      </c>
      <c r="CC173">
        <v>3411</v>
      </c>
      <c r="CD173">
        <v>78</v>
      </c>
      <c r="CE173">
        <v>16</v>
      </c>
      <c r="CF173">
        <v>93</v>
      </c>
      <c r="CG173">
        <v>27</v>
      </c>
      <c r="CH173">
        <v>2855</v>
      </c>
      <c r="CI173">
        <v>45</v>
      </c>
      <c r="CJ173">
        <v>2</v>
      </c>
      <c r="CK173" t="s">
        <v>54</v>
      </c>
      <c r="CL173" t="s">
        <v>1845</v>
      </c>
      <c r="CM173">
        <f>HYPERLINK(".\links\GO\TI_asb-293-GO.txt",0.098)</f>
        <v>9.8000000000000004E-2</v>
      </c>
      <c r="CN173" t="s">
        <v>968</v>
      </c>
      <c r="CO173" t="s">
        <v>969</v>
      </c>
      <c r="CP173" t="s">
        <v>970</v>
      </c>
      <c r="CQ173" t="s">
        <v>971</v>
      </c>
      <c r="CR173" s="6">
        <v>9.8000000000000004E-2</v>
      </c>
      <c r="CS173" t="s">
        <v>972</v>
      </c>
      <c r="CT173" t="s">
        <v>75</v>
      </c>
      <c r="CU173" t="s">
        <v>76</v>
      </c>
      <c r="CV173" t="s">
        <v>973</v>
      </c>
      <c r="CW173" s="6">
        <v>9.8000000000000004E-2</v>
      </c>
      <c r="CX173" t="s">
        <v>1846</v>
      </c>
      <c r="CY173" t="s">
        <v>969</v>
      </c>
      <c r="CZ173" t="s">
        <v>970</v>
      </c>
      <c r="DA173" t="s">
        <v>1847</v>
      </c>
      <c r="DB173" s="6">
        <v>9.8000000000000004E-2</v>
      </c>
      <c r="DC173" t="str">
        <f>HYPERLINK(".\links\CDD\TI_asb-293-CDD.txt","PRK12678")</f>
        <v>PRK12678</v>
      </c>
      <c r="DD173" t="str">
        <f>HYPERLINK("http://www.ncbi.nlm.nih.gov/Structure/cdd/cddsrv.cgi?uid=PRK12678&amp;version=v4.0","6E-006")</f>
        <v>6E-006</v>
      </c>
      <c r="DE173" t="s">
        <v>1848</v>
      </c>
      <c r="DF173" t="str">
        <f>HYPERLINK(".\links\PFAM\TI_asb-293-PFAM.txt","ATG13")</f>
        <v>ATG13</v>
      </c>
      <c r="DG173" t="str">
        <f>HYPERLINK("http://pfam.sanger.ac.uk/family?acc=PF10033","8E-007")</f>
        <v>8E-007</v>
      </c>
      <c r="DH173" t="str">
        <f>HYPERLINK(".\links\PRK\TI_asb-293-PRK.txt","transcription termination factor Rho")</f>
        <v>transcription termination factor Rho</v>
      </c>
      <c r="DI173" s="7">
        <v>9.9999999999999995E-8</v>
      </c>
      <c r="DJ173" s="6" t="str">
        <f>HYPERLINK(".\links\KOG\TI_asb-293-KOG.txt","U4/U6-associated splicing factor PRP4")</f>
        <v>U4/U6-associated splicing factor PRP4</v>
      </c>
      <c r="DK173" s="6" t="str">
        <f>HYPERLINK("http://www.ncbi.nlm.nih.gov/COG/grace/shokog.cgi?KOG0670","2E-011")</f>
        <v>2E-011</v>
      </c>
      <c r="DL173" s="6" t="s">
        <v>4348</v>
      </c>
      <c r="DM173" s="6" t="str">
        <f>HYPERLINK(".\links\KOG\TI_asb-293-KOG.txt","KOG0670")</f>
        <v>KOG0670</v>
      </c>
      <c r="DN173" t="str">
        <f>HYPERLINK(".\links\SMART\TI_asb-293-SMART.txt","TLC")</f>
        <v>TLC</v>
      </c>
      <c r="DO173" t="str">
        <f>HYPERLINK("http://smart.embl-heidelberg.de/smart/do_annotation.pl?DOMAIN=TLC&amp;BLAST=DUMMY","8E-004")</f>
        <v>8E-004</v>
      </c>
      <c r="DP173" s="3" t="s">
        <v>56</v>
      </c>
      <c r="ED173" s="3" t="s">
        <v>56</v>
      </c>
    </row>
    <row r="174" spans="1:134">
      <c r="A174" t="str">
        <f>HYPERLINK(".\links\seq\TI_asb-294-seq.txt","TI_asb-294")</f>
        <v>TI_asb-294</v>
      </c>
      <c r="B174">
        <v>294</v>
      </c>
      <c r="C174" t="str">
        <f>HYPERLINK(".\links\tsa\TI_asb-294-tsa.txt","1")</f>
        <v>1</v>
      </c>
      <c r="D174">
        <v>1</v>
      </c>
      <c r="E174">
        <v>644</v>
      </c>
      <c r="F174">
        <v>613</v>
      </c>
      <c r="G174" t="str">
        <f>HYPERLINK(".\links\qual\TI_asb-294-qual.txt","23")</f>
        <v>23</v>
      </c>
      <c r="H174">
        <v>0</v>
      </c>
      <c r="I174">
        <v>1</v>
      </c>
      <c r="J174">
        <f t="shared" si="8"/>
        <v>1</v>
      </c>
      <c r="K174" s="6">
        <f t="shared" si="9"/>
        <v>-1</v>
      </c>
      <c r="L174" s="6" t="s">
        <v>3868</v>
      </c>
      <c r="M174" s="6" t="s">
        <v>3869</v>
      </c>
      <c r="N174" s="6"/>
      <c r="O174" s="6"/>
      <c r="P174" s="6"/>
      <c r="Q174" s="3">
        <v>644</v>
      </c>
      <c r="R174" s="3">
        <v>201</v>
      </c>
      <c r="S174" s="3" t="s">
        <v>3653</v>
      </c>
      <c r="T174" s="3">
        <v>5</v>
      </c>
      <c r="U174" t="s">
        <v>56</v>
      </c>
      <c r="V174" t="s">
        <v>56</v>
      </c>
      <c r="W174" t="s">
        <v>56</v>
      </c>
      <c r="X174" t="s">
        <v>56</v>
      </c>
      <c r="Y174" t="s">
        <v>56</v>
      </c>
      <c r="Z174" t="s">
        <v>56</v>
      </c>
      <c r="AA174" t="s">
        <v>56</v>
      </c>
      <c r="AB174" t="s">
        <v>56</v>
      </c>
      <c r="AC174" t="s">
        <v>56</v>
      </c>
      <c r="AD174" t="s">
        <v>56</v>
      </c>
      <c r="AE174" t="s">
        <v>56</v>
      </c>
      <c r="AF174" t="s">
        <v>56</v>
      </c>
      <c r="AG174" t="s">
        <v>56</v>
      </c>
      <c r="AH174" t="s">
        <v>56</v>
      </c>
      <c r="AI174" t="s">
        <v>56</v>
      </c>
      <c r="AJ174" t="s">
        <v>56</v>
      </c>
      <c r="AK174" t="s">
        <v>56</v>
      </c>
      <c r="AL174" t="s">
        <v>56</v>
      </c>
      <c r="AM174" t="s">
        <v>56</v>
      </c>
      <c r="AN174" s="19" t="s">
        <v>56</v>
      </c>
      <c r="AO174" t="s">
        <v>56</v>
      </c>
      <c r="AP174" t="s">
        <v>56</v>
      </c>
      <c r="AQ174" t="s">
        <v>56</v>
      </c>
      <c r="AR174" t="s">
        <v>56</v>
      </c>
      <c r="AS174" t="s">
        <v>56</v>
      </c>
      <c r="AT174" t="s">
        <v>56</v>
      </c>
      <c r="AU174" t="s">
        <v>56</v>
      </c>
      <c r="AV174" t="s">
        <v>56</v>
      </c>
      <c r="AW174" t="s">
        <v>56</v>
      </c>
      <c r="AX174" t="s">
        <v>56</v>
      </c>
      <c r="AY174" t="s">
        <v>56</v>
      </c>
      <c r="AZ174" t="s">
        <v>56</v>
      </c>
      <c r="BA174" t="s">
        <v>56</v>
      </c>
      <c r="BB174" t="s">
        <v>56</v>
      </c>
      <c r="BC174" t="s">
        <v>56</v>
      </c>
      <c r="BD174" t="s">
        <v>56</v>
      </c>
      <c r="BE174" t="s">
        <v>56</v>
      </c>
      <c r="BF174" t="s">
        <v>56</v>
      </c>
      <c r="BG174" t="str">
        <f>HYPERLINK(".\links\PREV-RHOD-PEP\TI_asb-294-PREV-RHOD-PEP.txt","Contig22846_1")</f>
        <v>Contig22846_1</v>
      </c>
      <c r="BH174" s="6">
        <v>6.9</v>
      </c>
      <c r="BI174" t="str">
        <f>HYPERLINK(".\links\PREV-RHOD-PEP\TI_asb-294-PREV-RHOD-PEP.txt"," 2")</f>
        <v xml:space="preserve"> 2</v>
      </c>
      <c r="BJ174" t="s">
        <v>1849</v>
      </c>
      <c r="BK174">
        <v>26.9</v>
      </c>
      <c r="BL174">
        <v>47</v>
      </c>
      <c r="BM174">
        <v>267</v>
      </c>
      <c r="BN174">
        <v>23</v>
      </c>
      <c r="BO174">
        <v>18</v>
      </c>
      <c r="BP174">
        <v>36</v>
      </c>
      <c r="BQ174">
        <v>0</v>
      </c>
      <c r="BR174">
        <v>207</v>
      </c>
      <c r="BS174">
        <v>342</v>
      </c>
      <c r="BT174">
        <v>1</v>
      </c>
      <c r="BU174" t="s">
        <v>54</v>
      </c>
      <c r="BV174" t="s">
        <v>1850</v>
      </c>
      <c r="BW174" t="s">
        <v>56</v>
      </c>
      <c r="BX174" t="str">
        <f>HYPERLINK(".\links\PREV-RHOD-CDS\TI_asb-294-PREV-RHOD-CDS.txt","Contig17970_484")</f>
        <v>Contig17970_484</v>
      </c>
      <c r="BY174" s="6">
        <v>1.3</v>
      </c>
      <c r="BZ174" t="s">
        <v>1851</v>
      </c>
      <c r="CA174">
        <v>34.200000000000003</v>
      </c>
      <c r="CB174">
        <v>16</v>
      </c>
      <c r="CC174">
        <v>873</v>
      </c>
      <c r="CD174">
        <v>100</v>
      </c>
      <c r="CE174">
        <v>2</v>
      </c>
      <c r="CF174">
        <v>0</v>
      </c>
      <c r="CG174">
        <v>0</v>
      </c>
      <c r="CH174">
        <v>370</v>
      </c>
      <c r="CI174">
        <v>207</v>
      </c>
      <c r="CJ174">
        <v>1</v>
      </c>
      <c r="CK174" t="s">
        <v>54</v>
      </c>
      <c r="CL174" t="s">
        <v>56</v>
      </c>
      <c r="CM174" t="s">
        <v>56</v>
      </c>
      <c r="CN174" t="s">
        <v>56</v>
      </c>
      <c r="CO174" t="s">
        <v>56</v>
      </c>
      <c r="CP174" t="s">
        <v>56</v>
      </c>
      <c r="CQ174" t="s">
        <v>56</v>
      </c>
      <c r="CR174" s="6" t="s">
        <v>56</v>
      </c>
      <c r="CS174" t="s">
        <v>56</v>
      </c>
      <c r="CT174" t="s">
        <v>56</v>
      </c>
      <c r="CU174" t="s">
        <v>56</v>
      </c>
      <c r="CV174" t="s">
        <v>56</v>
      </c>
      <c r="CW174" s="6" t="s">
        <v>56</v>
      </c>
      <c r="CX174" t="s">
        <v>56</v>
      </c>
      <c r="CY174" t="s">
        <v>56</v>
      </c>
      <c r="CZ174" t="s">
        <v>56</v>
      </c>
      <c r="DA174" t="s">
        <v>56</v>
      </c>
      <c r="DB174" s="6" t="s">
        <v>56</v>
      </c>
      <c r="DC174" t="s">
        <v>56</v>
      </c>
      <c r="DD174" t="s">
        <v>56</v>
      </c>
      <c r="DE174" t="s">
        <v>56</v>
      </c>
      <c r="DF174" t="str">
        <f>HYPERLINK(".\links\PFAM\TI_asb-294-PFAM.txt","DUF443")</f>
        <v>DUF443</v>
      </c>
      <c r="DG174" t="str">
        <f>HYPERLINK("http://pfam.sanger.ac.uk/family?acc=PF04276","0.018")</f>
        <v>0.018</v>
      </c>
      <c r="DH174" t="str">
        <f>HYPERLINK(".\links\PRK\TI_asb-294-PRK.txt","NADH dehydrogenase subunit 2")</f>
        <v>NADH dehydrogenase subunit 2</v>
      </c>
      <c r="DI174" s="6">
        <v>1.0999999999999999E-2</v>
      </c>
      <c r="DJ174" s="6" t="s">
        <v>56</v>
      </c>
      <c r="DN174" t="str">
        <f>HYPERLINK(".\links\SMART\TI_asb-294-SMART.txt","POLBc")</f>
        <v>POLBc</v>
      </c>
      <c r="DO174" t="str">
        <f>HYPERLINK("http://smart.embl-heidelberg.de/smart/do_annotation.pl?DOMAIN=POLBc&amp;BLAST=DUMMY","0.031")</f>
        <v>0.031</v>
      </c>
      <c r="DP174" s="3" t="s">
        <v>56</v>
      </c>
      <c r="ED174" s="3" t="s">
        <v>56</v>
      </c>
    </row>
    <row r="175" spans="1:134">
      <c r="A175" t="str">
        <f>HYPERLINK(".\links\seq\TI_asb-295-seq.txt","TI_asb-295")</f>
        <v>TI_asb-295</v>
      </c>
      <c r="B175">
        <v>295</v>
      </c>
      <c r="C175" t="str">
        <f>HYPERLINK(".\links\tsa\TI_asb-295-tsa.txt","3")</f>
        <v>3</v>
      </c>
      <c r="D175">
        <v>3</v>
      </c>
      <c r="E175">
        <v>881</v>
      </c>
      <c r="F175">
        <v>845</v>
      </c>
      <c r="G175" t="str">
        <f>HYPERLINK(".\links\qual\TI_asb-295-qual.txt","77")</f>
        <v>77</v>
      </c>
      <c r="H175">
        <v>3</v>
      </c>
      <c r="I175">
        <v>0</v>
      </c>
      <c r="J175">
        <f t="shared" si="8"/>
        <v>3</v>
      </c>
      <c r="K175" s="6">
        <f t="shared" si="9"/>
        <v>3</v>
      </c>
      <c r="L175" s="6" t="s">
        <v>4000</v>
      </c>
      <c r="M175" s="6" t="s">
        <v>3874</v>
      </c>
      <c r="N175" s="6" t="s">
        <v>3884</v>
      </c>
      <c r="O175" s="7">
        <v>4.9999999999999997E-37</v>
      </c>
      <c r="P175" s="6">
        <v>32.799999999999997</v>
      </c>
      <c r="Q175" s="3">
        <v>881</v>
      </c>
      <c r="R175" s="3">
        <v>522</v>
      </c>
      <c r="S175" s="6" t="s">
        <v>3654</v>
      </c>
      <c r="T175" s="3">
        <v>2</v>
      </c>
      <c r="U175" t="str">
        <f>HYPERLINK(".\links\NR-LIGHT\TI_asb-295-NR-LIGHT.txt","amidotransferase subunit A, putative")</f>
        <v>amidotransferase subunit A, putative</v>
      </c>
      <c r="V175" t="str">
        <f>HYPERLINK("http://www.ncbi.nlm.nih.gov/sutils/blink.cgi?pid=242007160","2E-045")</f>
        <v>2E-045</v>
      </c>
      <c r="W175" t="str">
        <f>HYPERLINK(".\links\NR-LIGHT\TI_asb-295-NR-LIGHT.txt"," 10")</f>
        <v xml:space="preserve"> 10</v>
      </c>
      <c r="X175" t="str">
        <f>HYPERLINK("http://www.ncbi.nlm.nih.gov/protein/242007160","gi|242007160")</f>
        <v>gi|242007160</v>
      </c>
      <c r="Y175">
        <v>185</v>
      </c>
      <c r="Z175">
        <v>172</v>
      </c>
      <c r="AA175">
        <v>520</v>
      </c>
      <c r="AB175">
        <v>51</v>
      </c>
      <c r="AC175">
        <v>33</v>
      </c>
      <c r="AD175">
        <v>83</v>
      </c>
      <c r="AE175">
        <v>0</v>
      </c>
      <c r="AF175">
        <v>348</v>
      </c>
      <c r="AG175">
        <v>5</v>
      </c>
      <c r="AH175">
        <v>1</v>
      </c>
      <c r="AI175">
        <v>2</v>
      </c>
      <c r="AJ175" t="s">
        <v>53</v>
      </c>
      <c r="AK175" t="s">
        <v>54</v>
      </c>
      <c r="AL175" t="s">
        <v>141</v>
      </c>
      <c r="AM175" t="str">
        <f>HYPERLINK(".\links\SWISSP\TI_asb-295-SWISSP.txt","Fatty-acid amide hydrolase 2 OS=Homo sapiens GN=FAAH2 PE=2 SV=1")</f>
        <v>Fatty-acid amide hydrolase 2 OS=Homo sapiens GN=FAAH2 PE=2 SV=1</v>
      </c>
      <c r="AN175" s="19" t="str">
        <f>HYPERLINK("http://www.uniprot.org/uniprot/Q6GMR7","4E-035")</f>
        <v>4E-035</v>
      </c>
      <c r="AO175" t="str">
        <f>HYPERLINK(".\links\SWISSP\TI_asb-295-SWISSP.txt"," 10")</f>
        <v xml:space="preserve"> 10</v>
      </c>
      <c r="AP175" t="s">
        <v>1852</v>
      </c>
      <c r="AQ175">
        <v>148</v>
      </c>
      <c r="AR175">
        <v>176</v>
      </c>
      <c r="AS175">
        <v>532</v>
      </c>
      <c r="AT175">
        <v>48</v>
      </c>
      <c r="AU175">
        <v>33</v>
      </c>
      <c r="AV175">
        <v>91</v>
      </c>
      <c r="AW175">
        <v>8</v>
      </c>
      <c r="AX175">
        <v>354</v>
      </c>
      <c r="AY175">
        <v>11</v>
      </c>
      <c r="AZ175">
        <v>1</v>
      </c>
      <c r="BA175">
        <v>2</v>
      </c>
      <c r="BB175" t="s">
        <v>53</v>
      </c>
      <c r="BC175" t="s">
        <v>54</v>
      </c>
      <c r="BD175" t="s">
        <v>330</v>
      </c>
      <c r="BE175" t="s">
        <v>1853</v>
      </c>
      <c r="BF175" t="s">
        <v>1854</v>
      </c>
      <c r="BG175" t="str">
        <f>HYPERLINK(".\links\PREV-RHOD-PEP\TI_asb-295-PREV-RHOD-PEP.txt","Contig17909_77")</f>
        <v>Contig17909_77</v>
      </c>
      <c r="BH175" s="7">
        <v>3.0000000000000001E-84</v>
      </c>
      <c r="BI175" t="str">
        <f>HYPERLINK(".\links\PREV-RHOD-PEP\TI_asb-295-PREV-RHOD-PEP.txt"," 10")</f>
        <v xml:space="preserve"> 10</v>
      </c>
      <c r="BJ175" t="s">
        <v>1855</v>
      </c>
      <c r="BK175">
        <v>307</v>
      </c>
      <c r="BL175">
        <v>173</v>
      </c>
      <c r="BM175">
        <v>761</v>
      </c>
      <c r="BN175">
        <v>84</v>
      </c>
      <c r="BO175">
        <v>23</v>
      </c>
      <c r="BP175">
        <v>26</v>
      </c>
      <c r="BQ175">
        <v>0</v>
      </c>
      <c r="BR175">
        <v>588</v>
      </c>
      <c r="BS175">
        <v>2</v>
      </c>
      <c r="BT175">
        <v>1</v>
      </c>
      <c r="BU175" t="s">
        <v>54</v>
      </c>
      <c r="BV175" t="s">
        <v>1856</v>
      </c>
      <c r="BW175" t="s">
        <v>56</v>
      </c>
      <c r="BX175" t="str">
        <f>HYPERLINK(".\links\PREV-RHOD-CDS\TI_asb-295-PREV-RHOD-CDS.txt","Contig17909_77")</f>
        <v>Contig17909_77</v>
      </c>
      <c r="BY175" s="7">
        <v>9.9999999999999999E-110</v>
      </c>
      <c r="BZ175" t="s">
        <v>1855</v>
      </c>
      <c r="CA175">
        <v>396</v>
      </c>
      <c r="CB175">
        <v>519</v>
      </c>
      <c r="CC175">
        <v>2286</v>
      </c>
      <c r="CD175">
        <v>84</v>
      </c>
      <c r="CE175">
        <v>23</v>
      </c>
      <c r="CF175">
        <v>80</v>
      </c>
      <c r="CG175">
        <v>0</v>
      </c>
      <c r="CH175">
        <v>1762</v>
      </c>
      <c r="CI175">
        <v>2</v>
      </c>
      <c r="CJ175">
        <v>1</v>
      </c>
      <c r="CK175" t="s">
        <v>54</v>
      </c>
      <c r="CL175" t="s">
        <v>1857</v>
      </c>
      <c r="CM175">
        <f>HYPERLINK(".\links\GO\TI_asb-295-GO.txt",5E-37)</f>
        <v>4.9999999999999997E-37</v>
      </c>
      <c r="CN175" t="s">
        <v>56</v>
      </c>
      <c r="CO175" t="s">
        <v>56</v>
      </c>
      <c r="CP175" t="s">
        <v>56</v>
      </c>
      <c r="CQ175" t="s">
        <v>56</v>
      </c>
      <c r="CR175" s="6" t="s">
        <v>56</v>
      </c>
      <c r="CS175" t="s">
        <v>56</v>
      </c>
      <c r="CT175" t="s">
        <v>56</v>
      </c>
      <c r="CU175" t="s">
        <v>56</v>
      </c>
      <c r="CV175" t="s">
        <v>56</v>
      </c>
      <c r="CW175" s="6" t="s">
        <v>56</v>
      </c>
      <c r="CX175" t="s">
        <v>1858</v>
      </c>
      <c r="CY175" t="s">
        <v>129</v>
      </c>
      <c r="CZ175" t="s">
        <v>166</v>
      </c>
      <c r="DA175" t="s">
        <v>1859</v>
      </c>
      <c r="DB175" s="6">
        <v>0.19</v>
      </c>
      <c r="DC175" t="str">
        <f>HYPERLINK(".\links\CDD\TI_asb-295-CDD.txt","GatA")</f>
        <v>GatA</v>
      </c>
      <c r="DD175" t="str">
        <f>HYPERLINK("http://www.ncbi.nlm.nih.gov/Structure/cdd/cddsrv.cgi?uid=COG0154&amp;version=v4.0","4E-009")</f>
        <v>4E-009</v>
      </c>
      <c r="DE175" t="s">
        <v>1860</v>
      </c>
      <c r="DF175" t="str">
        <f>HYPERLINK(".\links\PFAM\TI_asb-295-PFAM.txt","Amidase")</f>
        <v>Amidase</v>
      </c>
      <c r="DG175" t="str">
        <f>HYPERLINK("http://pfam.sanger.ac.uk/family?acc=PF01425","2E-007")</f>
        <v>2E-007</v>
      </c>
      <c r="DH175" t="str">
        <f>HYPERLINK(".\links\PRK\TI_asb-295-PRK.txt","amidase")</f>
        <v>amidase</v>
      </c>
      <c r="DI175" s="7">
        <v>3E-9</v>
      </c>
      <c r="DJ175" s="6" t="str">
        <f>HYPERLINK(".\links\KOG\TI_asb-295-KOG.txt","Amidases")</f>
        <v>Amidases</v>
      </c>
      <c r="DK175" s="6" t="str">
        <f>HYPERLINK("http://www.ncbi.nlm.nih.gov/COG/grace/shokog.cgi?KOG1212","5E-026")</f>
        <v>5E-026</v>
      </c>
      <c r="DL175" s="6" t="s">
        <v>4365</v>
      </c>
      <c r="DM175" s="6" t="str">
        <f>HYPERLINK(".\links\KOG\TI_asb-295-KOG.txt","KOG1212")</f>
        <v>KOG1212</v>
      </c>
      <c r="DN175" t="str">
        <f>HYPERLINK(".\links\SMART\TI_asb-295-SMART.txt","AgrB")</f>
        <v>AgrB</v>
      </c>
      <c r="DO175" t="str">
        <f>HYPERLINK("http://smart.embl-heidelberg.de/smart/do_annotation.pl?DOMAIN=AgrB&amp;BLAST=DUMMY","0.002")</f>
        <v>0.002</v>
      </c>
      <c r="DP175" s="3" t="s">
        <v>56</v>
      </c>
      <c r="ED175" s="3" t="s">
        <v>56</v>
      </c>
    </row>
    <row r="176" spans="1:134">
      <c r="A176" t="str">
        <f>HYPERLINK(".\links\seq\TI_asb-298-seq.txt","TI_asb-298")</f>
        <v>TI_asb-298</v>
      </c>
      <c r="B176">
        <v>298</v>
      </c>
      <c r="C176" t="str">
        <f>HYPERLINK(".\links\tsa\TI_asb-298-tsa.txt","1")</f>
        <v>1</v>
      </c>
      <c r="D176">
        <v>1</v>
      </c>
      <c r="E176">
        <v>984</v>
      </c>
      <c r="G176" t="str">
        <f>HYPERLINK(".\links\qual\TI_asb-298-qual.txt","22")</f>
        <v>22</v>
      </c>
      <c r="H176">
        <v>1</v>
      </c>
      <c r="I176">
        <v>0</v>
      </c>
      <c r="J176">
        <f t="shared" si="8"/>
        <v>1</v>
      </c>
      <c r="K176" s="6">
        <f t="shared" si="9"/>
        <v>1</v>
      </c>
      <c r="L176" s="6" t="s">
        <v>4001</v>
      </c>
      <c r="M176" s="6" t="s">
        <v>3912</v>
      </c>
      <c r="N176" s="6" t="s">
        <v>3872</v>
      </c>
      <c r="O176" s="7">
        <v>8.0000000000000004E-22</v>
      </c>
      <c r="P176" s="6">
        <v>32.299999999999997</v>
      </c>
      <c r="Q176" s="3">
        <v>984</v>
      </c>
      <c r="R176" s="3">
        <v>723</v>
      </c>
      <c r="S176" s="3" t="s">
        <v>3655</v>
      </c>
      <c r="T176" s="3">
        <v>2</v>
      </c>
      <c r="U176" t="str">
        <f>HYPERLINK(".\links\NR-LIGHT\TI_asb-298-NR-LIGHT.txt","similar to AGAP005091-PB")</f>
        <v>similar to AGAP005091-PB</v>
      </c>
      <c r="V176" t="str">
        <f>HYPERLINK("http://www.ncbi.nlm.nih.gov/sutils/blink.cgi?pid=189234389","3E-062")</f>
        <v>3E-062</v>
      </c>
      <c r="W176" t="str">
        <f>HYPERLINK(".\links\NR-LIGHT\TI_asb-298-NR-LIGHT.txt"," 10")</f>
        <v xml:space="preserve"> 10</v>
      </c>
      <c r="X176" t="str">
        <f>HYPERLINK("http://www.ncbi.nlm.nih.gov/protein/189234389","gi|189234389")</f>
        <v>gi|189234389</v>
      </c>
      <c r="Y176">
        <v>241</v>
      </c>
      <c r="Z176">
        <v>231</v>
      </c>
      <c r="AA176">
        <v>581</v>
      </c>
      <c r="AB176">
        <v>56</v>
      </c>
      <c r="AC176">
        <v>40</v>
      </c>
      <c r="AD176">
        <v>100</v>
      </c>
      <c r="AE176">
        <v>6</v>
      </c>
      <c r="AF176">
        <v>264</v>
      </c>
      <c r="AG176">
        <v>32</v>
      </c>
      <c r="AH176">
        <v>1</v>
      </c>
      <c r="AI176">
        <v>2</v>
      </c>
      <c r="AJ176" t="s">
        <v>53</v>
      </c>
      <c r="AK176" t="s">
        <v>54</v>
      </c>
      <c r="AL176" t="s">
        <v>79</v>
      </c>
      <c r="AM176" t="str">
        <f>HYPERLINK(".\links\SWISSP\TI_asb-298-SWISSP.txt","Protein GDAP2 homolog OS=Drosophila pseudoobscura pseudoobscura GN=GA15091 PE=3")</f>
        <v>Protein GDAP2 homolog OS=Drosophila pseudoobscura pseudoobscura GN=GA15091 PE=3</v>
      </c>
      <c r="AN176" s="19" t="str">
        <f>HYPERLINK("http://www.uniprot.org/uniprot/Q292F9","3E-053")</f>
        <v>3E-053</v>
      </c>
      <c r="AO176" t="str">
        <f>HYPERLINK(".\links\SWISSP\TI_asb-298-SWISSP.txt"," 10")</f>
        <v xml:space="preserve"> 10</v>
      </c>
      <c r="AP176" t="s">
        <v>1861</v>
      </c>
      <c r="AQ176">
        <v>209</v>
      </c>
      <c r="AR176">
        <v>211</v>
      </c>
      <c r="AS176">
        <v>542</v>
      </c>
      <c r="AT176">
        <v>52</v>
      </c>
      <c r="AU176">
        <v>39</v>
      </c>
      <c r="AV176">
        <v>100</v>
      </c>
      <c r="AW176">
        <v>4</v>
      </c>
      <c r="AX176">
        <v>327</v>
      </c>
      <c r="AY176">
        <v>104</v>
      </c>
      <c r="AZ176">
        <v>1</v>
      </c>
      <c r="BA176">
        <v>2</v>
      </c>
      <c r="BB176" t="s">
        <v>53</v>
      </c>
      <c r="BC176" t="s">
        <v>54</v>
      </c>
      <c r="BD176" t="s">
        <v>1862</v>
      </c>
      <c r="BE176" t="s">
        <v>1863</v>
      </c>
      <c r="BF176" t="s">
        <v>1864</v>
      </c>
      <c r="BG176" t="str">
        <f>HYPERLINK(".\links\PREV-RHOD-PEP\TI_asb-298-PREV-RHOD-PEP.txt","Contig17945_17")</f>
        <v>Contig17945_17</v>
      </c>
      <c r="BH176" s="7">
        <v>6.0000000000000004E-40</v>
      </c>
      <c r="BI176" t="str">
        <f>HYPERLINK(".\links\PREV-RHOD-PEP\TI_asb-298-PREV-RHOD-PEP.txt"," 10")</f>
        <v xml:space="preserve"> 10</v>
      </c>
      <c r="BJ176" t="s">
        <v>1865</v>
      </c>
      <c r="BK176">
        <v>160</v>
      </c>
      <c r="BL176">
        <v>112</v>
      </c>
      <c r="BM176">
        <v>774</v>
      </c>
      <c r="BN176">
        <v>71</v>
      </c>
      <c r="BO176">
        <v>14</v>
      </c>
      <c r="BP176">
        <v>32</v>
      </c>
      <c r="BQ176">
        <v>0</v>
      </c>
      <c r="BR176">
        <v>14</v>
      </c>
      <c r="BS176">
        <v>203</v>
      </c>
      <c r="BT176">
        <v>1</v>
      </c>
      <c r="BU176" t="s">
        <v>54</v>
      </c>
      <c r="BV176" t="s">
        <v>1866</v>
      </c>
      <c r="BW176" t="s">
        <v>56</v>
      </c>
      <c r="BX176" t="str">
        <f>HYPERLINK(".\links\PREV-RHOD-CDS\TI_asb-298-PREV-RHOD-CDS.txt","Contig17945_17")</f>
        <v>Contig17945_17</v>
      </c>
      <c r="BY176" s="7">
        <v>9.9999999999999998E-141</v>
      </c>
      <c r="BZ176" t="s">
        <v>1865</v>
      </c>
      <c r="CA176">
        <v>500</v>
      </c>
      <c r="CB176">
        <v>347</v>
      </c>
      <c r="CC176">
        <v>2325</v>
      </c>
      <c r="CD176">
        <v>93</v>
      </c>
      <c r="CE176">
        <v>15</v>
      </c>
      <c r="CF176">
        <v>24</v>
      </c>
      <c r="CG176">
        <v>0</v>
      </c>
      <c r="CH176">
        <v>43</v>
      </c>
      <c r="CI176">
        <v>206</v>
      </c>
      <c r="CJ176">
        <v>1</v>
      </c>
      <c r="CK176" t="s">
        <v>54</v>
      </c>
      <c r="CL176" t="s">
        <v>1867</v>
      </c>
      <c r="CM176">
        <f>HYPERLINK(".\links\GO\TI_asb-298-GO.txt",6E-24)</f>
        <v>5.9999999999999999E-24</v>
      </c>
      <c r="CN176" t="s">
        <v>58</v>
      </c>
      <c r="CO176" t="s">
        <v>58</v>
      </c>
      <c r="CQ176" t="s">
        <v>59</v>
      </c>
      <c r="CR176" s="7">
        <v>5.9999999999999999E-24</v>
      </c>
      <c r="CS176" t="s">
        <v>60</v>
      </c>
      <c r="CT176" t="s">
        <v>60</v>
      </c>
      <c r="CV176" t="s">
        <v>61</v>
      </c>
      <c r="CW176" s="7">
        <v>5.9999999999999999E-24</v>
      </c>
      <c r="CX176" t="s">
        <v>1868</v>
      </c>
      <c r="CY176" t="s">
        <v>58</v>
      </c>
      <c r="DA176" t="s">
        <v>1869</v>
      </c>
      <c r="DB176" s="7">
        <v>5.9999999999999999E-24</v>
      </c>
      <c r="DC176" t="str">
        <f>HYPERLINK(".\links\CDD\TI_asb-298-CDD.txt","SEC14")</f>
        <v>SEC14</v>
      </c>
      <c r="DD176" t="str">
        <f>HYPERLINK("http://www.ncbi.nlm.nih.gov/Structure/cdd/cddsrv.cgi?uid=cd00170&amp;version=v4.0","2E-019")</f>
        <v>2E-019</v>
      </c>
      <c r="DE176" t="s">
        <v>1870</v>
      </c>
      <c r="DF176" t="str">
        <f>HYPERLINK(".\links\PFAM\TI_asb-298-PFAM.txt","RNA_pol_Rpb1_1")</f>
        <v>RNA_pol_Rpb1_1</v>
      </c>
      <c r="DG176" t="str">
        <f>HYPERLINK("http://pfam.sanger.ac.uk/family?acc=PF04997","0.043")</f>
        <v>0.043</v>
      </c>
      <c r="DH176" t="s">
        <v>56</v>
      </c>
      <c r="DI176" s="6" t="s">
        <v>56</v>
      </c>
      <c r="DJ176" s="6" t="str">
        <f>HYPERLINK(".\links\KOG\TI_asb-298-KOG.txt","CDC42 Rho GTPase-activating protein")</f>
        <v>CDC42 Rho GTPase-activating protein</v>
      </c>
      <c r="DK176" s="6" t="str">
        <f>HYPERLINK("http://www.ncbi.nlm.nih.gov/COG/grace/shokog.cgi?KOG4406","8E-022")</f>
        <v>8E-022</v>
      </c>
      <c r="DL176" s="6" t="s">
        <v>4353</v>
      </c>
      <c r="DM176" s="6" t="str">
        <f>HYPERLINK(".\links\KOG\TI_asb-298-KOG.txt","KOG4406")</f>
        <v>KOG4406</v>
      </c>
      <c r="DN176" t="str">
        <f>HYPERLINK(".\links\SMART\TI_asb-298-SMART.txt","SEC14")</f>
        <v>SEC14</v>
      </c>
      <c r="DO176" t="str">
        <f>HYPERLINK("http://smart.embl-heidelberg.de/smart/do_annotation.pl?DOMAIN=SEC14&amp;BLAST=DUMMY","3E-017")</f>
        <v>3E-017</v>
      </c>
      <c r="DP176" s="3" t="s">
        <v>56</v>
      </c>
      <c r="ED176" s="3" t="s">
        <v>56</v>
      </c>
    </row>
    <row r="177" spans="1:147">
      <c r="A177" t="str">
        <f>HYPERLINK(".\links\seq\TI_asb-300-seq.txt","TI_asb-300")</f>
        <v>TI_asb-300</v>
      </c>
      <c r="B177">
        <v>300</v>
      </c>
      <c r="C177" t="str">
        <f>HYPERLINK(".\links\tsa\TI_asb-300-tsa.txt","1")</f>
        <v>1</v>
      </c>
      <c r="D177">
        <v>1</v>
      </c>
      <c r="E177">
        <v>630</v>
      </c>
      <c r="G177" t="str">
        <f>HYPERLINK(".\links\qual\TI_asb-300-qual.txt","51")</f>
        <v>51</v>
      </c>
      <c r="H177">
        <v>0</v>
      </c>
      <c r="I177">
        <v>1</v>
      </c>
      <c r="J177">
        <f t="shared" si="8"/>
        <v>1</v>
      </c>
      <c r="K177" s="6">
        <f t="shared" si="9"/>
        <v>-1</v>
      </c>
      <c r="L177" s="6" t="s">
        <v>4002</v>
      </c>
      <c r="M177" s="6" t="s">
        <v>3912</v>
      </c>
      <c r="N177" s="6" t="s">
        <v>3872</v>
      </c>
      <c r="O177" s="7">
        <v>8E-73</v>
      </c>
      <c r="P177" s="6">
        <v>29.7</v>
      </c>
      <c r="Q177" s="3">
        <v>630</v>
      </c>
      <c r="R177" s="3">
        <v>624</v>
      </c>
      <c r="S177" s="3" t="s">
        <v>3656</v>
      </c>
      <c r="T177" s="3">
        <v>3</v>
      </c>
      <c r="U177" t="str">
        <f>HYPERLINK(".\links\NR-LIGHT\TI_asb-300-NR-LIGHT.txt","similar to rhomboid")</f>
        <v>similar to rhomboid</v>
      </c>
      <c r="V177" t="str">
        <f>HYPERLINK("http://www.ncbi.nlm.nih.gov/sutils/blink.cgi?pid=91089053","2E-063")</f>
        <v>2E-063</v>
      </c>
      <c r="W177" t="str">
        <f>HYPERLINK(".\links\NR-LIGHT\TI_asb-300-NR-LIGHT.txt"," 10")</f>
        <v xml:space="preserve"> 10</v>
      </c>
      <c r="X177" t="str">
        <f>HYPERLINK("http://www.ncbi.nlm.nih.gov/protein/91089053","gi|91089053")</f>
        <v>gi|91089053</v>
      </c>
      <c r="Y177">
        <v>240</v>
      </c>
      <c r="Z177">
        <v>195</v>
      </c>
      <c r="AA177">
        <v>1486</v>
      </c>
      <c r="AB177">
        <v>61</v>
      </c>
      <c r="AC177">
        <v>13</v>
      </c>
      <c r="AD177">
        <v>75</v>
      </c>
      <c r="AE177">
        <v>0</v>
      </c>
      <c r="AF177">
        <v>1224</v>
      </c>
      <c r="AG177">
        <v>2</v>
      </c>
      <c r="AH177">
        <v>2</v>
      </c>
      <c r="AI177">
        <v>3</v>
      </c>
      <c r="AJ177" t="s">
        <v>65</v>
      </c>
      <c r="AK177" t="s">
        <v>54</v>
      </c>
      <c r="AL177" t="s">
        <v>79</v>
      </c>
      <c r="AM177" t="str">
        <f>HYPERLINK(".\links\SWISSP\TI_asb-300-SWISSP.txt","Rhomboid family member 2 OS=Homo sapiens GN=RHBDF2 PE=1 SV=2")</f>
        <v>Rhomboid family member 2 OS=Homo sapiens GN=RHBDF2 PE=1 SV=2</v>
      </c>
      <c r="AN177" s="19" t="str">
        <f>HYPERLINK("http://www.uniprot.org/uniprot/Q6PJF5","6E-047")</f>
        <v>6E-047</v>
      </c>
      <c r="AO177" t="str">
        <f>HYPERLINK(".\links\SWISSP\TI_asb-300-SWISSP.txt"," 10")</f>
        <v xml:space="preserve"> 10</v>
      </c>
      <c r="AP177" t="s">
        <v>1871</v>
      </c>
      <c r="AQ177">
        <v>187</v>
      </c>
      <c r="AR177">
        <v>194</v>
      </c>
      <c r="AS177">
        <v>856</v>
      </c>
      <c r="AT177">
        <v>47</v>
      </c>
      <c r="AU177">
        <v>23</v>
      </c>
      <c r="AV177">
        <v>102</v>
      </c>
      <c r="AW177">
        <v>0</v>
      </c>
      <c r="AX177">
        <v>614</v>
      </c>
      <c r="AY177">
        <v>45</v>
      </c>
      <c r="AZ177">
        <v>1</v>
      </c>
      <c r="BA177">
        <v>3</v>
      </c>
      <c r="BB177" t="s">
        <v>53</v>
      </c>
      <c r="BC177" t="s">
        <v>54</v>
      </c>
      <c r="BD177" t="s">
        <v>330</v>
      </c>
      <c r="BE177" t="s">
        <v>1872</v>
      </c>
      <c r="BF177" t="s">
        <v>1873</v>
      </c>
      <c r="BG177" t="str">
        <f>HYPERLINK(".\links\PREV-RHOD-PEP\TI_asb-300-PREV-RHOD-PEP.txt","Contig17523_36")</f>
        <v>Contig17523_36</v>
      </c>
      <c r="BH177" s="7">
        <v>9.9999999999999997E-49</v>
      </c>
      <c r="BI177" t="str">
        <f>HYPERLINK(".\links\PREV-RHOD-PEP\TI_asb-300-PREV-RHOD-PEP.txt"," 10")</f>
        <v xml:space="preserve"> 10</v>
      </c>
      <c r="BJ177" t="s">
        <v>1874</v>
      </c>
      <c r="BK177">
        <v>166</v>
      </c>
      <c r="BL177">
        <v>91</v>
      </c>
      <c r="BM177">
        <v>690</v>
      </c>
      <c r="BN177">
        <v>89</v>
      </c>
      <c r="BO177">
        <v>13</v>
      </c>
      <c r="BP177">
        <v>10</v>
      </c>
      <c r="BQ177">
        <v>0</v>
      </c>
      <c r="BR177">
        <v>570</v>
      </c>
      <c r="BS177">
        <v>2</v>
      </c>
      <c r="BT177">
        <v>3</v>
      </c>
      <c r="BU177" t="s">
        <v>54</v>
      </c>
      <c r="BV177" t="s">
        <v>1875</v>
      </c>
      <c r="BW177" t="s">
        <v>56</v>
      </c>
      <c r="BX177" t="str">
        <f>HYPERLINK(".\links\PREV-RHOD-CDS\TI_asb-300-PREV-RHOD-CDS.txt","Contig17523_36")</f>
        <v>Contig17523_36</v>
      </c>
      <c r="BY177" s="7">
        <v>9.9999999999999993E-103</v>
      </c>
      <c r="BZ177" t="s">
        <v>1874</v>
      </c>
      <c r="CA177">
        <v>373</v>
      </c>
      <c r="CB177">
        <v>317</v>
      </c>
      <c r="CC177">
        <v>2073</v>
      </c>
      <c r="CD177">
        <v>92</v>
      </c>
      <c r="CE177">
        <v>15</v>
      </c>
      <c r="CF177">
        <v>21</v>
      </c>
      <c r="CG177">
        <v>0</v>
      </c>
      <c r="CH177">
        <v>1756</v>
      </c>
      <c r="CI177">
        <v>48</v>
      </c>
      <c r="CJ177">
        <v>2</v>
      </c>
      <c r="CK177" t="s">
        <v>54</v>
      </c>
      <c r="CL177" t="s">
        <v>1876</v>
      </c>
      <c r="CM177">
        <f>HYPERLINK(".\links\GO\TI_asb-300-GO.txt",2E-47)</f>
        <v>1.9999999999999999E-47</v>
      </c>
      <c r="CN177" t="s">
        <v>1877</v>
      </c>
      <c r="CO177" t="s">
        <v>129</v>
      </c>
      <c r="CP177" t="s">
        <v>166</v>
      </c>
      <c r="CQ177" t="s">
        <v>1878</v>
      </c>
      <c r="CR177" s="6">
        <v>1.0000000000000001E-5</v>
      </c>
      <c r="CS177" t="s">
        <v>153</v>
      </c>
      <c r="CT177" t="s">
        <v>75</v>
      </c>
      <c r="CU177" t="s">
        <v>92</v>
      </c>
      <c r="CV177" t="s">
        <v>154</v>
      </c>
      <c r="CW177" s="6">
        <v>1.0000000000000001E-5</v>
      </c>
      <c r="CX177" t="s">
        <v>1879</v>
      </c>
      <c r="CY177" t="s">
        <v>129</v>
      </c>
      <c r="CZ177" t="s">
        <v>166</v>
      </c>
      <c r="DA177" t="s">
        <v>1880</v>
      </c>
      <c r="DB177" s="6">
        <v>1.0000000000000001E-5</v>
      </c>
      <c r="DC177" t="str">
        <f>HYPERLINK(".\links\CDD\TI_asb-300-CDD.txt","Rhomboid")</f>
        <v>Rhomboid</v>
      </c>
      <c r="DD177" t="str">
        <f>HYPERLINK("http://www.ncbi.nlm.nih.gov/Structure/cdd/cddsrv.cgi?uid=pfam01694&amp;version=v4.0","1E-030")</f>
        <v>1E-030</v>
      </c>
      <c r="DE177" t="s">
        <v>1881</v>
      </c>
      <c r="DF177" t="str">
        <f>HYPERLINK(".\links\PFAM\TI_asb-300-PFAM.txt","Rhomboid")</f>
        <v>Rhomboid</v>
      </c>
      <c r="DG177" t="str">
        <f>HYPERLINK("http://pfam.sanger.ac.uk/family?acc=PF01694","4E-033")</f>
        <v>4E-033</v>
      </c>
      <c r="DH177" t="str">
        <f>HYPERLINK(".\links\PRK\TI_asb-300-PRK.txt","rhomboid-1 protease")</f>
        <v>rhomboid-1 protease</v>
      </c>
      <c r="DI177" s="7">
        <v>1E-10</v>
      </c>
      <c r="DJ177" s="6" t="str">
        <f>HYPERLINK(".\links\KOG\TI_asb-300-KOG.txt","Rhomboid family proteins")</f>
        <v>Rhomboid family proteins</v>
      </c>
      <c r="DK177" s="6" t="str">
        <f>HYPERLINK("http://www.ncbi.nlm.nih.gov/COG/grace/shokog.cgi?KOG2290","8E-073")</f>
        <v>8E-073</v>
      </c>
      <c r="DL177" s="6" t="s">
        <v>4342</v>
      </c>
      <c r="DM177" s="6" t="str">
        <f>HYPERLINK(".\links\KOG\TI_asb-300-KOG.txt","KOG2290")</f>
        <v>KOG2290</v>
      </c>
      <c r="DN177" t="str">
        <f>HYPERLINK(".\links\SMART\TI_asb-300-SMART.txt","HTTM")</f>
        <v>HTTM</v>
      </c>
      <c r="DO177" t="str">
        <f>HYPERLINK("http://smart.embl-heidelberg.de/smart/do_annotation.pl?DOMAIN=HTTM&amp;BLAST=DUMMY","0.026")</f>
        <v>0.026</v>
      </c>
      <c r="DP177" s="3" t="s">
        <v>56</v>
      </c>
      <c r="ED177" s="3" t="s">
        <v>56</v>
      </c>
    </row>
    <row r="178" spans="1:147">
      <c r="A178" t="str">
        <f>HYPERLINK(".\links\seq\TI_asb-302-seq.txt","TI_asb-302")</f>
        <v>TI_asb-302</v>
      </c>
      <c r="B178">
        <v>302</v>
      </c>
      <c r="C178" t="str">
        <f>HYPERLINK(".\links\tsa\TI_asb-302-tsa.txt","1")</f>
        <v>1</v>
      </c>
      <c r="D178">
        <v>1</v>
      </c>
      <c r="E178">
        <v>524</v>
      </c>
      <c r="G178" t="str">
        <f>HYPERLINK(".\links\qual\TI_asb-302-qual.txt","44")</f>
        <v>44</v>
      </c>
      <c r="H178">
        <v>0</v>
      </c>
      <c r="I178">
        <v>1</v>
      </c>
      <c r="J178">
        <f t="shared" si="8"/>
        <v>1</v>
      </c>
      <c r="K178" s="6">
        <f t="shared" si="9"/>
        <v>-1</v>
      </c>
      <c r="L178" s="6" t="s">
        <v>4003</v>
      </c>
      <c r="M178" s="6" t="s">
        <v>3866</v>
      </c>
      <c r="N178" s="6" t="s">
        <v>3884</v>
      </c>
      <c r="O178" s="6">
        <v>2.9999999999999998E-15</v>
      </c>
      <c r="P178" s="6">
        <v>87</v>
      </c>
      <c r="Q178" s="3">
        <v>524</v>
      </c>
      <c r="R178" s="3">
        <v>210</v>
      </c>
      <c r="S178" s="6" t="s">
        <v>3657</v>
      </c>
      <c r="T178" s="3">
        <v>5</v>
      </c>
      <c r="U178" t="str">
        <f>HYPERLINK(".\links\NR-LIGHT\TI_asb-302-NR-LIGHT.txt","mitochondrial ribosomal protein, L33")</f>
        <v>mitochondrial ribosomal protein, L33</v>
      </c>
      <c r="V178" t="str">
        <f>HYPERLINK("http://www.ncbi.nlm.nih.gov/sutils/blink.cgi?pid=170044531","6E-015")</f>
        <v>6E-015</v>
      </c>
      <c r="W178" t="str">
        <f>HYPERLINK(".\links\NR-LIGHT\TI_asb-302-NR-LIGHT.txt"," 10")</f>
        <v xml:space="preserve"> 10</v>
      </c>
      <c r="X178" t="str">
        <f>HYPERLINK("http://www.ncbi.nlm.nih.gov/protein/170044531","gi|170044531")</f>
        <v>gi|170044531</v>
      </c>
      <c r="Y178">
        <v>82.4</v>
      </c>
      <c r="Z178">
        <v>56</v>
      </c>
      <c r="AA178">
        <v>65</v>
      </c>
      <c r="AB178">
        <v>71</v>
      </c>
      <c r="AC178">
        <v>86</v>
      </c>
      <c r="AD178">
        <v>16</v>
      </c>
      <c r="AE178">
        <v>0</v>
      </c>
      <c r="AF178">
        <v>1</v>
      </c>
      <c r="AG178">
        <v>93</v>
      </c>
      <c r="AH178">
        <v>1</v>
      </c>
      <c r="AI178">
        <v>3</v>
      </c>
      <c r="AJ178" t="s">
        <v>53</v>
      </c>
      <c r="AK178" t="s">
        <v>54</v>
      </c>
      <c r="AL178" t="s">
        <v>111</v>
      </c>
      <c r="AM178" t="str">
        <f>HYPERLINK(".\links\SWISSP\TI_asb-302-SWISSP.txt","39S ribosomal protein L33, mitochondrial OS=Drosophila melanogaster GN=mRpL33")</f>
        <v>39S ribosomal protein L33, mitochondrial OS=Drosophila melanogaster GN=mRpL33</v>
      </c>
      <c r="AN178" s="19" t="str">
        <f>HYPERLINK("http://www.uniprot.org/uniprot/Q9W4L1","9E-015")</f>
        <v>9E-015</v>
      </c>
      <c r="AO178" t="str">
        <f>HYPERLINK(".\links\SWISSP\TI_asb-302-SWISSP.txt"," 7")</f>
        <v xml:space="preserve"> 7</v>
      </c>
      <c r="AP178" t="s">
        <v>1882</v>
      </c>
      <c r="AQ178">
        <v>79.7</v>
      </c>
      <c r="AR178">
        <v>56</v>
      </c>
      <c r="AS178">
        <v>64</v>
      </c>
      <c r="AT178">
        <v>71</v>
      </c>
      <c r="AU178">
        <v>88</v>
      </c>
      <c r="AV178">
        <v>16</v>
      </c>
      <c r="AW178">
        <v>0</v>
      </c>
      <c r="AX178">
        <v>1</v>
      </c>
      <c r="AY178">
        <v>93</v>
      </c>
      <c r="AZ178">
        <v>1</v>
      </c>
      <c r="BA178">
        <v>3</v>
      </c>
      <c r="BB178" t="s">
        <v>53</v>
      </c>
      <c r="BC178" t="s">
        <v>54</v>
      </c>
      <c r="BD178" t="s">
        <v>143</v>
      </c>
      <c r="BE178" t="s">
        <v>1883</v>
      </c>
      <c r="BF178" t="s">
        <v>1884</v>
      </c>
      <c r="BG178" t="str">
        <f>HYPERLINK(".\links\PREV-RHOD-PEP\TI_asb-302-PREV-RHOD-PEP.txt","Contig11084_14")</f>
        <v>Contig11084_14</v>
      </c>
      <c r="BH178" s="6">
        <v>2.9</v>
      </c>
      <c r="BI178" t="str">
        <f>HYPERLINK(".\links\PREV-RHOD-PEP\TI_asb-302-PREV-RHOD-PEP.txt"," 4")</f>
        <v xml:space="preserve"> 4</v>
      </c>
      <c r="BJ178" t="s">
        <v>1885</v>
      </c>
      <c r="BK178">
        <v>27.7</v>
      </c>
      <c r="BL178">
        <v>33</v>
      </c>
      <c r="BM178">
        <v>292</v>
      </c>
      <c r="BN178">
        <v>39</v>
      </c>
      <c r="BO178">
        <v>11</v>
      </c>
      <c r="BP178">
        <v>20</v>
      </c>
      <c r="BQ178">
        <v>0</v>
      </c>
      <c r="BR178">
        <v>154</v>
      </c>
      <c r="BS178">
        <v>163</v>
      </c>
      <c r="BT178">
        <v>1</v>
      </c>
      <c r="BU178" t="s">
        <v>54</v>
      </c>
      <c r="BV178" t="s">
        <v>1886</v>
      </c>
      <c r="BW178" t="s">
        <v>56</v>
      </c>
      <c r="BX178" t="str">
        <f>HYPERLINK(".\links\PREV-RHOD-CDS\TI_asb-302-PREV-RHOD-CDS.txt","Contig17872_78")</f>
        <v>Contig17872_78</v>
      </c>
      <c r="BY178" s="6">
        <v>0.26</v>
      </c>
      <c r="BZ178" t="s">
        <v>1887</v>
      </c>
      <c r="CA178">
        <v>36.200000000000003</v>
      </c>
      <c r="CB178">
        <v>17</v>
      </c>
      <c r="CC178">
        <v>1335</v>
      </c>
      <c r="CD178">
        <v>100</v>
      </c>
      <c r="CE178">
        <v>1</v>
      </c>
      <c r="CF178">
        <v>0</v>
      </c>
      <c r="CG178">
        <v>0</v>
      </c>
      <c r="CH178">
        <v>1175</v>
      </c>
      <c r="CI178">
        <v>339</v>
      </c>
      <c r="CJ178">
        <v>1</v>
      </c>
      <c r="CK178" t="s">
        <v>54</v>
      </c>
      <c r="CL178" t="s">
        <v>1888</v>
      </c>
      <c r="CM178">
        <f>HYPERLINK(".\links\GO\TI_asb-302-GO.txt",0.000000000000003)</f>
        <v>2.9999999999999998E-15</v>
      </c>
      <c r="CN178" t="s">
        <v>702</v>
      </c>
      <c r="CO178" t="s">
        <v>703</v>
      </c>
      <c r="CP178" t="s">
        <v>704</v>
      </c>
      <c r="CQ178" t="s">
        <v>705</v>
      </c>
      <c r="CR178" s="6">
        <v>2.9999999999999998E-15</v>
      </c>
      <c r="CS178" t="s">
        <v>1889</v>
      </c>
      <c r="CT178" t="s">
        <v>1890</v>
      </c>
      <c r="CU178" t="s">
        <v>1891</v>
      </c>
      <c r="CV178" t="s">
        <v>1892</v>
      </c>
      <c r="CW178" s="6">
        <v>2.9999999999999998E-15</v>
      </c>
      <c r="CX178" t="s">
        <v>708</v>
      </c>
      <c r="CY178" t="s">
        <v>703</v>
      </c>
      <c r="CZ178" t="s">
        <v>704</v>
      </c>
      <c r="DA178" t="s">
        <v>709</v>
      </c>
      <c r="DB178" s="6">
        <v>2.9999999999999998E-15</v>
      </c>
      <c r="DC178" t="str">
        <f>HYPERLINK(".\links\CDD\TI_asb-302-CDD.txt","Serpentine_recp")</f>
        <v>Serpentine_recp</v>
      </c>
      <c r="DD178" t="str">
        <f>HYPERLINK("http://www.ncbi.nlm.nih.gov/Structure/cdd/cddsrv.cgi?uid=pfam01748&amp;version=v4.0","0.063")</f>
        <v>0.063</v>
      </c>
      <c r="DE178" t="s">
        <v>1893</v>
      </c>
      <c r="DF178" t="str">
        <f>HYPERLINK(".\links\PFAM\TI_asb-302-PFAM.txt","Srg")</f>
        <v>Srg</v>
      </c>
      <c r="DG178" t="str">
        <f>HYPERLINK("http://pfam.sanger.ac.uk/family?acc=PF02118","0.018")</f>
        <v>0.018</v>
      </c>
      <c r="DH178" t="str">
        <f>HYPERLINK(".\links\PRK\TI_asb-302-PRK.txt","NADH dehydrogenase subunit 5")</f>
        <v>NADH dehydrogenase subunit 5</v>
      </c>
      <c r="DI178" s="6">
        <v>2E-3</v>
      </c>
      <c r="DJ178" s="6" t="str">
        <f>HYPERLINK(".\links\KOG\TI_asb-302-KOG.txt","Mitochondrial/chloroplast ribosomal protein L33-like")</f>
        <v>Mitochondrial/chloroplast ribosomal protein L33-like</v>
      </c>
      <c r="DK178" s="6" t="str">
        <f>HYPERLINK("http://www.ncbi.nlm.nih.gov/COG/grace/shokog.cgi?KOG3505","5E-005")</f>
        <v>5E-005</v>
      </c>
      <c r="DL178" s="6" t="s">
        <v>4333</v>
      </c>
      <c r="DM178" s="6" t="str">
        <f>HYPERLINK(".\links\KOG\TI_asb-302-KOG.txt","KOG3505")</f>
        <v>KOG3505</v>
      </c>
      <c r="DN178" t="str">
        <f>HYPERLINK(".\links\SMART\TI_asb-302-SMART.txt","PMEI")</f>
        <v>PMEI</v>
      </c>
      <c r="DO178" t="str">
        <f>HYPERLINK("http://smart.embl-heidelberg.de/smart/do_annotation.pl?DOMAIN=PMEI&amp;BLAST=DUMMY","0.023")</f>
        <v>0.023</v>
      </c>
      <c r="DP178" s="3" t="s">
        <v>56</v>
      </c>
      <c r="ED178" s="3" t="s">
        <v>56</v>
      </c>
    </row>
    <row r="179" spans="1:147">
      <c r="A179" t="str">
        <f>HYPERLINK(".\links\seq\TI_asb-303-seq.txt","TI_asb-303")</f>
        <v>TI_asb-303</v>
      </c>
      <c r="B179">
        <v>303</v>
      </c>
      <c r="C179" t="str">
        <f>HYPERLINK(".\links\tsa\TI_asb-303-tsa.txt","1")</f>
        <v>1</v>
      </c>
      <c r="D179">
        <v>1</v>
      </c>
      <c r="E179">
        <v>571</v>
      </c>
      <c r="F179">
        <v>538</v>
      </c>
      <c r="G179" t="str">
        <f>HYPERLINK(".\links\qual\TI_asb-303-qual.txt","50")</f>
        <v>50</v>
      </c>
      <c r="H179">
        <v>0</v>
      </c>
      <c r="I179">
        <v>1</v>
      </c>
      <c r="J179">
        <f t="shared" si="8"/>
        <v>1</v>
      </c>
      <c r="K179" s="6">
        <f t="shared" si="9"/>
        <v>-1</v>
      </c>
      <c r="L179" s="6" t="s">
        <v>3868</v>
      </c>
      <c r="M179" s="6" t="s">
        <v>3869</v>
      </c>
      <c r="N179" s="6"/>
      <c r="O179" s="6"/>
      <c r="P179" s="6"/>
      <c r="Q179" s="3">
        <v>571</v>
      </c>
      <c r="R179" s="3">
        <v>150</v>
      </c>
      <c r="S179" s="3" t="s">
        <v>3658</v>
      </c>
      <c r="T179" s="3">
        <v>2</v>
      </c>
      <c r="U179" t="str">
        <f>HYPERLINK(".\links\NR-LIGHT\TI_asb-303-NR-LIGHT.txt","conserved Plasmodium protein, unknown function")</f>
        <v>conserved Plasmodium protein, unknown function</v>
      </c>
      <c r="V179" t="str">
        <f>HYPERLINK("http://www.ncbi.nlm.nih.gov/sutils/blink.cgi?pid=124810278","1.3")</f>
        <v>1.3</v>
      </c>
      <c r="W179" t="str">
        <f>HYPERLINK(".\links\NR-LIGHT\TI_asb-303-NR-LIGHT.txt"," 4")</f>
        <v xml:space="preserve"> 4</v>
      </c>
      <c r="X179" t="str">
        <f>HYPERLINK("http://www.ncbi.nlm.nih.gov/protein/124810278","gi|124810278")</f>
        <v>gi|124810278</v>
      </c>
      <c r="Y179">
        <v>35</v>
      </c>
      <c r="Z179">
        <v>114</v>
      </c>
      <c r="AA179">
        <v>1966</v>
      </c>
      <c r="AB179">
        <v>28</v>
      </c>
      <c r="AC179">
        <v>6</v>
      </c>
      <c r="AD179">
        <v>81</v>
      </c>
      <c r="AE179">
        <v>15</v>
      </c>
      <c r="AF179">
        <v>965</v>
      </c>
      <c r="AG179">
        <v>72</v>
      </c>
      <c r="AH179">
        <v>1</v>
      </c>
      <c r="AI179">
        <v>3</v>
      </c>
      <c r="AJ179" t="s">
        <v>53</v>
      </c>
      <c r="AK179" t="s">
        <v>54</v>
      </c>
      <c r="AL179" t="s">
        <v>294</v>
      </c>
      <c r="AM179" t="s">
        <v>56</v>
      </c>
      <c r="AN179" s="19" t="s">
        <v>56</v>
      </c>
      <c r="AO179" t="s">
        <v>56</v>
      </c>
      <c r="AP179" t="s">
        <v>56</v>
      </c>
      <c r="AQ179" t="s">
        <v>56</v>
      </c>
      <c r="AR179" t="s">
        <v>56</v>
      </c>
      <c r="AS179" t="s">
        <v>56</v>
      </c>
      <c r="AT179" t="s">
        <v>56</v>
      </c>
      <c r="AU179" t="s">
        <v>56</v>
      </c>
      <c r="AV179" t="s">
        <v>56</v>
      </c>
      <c r="AW179" t="s">
        <v>56</v>
      </c>
      <c r="AX179" t="s">
        <v>56</v>
      </c>
      <c r="AY179" t="s">
        <v>56</v>
      </c>
      <c r="AZ179" t="s">
        <v>56</v>
      </c>
      <c r="BA179" t="s">
        <v>56</v>
      </c>
      <c r="BB179" t="s">
        <v>56</v>
      </c>
      <c r="BC179" t="s">
        <v>56</v>
      </c>
      <c r="BD179" t="s">
        <v>56</v>
      </c>
      <c r="BE179" t="s">
        <v>56</v>
      </c>
      <c r="BF179" t="s">
        <v>56</v>
      </c>
      <c r="BG179" t="str">
        <f>HYPERLINK(".\links\PREV-RHOD-PEP\TI_asb-303-PREV-RHOD-PEP.txt","Contig17557_37")</f>
        <v>Contig17557_37</v>
      </c>
      <c r="BH179" s="6">
        <v>1.5</v>
      </c>
      <c r="BI179" t="str">
        <f>HYPERLINK(".\links\PREV-RHOD-PEP\TI_asb-303-PREV-RHOD-PEP.txt"," 4")</f>
        <v xml:space="preserve"> 4</v>
      </c>
      <c r="BJ179" t="s">
        <v>1894</v>
      </c>
      <c r="BK179">
        <v>28.9</v>
      </c>
      <c r="BL179">
        <v>56</v>
      </c>
      <c r="BM179">
        <v>618</v>
      </c>
      <c r="BN179">
        <v>33</v>
      </c>
      <c r="BO179">
        <v>9</v>
      </c>
      <c r="BP179">
        <v>37</v>
      </c>
      <c r="BQ179">
        <v>5</v>
      </c>
      <c r="BR179">
        <v>390</v>
      </c>
      <c r="BS179">
        <v>221</v>
      </c>
      <c r="BT179">
        <v>1</v>
      </c>
      <c r="BU179" t="s">
        <v>54</v>
      </c>
      <c r="BV179" t="s">
        <v>1895</v>
      </c>
      <c r="BW179" t="s">
        <v>56</v>
      </c>
      <c r="BX179" t="str">
        <f>HYPERLINK(".\links\PREV-RHOD-CDS\TI_asb-303-PREV-RHOD-CDS.txt","Contig17970_400")</f>
        <v>Contig17970_400</v>
      </c>
      <c r="BY179" s="6">
        <v>7.0999999999999994E-2</v>
      </c>
      <c r="BZ179" t="s">
        <v>1315</v>
      </c>
      <c r="CA179">
        <v>38.200000000000003</v>
      </c>
      <c r="CB179">
        <v>18</v>
      </c>
      <c r="CC179">
        <v>2883</v>
      </c>
      <c r="CD179">
        <v>100</v>
      </c>
      <c r="CE179">
        <v>1</v>
      </c>
      <c r="CF179">
        <v>0</v>
      </c>
      <c r="CG179">
        <v>0</v>
      </c>
      <c r="CH179">
        <v>2660</v>
      </c>
      <c r="CI179">
        <v>2</v>
      </c>
      <c r="CJ179">
        <v>1</v>
      </c>
      <c r="CK179" t="s">
        <v>64</v>
      </c>
      <c r="CL179" t="s">
        <v>1896</v>
      </c>
      <c r="CM179">
        <f>HYPERLINK(".\links\GO\TI_asb-303-GO.txt",6.7)</f>
        <v>6.7</v>
      </c>
      <c r="CN179" t="s">
        <v>1104</v>
      </c>
      <c r="CO179" t="s">
        <v>102</v>
      </c>
      <c r="CP179" t="s">
        <v>103</v>
      </c>
      <c r="CQ179" t="s">
        <v>1105</v>
      </c>
      <c r="CR179" s="6">
        <v>6.7</v>
      </c>
      <c r="CS179" t="s">
        <v>105</v>
      </c>
      <c r="CT179" t="s">
        <v>75</v>
      </c>
      <c r="CU179" t="s">
        <v>106</v>
      </c>
      <c r="CV179" t="s">
        <v>107</v>
      </c>
      <c r="CW179" s="6">
        <v>6.7</v>
      </c>
      <c r="CX179" t="s">
        <v>1106</v>
      </c>
      <c r="CY179" t="s">
        <v>102</v>
      </c>
      <c r="CZ179" t="s">
        <v>103</v>
      </c>
      <c r="DA179" t="s">
        <v>1107</v>
      </c>
      <c r="DB179" s="6">
        <v>6.7</v>
      </c>
      <c r="DC179" t="str">
        <f>HYPERLINK(".\links\CDD\TI_asb-303-CDD.txt","ND5")</f>
        <v>ND5</v>
      </c>
      <c r="DD179" t="str">
        <f>HYPERLINK("http://www.ncbi.nlm.nih.gov/Structure/cdd/cddsrv.cgi?uid=MTH00095&amp;version=v4.0","0.030")</f>
        <v>0.030</v>
      </c>
      <c r="DE179" t="s">
        <v>1897</v>
      </c>
      <c r="DF179" t="str">
        <f>HYPERLINK(".\links\PFAM\TI_asb-303-PFAM.txt","DUF443")</f>
        <v>DUF443</v>
      </c>
      <c r="DG179" t="str">
        <f>HYPERLINK("http://pfam.sanger.ac.uk/family?acc=PF04276","0.013")</f>
        <v>0.013</v>
      </c>
      <c r="DH179" t="str">
        <f>HYPERLINK(".\links\PRK\TI_asb-303-PRK.txt","NADH dehydrogenase subunit 2")</f>
        <v>NADH dehydrogenase subunit 2</v>
      </c>
      <c r="DI179" s="6">
        <v>4.0000000000000001E-3</v>
      </c>
      <c r="DJ179" s="6" t="s">
        <v>56</v>
      </c>
      <c r="DN179" t="str">
        <f>HYPERLINK(".\links\SMART\TI_asb-303-SMART.txt","TLC")</f>
        <v>TLC</v>
      </c>
      <c r="DO179" t="str">
        <f>HYPERLINK("http://smart.embl-heidelberg.de/smart/do_annotation.pl?DOMAIN=TLC&amp;BLAST=DUMMY","0.045")</f>
        <v>0.045</v>
      </c>
      <c r="DP179" s="3" t="s">
        <v>56</v>
      </c>
      <c r="ED179" s="3" t="s">
        <v>56</v>
      </c>
    </row>
    <row r="180" spans="1:147">
      <c r="A180" t="str">
        <f>HYPERLINK(".\links\seq\TI_asb-304-seq.txt","TI_asb-304")</f>
        <v>TI_asb-304</v>
      </c>
      <c r="B180">
        <v>304</v>
      </c>
      <c r="C180" t="str">
        <f>HYPERLINK(".\links\tsa\TI_asb-304-tsa.txt","1")</f>
        <v>1</v>
      </c>
      <c r="D180">
        <v>1</v>
      </c>
      <c r="E180">
        <v>577</v>
      </c>
      <c r="F180">
        <v>552</v>
      </c>
      <c r="G180" t="str">
        <f>HYPERLINK(".\links\qual\TI_asb-304-qual.txt","50")</f>
        <v>50</v>
      </c>
      <c r="H180">
        <v>0</v>
      </c>
      <c r="I180">
        <v>1</v>
      </c>
      <c r="J180">
        <f t="shared" si="8"/>
        <v>1</v>
      </c>
      <c r="K180" s="6">
        <f t="shared" si="9"/>
        <v>-1</v>
      </c>
      <c r="L180" s="6" t="s">
        <v>4004</v>
      </c>
      <c r="M180" s="6" t="s">
        <v>3866</v>
      </c>
      <c r="N180" s="6" t="s">
        <v>3872</v>
      </c>
      <c r="O180" s="7">
        <v>8.9999999999999995E-57</v>
      </c>
      <c r="P180" s="6">
        <v>94.4</v>
      </c>
      <c r="Q180" s="3">
        <v>577</v>
      </c>
      <c r="R180" s="3">
        <v>375</v>
      </c>
      <c r="S180" s="3" t="s">
        <v>3659</v>
      </c>
      <c r="T180" s="3">
        <v>6</v>
      </c>
      <c r="U180" t="str">
        <f>HYPERLINK(".\links\NR-LIGHT\TI_asb-304-NR-LIGHT.txt","60S ribosomal protein L26")</f>
        <v>60S ribosomal protein L26</v>
      </c>
      <c r="V180" t="str">
        <f>HYPERLINK("http://www.ncbi.nlm.nih.gov/sutils/blink.cgi?pid=149689146","3E-065")</f>
        <v>3E-065</v>
      </c>
      <c r="W180" t="str">
        <f>HYPERLINK(".\links\NR-LIGHT\TI_asb-304-NR-LIGHT.txt"," 10")</f>
        <v xml:space="preserve"> 10</v>
      </c>
      <c r="X180" t="str">
        <f>HYPERLINK("http://www.ncbi.nlm.nih.gov/protein/149689146","gi|149689146")</f>
        <v>gi|149689146</v>
      </c>
      <c r="Y180">
        <v>249</v>
      </c>
      <c r="Z180">
        <v>144</v>
      </c>
      <c r="AA180">
        <v>149</v>
      </c>
      <c r="AB180">
        <v>89</v>
      </c>
      <c r="AC180">
        <v>97</v>
      </c>
      <c r="AD180">
        <v>15</v>
      </c>
      <c r="AE180">
        <v>0</v>
      </c>
      <c r="AF180">
        <v>6</v>
      </c>
      <c r="AG180">
        <v>54</v>
      </c>
      <c r="AH180">
        <v>1</v>
      </c>
      <c r="AI180">
        <v>3</v>
      </c>
      <c r="AJ180" t="s">
        <v>53</v>
      </c>
      <c r="AK180" t="s">
        <v>54</v>
      </c>
      <c r="AL180" t="s">
        <v>55</v>
      </c>
      <c r="AM180" t="str">
        <f>HYPERLINK(".\links\SWISSP\TI_asb-304-SWISSP.txt","60S ribosomal protein L26 OS=Mus musculus GN=Rpl26 PE=2 SV=1")</f>
        <v>60S ribosomal protein L26 OS=Mus musculus GN=Rpl26 PE=2 SV=1</v>
      </c>
      <c r="AN180" s="19" t="str">
        <f>HYPERLINK("http://www.uniprot.org/uniprot/P61255","3E-051")</f>
        <v>3E-051</v>
      </c>
      <c r="AO180" t="str">
        <f>HYPERLINK(".\links\SWISSP\TI_asb-304-SWISSP.txt"," 10")</f>
        <v xml:space="preserve"> 10</v>
      </c>
      <c r="AP180" t="s">
        <v>1898</v>
      </c>
      <c r="AQ180">
        <v>201</v>
      </c>
      <c r="AR180">
        <v>135</v>
      </c>
      <c r="AS180">
        <v>145</v>
      </c>
      <c r="AT180">
        <v>73</v>
      </c>
      <c r="AU180">
        <v>93</v>
      </c>
      <c r="AV180">
        <v>36</v>
      </c>
      <c r="AW180">
        <v>0</v>
      </c>
      <c r="AX180">
        <v>7</v>
      </c>
      <c r="AY180">
        <v>57</v>
      </c>
      <c r="AZ180">
        <v>1</v>
      </c>
      <c r="BA180">
        <v>3</v>
      </c>
      <c r="BB180" t="s">
        <v>53</v>
      </c>
      <c r="BC180" t="s">
        <v>54</v>
      </c>
      <c r="BD180" t="s">
        <v>214</v>
      </c>
      <c r="BE180" t="s">
        <v>1899</v>
      </c>
      <c r="BF180" t="s">
        <v>1900</v>
      </c>
      <c r="BG180" t="str">
        <f>HYPERLINK(".\links\PREV-RHOD-PEP\TI_asb-304-PREV-RHOD-PEP.txt","Contig17918_17")</f>
        <v>Contig17918_17</v>
      </c>
      <c r="BH180" s="7">
        <v>3.9999999999999998E-67</v>
      </c>
      <c r="BI180" t="str">
        <f>HYPERLINK(".\links\PREV-RHOD-PEP\TI_asb-304-PREV-RHOD-PEP.txt"," 10")</f>
        <v xml:space="preserve"> 10</v>
      </c>
      <c r="BJ180" t="s">
        <v>1901</v>
      </c>
      <c r="BK180">
        <v>249</v>
      </c>
      <c r="BL180">
        <v>144</v>
      </c>
      <c r="BM180">
        <v>149</v>
      </c>
      <c r="BN180">
        <v>89</v>
      </c>
      <c r="BO180">
        <v>97</v>
      </c>
      <c r="BP180">
        <v>15</v>
      </c>
      <c r="BQ180">
        <v>0</v>
      </c>
      <c r="BR180">
        <v>6</v>
      </c>
      <c r="BS180">
        <v>54</v>
      </c>
      <c r="BT180">
        <v>1</v>
      </c>
      <c r="BU180" t="s">
        <v>54</v>
      </c>
      <c r="BV180" t="s">
        <v>1902</v>
      </c>
      <c r="BW180" t="s">
        <v>292</v>
      </c>
      <c r="BX180" t="str">
        <f>HYPERLINK(".\links\PREV-RHOD-CDS\TI_asb-304-PREV-RHOD-CDS.txt","Contig17918_17")</f>
        <v>Contig17918_17</v>
      </c>
      <c r="BY180" s="7">
        <v>1.0000000000000001E-111</v>
      </c>
      <c r="BZ180" t="s">
        <v>1901</v>
      </c>
      <c r="CA180">
        <v>402</v>
      </c>
      <c r="CB180">
        <v>434</v>
      </c>
      <c r="CC180">
        <v>450</v>
      </c>
      <c r="CD180">
        <v>86</v>
      </c>
      <c r="CE180">
        <v>97</v>
      </c>
      <c r="CF180">
        <v>58</v>
      </c>
      <c r="CG180">
        <v>0</v>
      </c>
      <c r="CH180">
        <v>16</v>
      </c>
      <c r="CI180">
        <v>54</v>
      </c>
      <c r="CJ180">
        <v>1</v>
      </c>
      <c r="CK180" t="s">
        <v>54</v>
      </c>
      <c r="CL180" t="s">
        <v>1903</v>
      </c>
      <c r="CM180">
        <f>HYPERLINK(".\links\GO\TI_asb-304-GO.txt",6E-54)</f>
        <v>6.0000000000000002E-54</v>
      </c>
      <c r="CN180" t="s">
        <v>702</v>
      </c>
      <c r="CO180" t="s">
        <v>703</v>
      </c>
      <c r="CP180" t="s">
        <v>704</v>
      </c>
      <c r="CQ180" t="s">
        <v>705</v>
      </c>
      <c r="CR180" s="7">
        <v>6.0000000000000002E-54</v>
      </c>
      <c r="CS180" t="s">
        <v>706</v>
      </c>
      <c r="CT180" t="s">
        <v>75</v>
      </c>
      <c r="CU180" t="s">
        <v>76</v>
      </c>
      <c r="CV180" t="s">
        <v>707</v>
      </c>
      <c r="CW180" s="7">
        <v>6.0000000000000002E-54</v>
      </c>
      <c r="CX180" t="s">
        <v>708</v>
      </c>
      <c r="CY180" t="s">
        <v>703</v>
      </c>
      <c r="CZ180" t="s">
        <v>704</v>
      </c>
      <c r="DA180" t="s">
        <v>709</v>
      </c>
      <c r="DB180" s="7">
        <v>6.0000000000000002E-54</v>
      </c>
      <c r="DC180" t="str">
        <f>HYPERLINK(".\links\CDD\TI_asb-304-CDD.txt","rplX_A_E")</f>
        <v>rplX_A_E</v>
      </c>
      <c r="DD180" t="str">
        <f>HYPERLINK("http://www.ncbi.nlm.nih.gov/Structure/cdd/cddsrv.cgi?uid=TIGR01080&amp;version=v4.0","4E-044")</f>
        <v>4E-044</v>
      </c>
      <c r="DE180" t="s">
        <v>1904</v>
      </c>
      <c r="DF180" t="str">
        <f>HYPERLINK(".\links\PFAM\TI_asb-304-PFAM.txt","KOW")</f>
        <v>KOW</v>
      </c>
      <c r="DG180" t="str">
        <f>HYPERLINK("http://pfam.sanger.ac.uk/family?acc=PF00467","4E-006")</f>
        <v>4E-006</v>
      </c>
      <c r="DH180" t="str">
        <f>HYPERLINK(".\links\PRK\TI_asb-304-PRK.txt","60S ribosomal protein L26")</f>
        <v>60S ribosomal protein L26</v>
      </c>
      <c r="DI180" s="7">
        <v>1E-59</v>
      </c>
      <c r="DJ180" s="6" t="str">
        <f>HYPERLINK(".\links\KOG\TI_asb-304-KOG.txt","Nuclear protein, contains WD40 repeats")</f>
        <v>Nuclear protein, contains WD40 repeats</v>
      </c>
      <c r="DK180" s="6" t="str">
        <f>HYPERLINK("http://www.ncbi.nlm.nih.gov/COG/grace/shokog.cgi?KOG1916","0.0")</f>
        <v>0.0</v>
      </c>
      <c r="DL180" s="6" t="s">
        <v>4337</v>
      </c>
      <c r="DM180" s="6" t="str">
        <f>HYPERLINK(".\links\KOG\TI_asb-304-KOG.txt","KOG1916")</f>
        <v>KOG1916</v>
      </c>
      <c r="DN180" t="str">
        <f>HYPERLINK(".\links\SMART\TI_asb-304-SMART.txt","KOW")</f>
        <v>KOW</v>
      </c>
      <c r="DO180" t="str">
        <f>HYPERLINK("http://smart.embl-heidelberg.de/smart/do_annotation.pl?DOMAIN=KOW&amp;BLAST=DUMMY","4E-005")</f>
        <v>4E-005</v>
      </c>
      <c r="DP180" s="3" t="s">
        <v>56</v>
      </c>
      <c r="ED180" s="3" t="s">
        <v>56</v>
      </c>
    </row>
    <row r="181" spans="1:147">
      <c r="A181" t="str">
        <f>HYPERLINK(".\links\seq\TI_asb-308-seq.txt","TI_asb-308")</f>
        <v>TI_asb-308</v>
      </c>
      <c r="B181">
        <v>308</v>
      </c>
      <c r="C181" t="str">
        <f>HYPERLINK(".\links\tsa\TI_asb-308-tsa.txt","1")</f>
        <v>1</v>
      </c>
      <c r="D181">
        <v>1</v>
      </c>
      <c r="E181">
        <v>728</v>
      </c>
      <c r="G181" t="str">
        <f>HYPERLINK(".\links\qual\TI_asb-308-qual.txt","55")</f>
        <v>55</v>
      </c>
      <c r="H181">
        <v>0</v>
      </c>
      <c r="I181">
        <v>1</v>
      </c>
      <c r="J181">
        <f t="shared" si="8"/>
        <v>1</v>
      </c>
      <c r="K181" s="6">
        <f t="shared" si="9"/>
        <v>-1</v>
      </c>
      <c r="L181" s="6" t="s">
        <v>3868</v>
      </c>
      <c r="M181" s="6" t="s">
        <v>3869</v>
      </c>
      <c r="N181" s="6"/>
      <c r="O181" s="6"/>
      <c r="P181" s="6"/>
      <c r="Q181" s="3">
        <v>728</v>
      </c>
      <c r="R181" s="3">
        <v>723</v>
      </c>
      <c r="S181" s="3" t="s">
        <v>3660</v>
      </c>
      <c r="T181" s="3">
        <v>2</v>
      </c>
      <c r="U181" t="str">
        <f>HYPERLINK(".\links\NR-LIGHT\TI_asb-308-NR-LIGHT.txt","phosphatidylinositol-4-phosphate 5-kinase isolog; 89655-95590")</f>
        <v>phosphatidylinositol-4-phosphate 5-kinase isolog; 89655-95590</v>
      </c>
      <c r="V181" t="str">
        <f>HYPERLINK("http://www.ncbi.nlm.nih.gov/sutils/blink.cgi?pid=1931652","0.12")</f>
        <v>0.12</v>
      </c>
      <c r="W181" t="str">
        <f>HYPERLINK(".\links\NR-LIGHT\TI_asb-308-NR-LIGHT.txt"," 10")</f>
        <v xml:space="preserve"> 10</v>
      </c>
      <c r="X181" t="str">
        <f>HYPERLINK("http://www.ncbi.nlm.nih.gov/protein/1931652","gi|1931652")</f>
        <v>gi|1931652</v>
      </c>
      <c r="Y181">
        <v>39.299999999999997</v>
      </c>
      <c r="Z181">
        <v>59</v>
      </c>
      <c r="AA181">
        <v>859</v>
      </c>
      <c r="AB181">
        <v>40</v>
      </c>
      <c r="AC181">
        <v>7</v>
      </c>
      <c r="AD181">
        <v>35</v>
      </c>
      <c r="AE181">
        <v>9</v>
      </c>
      <c r="AF181">
        <v>617</v>
      </c>
      <c r="AG181">
        <v>278</v>
      </c>
      <c r="AH181">
        <v>1</v>
      </c>
      <c r="AI181">
        <v>2</v>
      </c>
      <c r="AJ181" t="s">
        <v>53</v>
      </c>
      <c r="AK181" t="s">
        <v>54</v>
      </c>
      <c r="AL181" t="s">
        <v>274</v>
      </c>
      <c r="AM181" t="str">
        <f>HYPERLINK(".\links\SWISSP\TI_asb-308-SWISSP.txt","Phosphatidylinositol-4-phosphate 5-kinase 7 OS=Arabidopsis thaliana GN=PIP5K7")</f>
        <v>Phosphatidylinositol-4-phosphate 5-kinase 7 OS=Arabidopsis thaliana GN=PIP5K7</v>
      </c>
      <c r="AN181" s="19" t="str">
        <f>HYPERLINK("http://www.uniprot.org/uniprot/Q9SUI2","0.027")</f>
        <v>0.027</v>
      </c>
      <c r="AO181" t="str">
        <f>HYPERLINK(".\links\SWISSP\TI_asb-308-SWISSP.txt"," 10")</f>
        <v xml:space="preserve"> 10</v>
      </c>
      <c r="AP181" t="s">
        <v>1905</v>
      </c>
      <c r="AQ181">
        <v>39.299999999999997</v>
      </c>
      <c r="AR181">
        <v>59</v>
      </c>
      <c r="AS181">
        <v>754</v>
      </c>
      <c r="AT181">
        <v>40</v>
      </c>
      <c r="AU181">
        <v>8</v>
      </c>
      <c r="AV181">
        <v>35</v>
      </c>
      <c r="AW181">
        <v>9</v>
      </c>
      <c r="AX181">
        <v>512</v>
      </c>
      <c r="AY181">
        <v>278</v>
      </c>
      <c r="AZ181">
        <v>1</v>
      </c>
      <c r="BA181">
        <v>2</v>
      </c>
      <c r="BB181" t="s">
        <v>53</v>
      </c>
      <c r="BC181" t="s">
        <v>54</v>
      </c>
      <c r="BD181" t="s">
        <v>274</v>
      </c>
      <c r="BE181" t="s">
        <v>1906</v>
      </c>
      <c r="BF181" t="s">
        <v>1907</v>
      </c>
      <c r="BG181" t="str">
        <f>HYPERLINK(".\links\PREV-RHOD-PEP\TI_asb-308-PREV-RHOD-PEP.txt","Contig17629_20")</f>
        <v>Contig17629_20</v>
      </c>
      <c r="BH181" s="6">
        <v>2.3E-2</v>
      </c>
      <c r="BI181" t="str">
        <f>HYPERLINK(".\links\PREV-RHOD-PEP\TI_asb-308-PREV-RHOD-PEP.txt"," 10")</f>
        <v xml:space="preserve"> 10</v>
      </c>
      <c r="BJ181" t="s">
        <v>1908</v>
      </c>
      <c r="BK181">
        <v>35.4</v>
      </c>
      <c r="BL181">
        <v>114</v>
      </c>
      <c r="BM181">
        <v>576</v>
      </c>
      <c r="BN181">
        <v>28</v>
      </c>
      <c r="BO181">
        <v>20</v>
      </c>
      <c r="BP181">
        <v>81</v>
      </c>
      <c r="BQ181">
        <v>5</v>
      </c>
      <c r="BR181">
        <v>369</v>
      </c>
      <c r="BS181">
        <v>134</v>
      </c>
      <c r="BT181">
        <v>1</v>
      </c>
      <c r="BU181" t="s">
        <v>54</v>
      </c>
      <c r="BV181" t="s">
        <v>1909</v>
      </c>
      <c r="BW181" t="s">
        <v>56</v>
      </c>
      <c r="BX181" t="str">
        <f>HYPERLINK(".\links\PREV-RHOD-CDS\TI_asb-308-PREV-RHOD-CDS.txt","Contig17824_70")</f>
        <v>Contig17824_70</v>
      </c>
      <c r="BY181" s="6">
        <v>0.36</v>
      </c>
      <c r="BZ181" t="s">
        <v>1910</v>
      </c>
      <c r="CA181">
        <v>36.200000000000003</v>
      </c>
      <c r="CB181">
        <v>17</v>
      </c>
      <c r="CC181">
        <v>690</v>
      </c>
      <c r="CD181">
        <v>100</v>
      </c>
      <c r="CE181">
        <v>3</v>
      </c>
      <c r="CF181">
        <v>0</v>
      </c>
      <c r="CG181">
        <v>0</v>
      </c>
      <c r="CH181">
        <v>535</v>
      </c>
      <c r="CI181">
        <v>365</v>
      </c>
      <c r="CJ181">
        <v>1</v>
      </c>
      <c r="CK181" t="s">
        <v>54</v>
      </c>
      <c r="CL181" t="s">
        <v>1911</v>
      </c>
      <c r="CM181">
        <f>HYPERLINK(".\links\GO\TI_asb-308-GO.txt",0.084)</f>
        <v>8.4000000000000005E-2</v>
      </c>
      <c r="CN181" t="s">
        <v>1912</v>
      </c>
      <c r="CO181" t="s">
        <v>185</v>
      </c>
      <c r="CP181" t="s">
        <v>222</v>
      </c>
      <c r="CQ181" t="s">
        <v>1913</v>
      </c>
      <c r="CR181" s="6">
        <v>8.4000000000000005E-2</v>
      </c>
      <c r="CS181" t="s">
        <v>241</v>
      </c>
      <c r="CT181" t="s">
        <v>75</v>
      </c>
      <c r="CU181" t="s">
        <v>76</v>
      </c>
      <c r="CV181" t="s">
        <v>242</v>
      </c>
      <c r="CW181" s="6">
        <v>8.4000000000000005E-2</v>
      </c>
      <c r="CX181" t="s">
        <v>1531</v>
      </c>
      <c r="CY181" t="s">
        <v>185</v>
      </c>
      <c r="CZ181" t="s">
        <v>222</v>
      </c>
      <c r="DA181" t="s">
        <v>1532</v>
      </c>
      <c r="DB181" s="6">
        <v>8.4000000000000005E-2</v>
      </c>
      <c r="DC181" t="str">
        <f>HYPERLINK(".\links\CDD\TI_asb-308-CDD.txt","7TM_GPCR_Srz")</f>
        <v>7TM_GPCR_Srz</v>
      </c>
      <c r="DD181" t="str">
        <f>HYPERLINK("http://www.ncbi.nlm.nih.gov/Structure/cdd/cddsrv.cgi?uid=pfam10325&amp;version=v4.0","0.001")</f>
        <v>0.001</v>
      </c>
      <c r="DE181" t="s">
        <v>1914</v>
      </c>
      <c r="DF181" t="str">
        <f>HYPERLINK(".\links\PFAM\TI_asb-308-PFAM.txt","7TM_GPCR_Srz")</f>
        <v>7TM_GPCR_Srz</v>
      </c>
      <c r="DG181" t="str">
        <f>HYPERLINK("http://pfam.sanger.ac.uk/family?acc=PF10325","3E-004")</f>
        <v>3E-004</v>
      </c>
      <c r="DH181" t="str">
        <f>HYPERLINK(".\links\PRK\TI_asb-308-PRK.txt","tRNA CCA-pyrophosphorylase")</f>
        <v>tRNA CCA-pyrophosphorylase</v>
      </c>
      <c r="DI181" s="6">
        <v>7.8E-2</v>
      </c>
      <c r="DJ181" s="6" t="s">
        <v>56</v>
      </c>
      <c r="DN181" t="s">
        <v>56</v>
      </c>
      <c r="DO181" t="s">
        <v>56</v>
      </c>
      <c r="DP181" s="3" t="s">
        <v>56</v>
      </c>
      <c r="ED181" s="3" t="s">
        <v>56</v>
      </c>
    </row>
    <row r="182" spans="1:147">
      <c r="A182" t="str">
        <f>HYPERLINK(".\links\seq\TI_asb-309-seq.txt","TI_asb-309")</f>
        <v>TI_asb-309</v>
      </c>
      <c r="B182">
        <v>309</v>
      </c>
      <c r="C182" t="str">
        <f>HYPERLINK(".\links\tsa\TI_asb-309-tsa.txt","1")</f>
        <v>1</v>
      </c>
      <c r="D182">
        <v>1</v>
      </c>
      <c r="E182">
        <v>243</v>
      </c>
      <c r="F182">
        <v>167</v>
      </c>
      <c r="G182" t="str">
        <f>HYPERLINK(".\links\qual\TI_asb-309-qual.txt","39")</f>
        <v>39</v>
      </c>
      <c r="H182">
        <v>0</v>
      </c>
      <c r="I182">
        <v>1</v>
      </c>
      <c r="J182">
        <f t="shared" si="8"/>
        <v>1</v>
      </c>
      <c r="K182" s="6">
        <f t="shared" si="9"/>
        <v>-1</v>
      </c>
      <c r="L182" s="6" t="s">
        <v>3868</v>
      </c>
      <c r="M182" s="6" t="s">
        <v>3869</v>
      </c>
      <c r="N182" s="6"/>
      <c r="O182" s="6"/>
      <c r="P182" s="6"/>
      <c r="Q182" s="3">
        <v>243</v>
      </c>
      <c r="R182" s="3">
        <v>156</v>
      </c>
      <c r="S182" s="3" t="s">
        <v>3661</v>
      </c>
      <c r="T182" s="3">
        <v>1</v>
      </c>
      <c r="U182" t="s">
        <v>56</v>
      </c>
      <c r="V182" t="s">
        <v>56</v>
      </c>
      <c r="W182" t="s">
        <v>56</v>
      </c>
      <c r="X182" t="s">
        <v>56</v>
      </c>
      <c r="Y182" t="s">
        <v>56</v>
      </c>
      <c r="Z182" t="s">
        <v>56</v>
      </c>
      <c r="AA182" t="s">
        <v>56</v>
      </c>
      <c r="AB182" t="s">
        <v>56</v>
      </c>
      <c r="AC182" t="s">
        <v>56</v>
      </c>
      <c r="AD182" t="s">
        <v>56</v>
      </c>
      <c r="AE182" t="s">
        <v>56</v>
      </c>
      <c r="AF182" t="s">
        <v>56</v>
      </c>
      <c r="AG182" t="s">
        <v>56</v>
      </c>
      <c r="AH182" t="s">
        <v>56</v>
      </c>
      <c r="AI182" t="s">
        <v>56</v>
      </c>
      <c r="AJ182" t="s">
        <v>56</v>
      </c>
      <c r="AK182" t="s">
        <v>56</v>
      </c>
      <c r="AL182" t="s">
        <v>56</v>
      </c>
      <c r="AM182" t="s">
        <v>56</v>
      </c>
      <c r="AN182" s="19" t="s">
        <v>56</v>
      </c>
      <c r="AO182" t="s">
        <v>56</v>
      </c>
      <c r="AP182" t="s">
        <v>56</v>
      </c>
      <c r="AQ182" t="s">
        <v>56</v>
      </c>
      <c r="AR182" t="s">
        <v>56</v>
      </c>
      <c r="AS182" t="s">
        <v>56</v>
      </c>
      <c r="AT182" t="s">
        <v>56</v>
      </c>
      <c r="AU182" t="s">
        <v>56</v>
      </c>
      <c r="AV182" t="s">
        <v>56</v>
      </c>
      <c r="AW182" t="s">
        <v>56</v>
      </c>
      <c r="AX182" t="s">
        <v>56</v>
      </c>
      <c r="AY182" t="s">
        <v>56</v>
      </c>
      <c r="AZ182" t="s">
        <v>56</v>
      </c>
      <c r="BA182" t="s">
        <v>56</v>
      </c>
      <c r="BB182" t="s">
        <v>56</v>
      </c>
      <c r="BC182" t="s">
        <v>56</v>
      </c>
      <c r="BD182" t="s">
        <v>56</v>
      </c>
      <c r="BE182" t="s">
        <v>56</v>
      </c>
      <c r="BF182" t="s">
        <v>56</v>
      </c>
      <c r="BG182" t="str">
        <f>HYPERLINK(".\links\PREV-RHOD-PEP\TI_asb-309-PREV-RHOD-PEP.txt","Contig17788_27")</f>
        <v>Contig17788_27</v>
      </c>
      <c r="BH182" s="6">
        <v>0.34</v>
      </c>
      <c r="BI182" t="str">
        <f>HYPERLINK(".\links\PREV-RHOD-PEP\TI_asb-309-PREV-RHOD-PEP.txt"," 2")</f>
        <v xml:space="preserve"> 2</v>
      </c>
      <c r="BJ182" t="s">
        <v>1915</v>
      </c>
      <c r="BK182">
        <v>30</v>
      </c>
      <c r="BL182">
        <v>39</v>
      </c>
      <c r="BM182">
        <v>434</v>
      </c>
      <c r="BN182">
        <v>25</v>
      </c>
      <c r="BO182">
        <v>9</v>
      </c>
      <c r="BP182">
        <v>29</v>
      </c>
      <c r="BQ182">
        <v>0</v>
      </c>
      <c r="BR182">
        <v>223</v>
      </c>
      <c r="BS182">
        <v>35</v>
      </c>
      <c r="BT182">
        <v>1</v>
      </c>
      <c r="BU182" t="s">
        <v>54</v>
      </c>
      <c r="BV182" t="s">
        <v>1916</v>
      </c>
      <c r="BW182" t="s">
        <v>56</v>
      </c>
      <c r="BX182" t="str">
        <f>HYPERLINK(".\links\PREV-RHOD-CDS\TI_asb-309-PREV-RHOD-CDS.txt","Contig17364_11")</f>
        <v>Contig17364_11</v>
      </c>
      <c r="BY182" s="6">
        <v>0.45</v>
      </c>
      <c r="BZ182" t="s">
        <v>1917</v>
      </c>
      <c r="CA182">
        <v>34.200000000000003</v>
      </c>
      <c r="CB182">
        <v>16</v>
      </c>
      <c r="CC182">
        <v>2502</v>
      </c>
      <c r="CD182">
        <v>100</v>
      </c>
      <c r="CE182">
        <v>1</v>
      </c>
      <c r="CF182">
        <v>0</v>
      </c>
      <c r="CG182">
        <v>0</v>
      </c>
      <c r="CH182">
        <v>584</v>
      </c>
      <c r="CI182">
        <v>227</v>
      </c>
      <c r="CJ182">
        <v>1</v>
      </c>
      <c r="CK182" t="s">
        <v>64</v>
      </c>
      <c r="CL182" t="s">
        <v>56</v>
      </c>
      <c r="CM182" t="s">
        <v>56</v>
      </c>
      <c r="CN182" t="s">
        <v>56</v>
      </c>
      <c r="CO182" t="s">
        <v>56</v>
      </c>
      <c r="CP182" t="s">
        <v>56</v>
      </c>
      <c r="CQ182" t="s">
        <v>56</v>
      </c>
      <c r="CR182" s="6" t="s">
        <v>56</v>
      </c>
      <c r="CS182" t="s">
        <v>56</v>
      </c>
      <c r="CT182" t="s">
        <v>56</v>
      </c>
      <c r="CU182" t="s">
        <v>56</v>
      </c>
      <c r="CV182" t="s">
        <v>56</v>
      </c>
      <c r="CW182" s="6" t="s">
        <v>56</v>
      </c>
      <c r="CX182" t="s">
        <v>56</v>
      </c>
      <c r="CY182" t="s">
        <v>56</v>
      </c>
      <c r="CZ182" t="s">
        <v>56</v>
      </c>
      <c r="DA182" t="s">
        <v>56</v>
      </c>
      <c r="DB182" s="6" t="s">
        <v>56</v>
      </c>
      <c r="DC182" t="s">
        <v>56</v>
      </c>
      <c r="DD182" t="s">
        <v>56</v>
      </c>
      <c r="DE182" t="s">
        <v>56</v>
      </c>
      <c r="DF182" t="str">
        <f>HYPERLINK(".\links\PFAM\TI_asb-309-PFAM.txt","YajC")</f>
        <v>YajC</v>
      </c>
      <c r="DG182" t="str">
        <f>HYPERLINK("http://pfam.sanger.ac.uk/family?acc=PF02699","0.060")</f>
        <v>0.060</v>
      </c>
      <c r="DH182" t="str">
        <f>HYPERLINK(".\links\PRK\TI_asb-309-PRK.txt","preprotein translocase subunit YajC")</f>
        <v>preprotein translocase subunit YajC</v>
      </c>
      <c r="DI182" s="6">
        <v>0.05</v>
      </c>
      <c r="DJ182" s="6" t="s">
        <v>56</v>
      </c>
      <c r="DN182" t="s">
        <v>56</v>
      </c>
      <c r="DO182" t="s">
        <v>56</v>
      </c>
      <c r="DP182" s="3" t="s">
        <v>56</v>
      </c>
      <c r="ED182" s="3" t="s">
        <v>56</v>
      </c>
    </row>
    <row r="183" spans="1:147">
      <c r="A183" t="str">
        <f>HYPERLINK(".\links\seq\TI_asb-310-seq.txt","TI_asb-310")</f>
        <v>TI_asb-310</v>
      </c>
      <c r="B183">
        <v>310</v>
      </c>
      <c r="C183" t="str">
        <f>HYPERLINK(".\links\tsa\TI_asb-310-tsa.txt","1")</f>
        <v>1</v>
      </c>
      <c r="D183">
        <v>1</v>
      </c>
      <c r="E183">
        <v>555</v>
      </c>
      <c r="G183" t="str">
        <f>HYPERLINK(".\links\qual\TI_asb-310-qual.txt","39")</f>
        <v>39</v>
      </c>
      <c r="H183">
        <v>0</v>
      </c>
      <c r="I183">
        <v>1</v>
      </c>
      <c r="J183">
        <f t="shared" si="8"/>
        <v>1</v>
      </c>
      <c r="K183" s="6">
        <f t="shared" si="9"/>
        <v>-1</v>
      </c>
      <c r="L183" s="6" t="s">
        <v>3868</v>
      </c>
      <c r="M183" s="6" t="s">
        <v>3869</v>
      </c>
      <c r="N183" s="6"/>
      <c r="O183" s="6"/>
      <c r="P183" s="6"/>
      <c r="Q183" s="3">
        <v>555</v>
      </c>
      <c r="R183" s="3">
        <v>459</v>
      </c>
      <c r="S183" s="3" t="s">
        <v>3662</v>
      </c>
      <c r="T183" s="3">
        <v>1</v>
      </c>
      <c r="U183" t="str">
        <f>HYPERLINK(".\links\NR-LIGHT\TI_asb-310-NR-LIGHT.txt","Viral A-type inclusion protein repeat containing protein")</f>
        <v>Viral A-type inclusion protein repeat containing protein</v>
      </c>
      <c r="V183" t="str">
        <f>HYPERLINK("http://www.ncbi.nlm.nih.gov/sutils/blink.cgi?pid=170594575","0.029")</f>
        <v>0.029</v>
      </c>
      <c r="W183" t="str">
        <f>HYPERLINK(".\links\NR-LIGHT\TI_asb-310-NR-LIGHT.txt"," 10")</f>
        <v xml:space="preserve"> 10</v>
      </c>
      <c r="X183" t="str">
        <f>HYPERLINK("http://www.ncbi.nlm.nih.gov/protein/170594575","gi|170594575")</f>
        <v>gi|170594575</v>
      </c>
      <c r="Y183">
        <v>40.4</v>
      </c>
      <c r="Z183">
        <v>106</v>
      </c>
      <c r="AA183">
        <v>1051</v>
      </c>
      <c r="AB183">
        <v>28</v>
      </c>
      <c r="AC183">
        <v>10</v>
      </c>
      <c r="AD183">
        <v>76</v>
      </c>
      <c r="AE183">
        <v>0</v>
      </c>
      <c r="AF183">
        <v>784</v>
      </c>
      <c r="AG183">
        <v>79</v>
      </c>
      <c r="AH183">
        <v>1</v>
      </c>
      <c r="AI183">
        <v>1</v>
      </c>
      <c r="AJ183" t="s">
        <v>53</v>
      </c>
      <c r="AK183" t="s">
        <v>54</v>
      </c>
      <c r="AL183" t="s">
        <v>304</v>
      </c>
      <c r="AM183" t="str">
        <f>HYPERLINK(".\links\SWISSP\TI_asb-310-SWISSP.txt","Spindle assembly checkpoint component mad1 OS=Schizosaccharomyces pombe GN=mad1")</f>
        <v>Spindle assembly checkpoint component mad1 OS=Schizosaccharomyces pombe GN=mad1</v>
      </c>
      <c r="AN183" s="19" t="str">
        <f>HYPERLINK("http://www.uniprot.org/uniprot/P87169","0.027")</f>
        <v>0.027</v>
      </c>
      <c r="AO183" t="str">
        <f>HYPERLINK(".\links\SWISSP\TI_asb-310-SWISSP.txt"," 10")</f>
        <v xml:space="preserve"> 10</v>
      </c>
      <c r="AP183" t="s">
        <v>1918</v>
      </c>
      <c r="AQ183">
        <v>38.5</v>
      </c>
      <c r="AR183">
        <v>109</v>
      </c>
      <c r="AS183">
        <v>689</v>
      </c>
      <c r="AT183">
        <v>25</v>
      </c>
      <c r="AU183">
        <v>16</v>
      </c>
      <c r="AV183">
        <v>81</v>
      </c>
      <c r="AW183">
        <v>14</v>
      </c>
      <c r="AX183">
        <v>54</v>
      </c>
      <c r="AY183">
        <v>88</v>
      </c>
      <c r="AZ183">
        <v>1</v>
      </c>
      <c r="BA183">
        <v>1</v>
      </c>
      <c r="BB183" t="s">
        <v>53</v>
      </c>
      <c r="BC183" t="s">
        <v>54</v>
      </c>
      <c r="BD183" t="s">
        <v>1064</v>
      </c>
      <c r="BE183" t="s">
        <v>1919</v>
      </c>
      <c r="BF183" t="s">
        <v>1920</v>
      </c>
      <c r="BG183" t="str">
        <f>HYPERLINK(".\links\PREV-RHOD-PEP\TI_asb-310-PREV-RHOD-PEP.txt","Contig17969_105")</f>
        <v>Contig17969_105</v>
      </c>
      <c r="BH183" s="7">
        <v>3E-34</v>
      </c>
      <c r="BI183" t="str">
        <f>HYPERLINK(".\links\PREV-RHOD-PEP\TI_asb-310-PREV-RHOD-PEP.txt"," 10")</f>
        <v xml:space="preserve"> 10</v>
      </c>
      <c r="BJ183" t="s">
        <v>1921</v>
      </c>
      <c r="BK183">
        <v>140</v>
      </c>
      <c r="BL183">
        <v>128</v>
      </c>
      <c r="BM183">
        <v>354</v>
      </c>
      <c r="BN183">
        <v>56</v>
      </c>
      <c r="BO183">
        <v>36</v>
      </c>
      <c r="BP183">
        <v>56</v>
      </c>
      <c r="BQ183">
        <v>0</v>
      </c>
      <c r="BR183">
        <v>224</v>
      </c>
      <c r="BS183">
        <v>88</v>
      </c>
      <c r="BT183">
        <v>1</v>
      </c>
      <c r="BU183" t="s">
        <v>54</v>
      </c>
      <c r="BV183" t="s">
        <v>1922</v>
      </c>
      <c r="BW183" t="s">
        <v>56</v>
      </c>
      <c r="BX183" t="str">
        <f>HYPERLINK(".\links\PREV-RHOD-CDS\TI_asb-310-PREV-RHOD-CDS.txt","Contig17951_76")</f>
        <v>Contig17951_76</v>
      </c>
      <c r="BY183" s="6">
        <v>1E-3</v>
      </c>
      <c r="BZ183" t="s">
        <v>1923</v>
      </c>
      <c r="CA183">
        <v>44.1</v>
      </c>
      <c r="CB183">
        <v>21</v>
      </c>
      <c r="CC183">
        <v>2793</v>
      </c>
      <c r="CD183">
        <v>100</v>
      </c>
      <c r="CE183">
        <v>1</v>
      </c>
      <c r="CF183">
        <v>0</v>
      </c>
      <c r="CG183">
        <v>0</v>
      </c>
      <c r="CH183">
        <v>748</v>
      </c>
      <c r="CI183">
        <v>500</v>
      </c>
      <c r="CJ183">
        <v>1</v>
      </c>
      <c r="CK183" t="s">
        <v>64</v>
      </c>
      <c r="CL183" t="s">
        <v>1924</v>
      </c>
      <c r="CM183">
        <f>HYPERLINK(".\links\GO\TI_asb-310-GO.txt",0.008)</f>
        <v>8.0000000000000002E-3</v>
      </c>
      <c r="CN183" t="s">
        <v>208</v>
      </c>
      <c r="CO183" t="s">
        <v>185</v>
      </c>
      <c r="CP183" t="s">
        <v>186</v>
      </c>
      <c r="CQ183" t="s">
        <v>209</v>
      </c>
      <c r="CR183" s="6">
        <v>8.0000000000000002E-3</v>
      </c>
      <c r="CS183" t="s">
        <v>1925</v>
      </c>
      <c r="CT183" t="s">
        <v>247</v>
      </c>
      <c r="CU183" t="s">
        <v>247</v>
      </c>
      <c r="CV183" t="s">
        <v>1926</v>
      </c>
      <c r="CW183" s="6">
        <v>8.0000000000000002E-3</v>
      </c>
      <c r="CX183" t="s">
        <v>1927</v>
      </c>
      <c r="CY183" t="s">
        <v>185</v>
      </c>
      <c r="CZ183" t="s">
        <v>186</v>
      </c>
      <c r="DA183" t="s">
        <v>1928</v>
      </c>
      <c r="DB183" s="6">
        <v>8.0000000000000002E-3</v>
      </c>
      <c r="DC183" t="str">
        <f>HYPERLINK(".\links\CDD\TI_asb-310-CDD.txt","Mt_ATP-synt_B")</f>
        <v>Mt_ATP-synt_B</v>
      </c>
      <c r="DD183" t="str">
        <f>HYPERLINK("http://www.ncbi.nlm.nih.gov/Structure/cdd/cddsrv.cgi?uid=pfam05405&amp;version=v4.0","3E-005")</f>
        <v>3E-005</v>
      </c>
      <c r="DE183" t="s">
        <v>1929</v>
      </c>
      <c r="DF183" t="str">
        <f>HYPERLINK(".\links\PFAM\TI_asb-310-PFAM.txt","Mt_ATP-synt_B")</f>
        <v>Mt_ATP-synt_B</v>
      </c>
      <c r="DG183" t="str">
        <f>HYPERLINK("http://pfam.sanger.ac.uk/family?acc=PF05405","1E-005")</f>
        <v>1E-005</v>
      </c>
      <c r="DH183" t="str">
        <f>HYPERLINK(".\links\PRK\TI_asb-310-PRK.txt","reticulocyte binding protein 2-like protein")</f>
        <v>reticulocyte binding protein 2-like protein</v>
      </c>
      <c r="DI183" s="7">
        <v>5.9999999999999995E-4</v>
      </c>
      <c r="DJ183" s="6" t="str">
        <f>HYPERLINK(".\links\KOG\TI_asb-310-KOG.txt","Actin filament-coating protein tropomyosin")</f>
        <v>Actin filament-coating protein tropomyosin</v>
      </c>
      <c r="DK183" s="6" t="str">
        <f>HYPERLINK("http://www.ncbi.nlm.nih.gov/COG/grace/shokog.cgi?KOG1003","0.005")</f>
        <v>0.005</v>
      </c>
      <c r="DL183" s="6" t="s">
        <v>4344</v>
      </c>
      <c r="DM183" s="6" t="str">
        <f>HYPERLINK(".\links\KOG\TI_asb-310-KOG.txt","KOG1003")</f>
        <v>KOG1003</v>
      </c>
      <c r="DN183" t="str">
        <f>HYPERLINK(".\links\SMART\TI_asb-310-SMART.txt","IL4_13")</f>
        <v>IL4_13</v>
      </c>
      <c r="DO183" t="str">
        <f>HYPERLINK("http://smart.embl-heidelberg.de/smart/do_annotation.pl?DOMAIN=IL4_13&amp;BLAST=DUMMY","0.010")</f>
        <v>0.010</v>
      </c>
      <c r="DP183" s="3" t="s">
        <v>56</v>
      </c>
      <c r="ED183" s="3" t="s">
        <v>56</v>
      </c>
    </row>
    <row r="184" spans="1:147">
      <c r="A184" t="str">
        <f>HYPERLINK(".\links\seq\TI_asb-311-seq.txt","TI_asb-311")</f>
        <v>TI_asb-311</v>
      </c>
      <c r="B184">
        <v>311</v>
      </c>
      <c r="C184" t="str">
        <f>HYPERLINK(".\links\tsa\TI_asb-311-tsa.txt","1")</f>
        <v>1</v>
      </c>
      <c r="D184">
        <v>1</v>
      </c>
      <c r="E184">
        <v>563</v>
      </c>
      <c r="G184" t="str">
        <f>HYPERLINK(".\links\qual\TI_asb-311-qual.txt","37")</f>
        <v>37</v>
      </c>
      <c r="H184">
        <v>1</v>
      </c>
      <c r="I184">
        <v>0</v>
      </c>
      <c r="J184">
        <f t="shared" si="8"/>
        <v>1</v>
      </c>
      <c r="K184" s="6">
        <f t="shared" si="9"/>
        <v>1</v>
      </c>
      <c r="L184" s="6" t="s">
        <v>4005</v>
      </c>
      <c r="M184" s="6" t="s">
        <v>3881</v>
      </c>
      <c r="N184" s="6" t="s">
        <v>3872</v>
      </c>
      <c r="O184" s="7">
        <v>7.9999999999999993E-71</v>
      </c>
      <c r="P184" s="6">
        <v>94.6</v>
      </c>
      <c r="Q184" s="3">
        <v>563</v>
      </c>
      <c r="R184" s="3">
        <v>558</v>
      </c>
      <c r="S184" s="3" t="s">
        <v>3663</v>
      </c>
      <c r="T184" s="3">
        <v>2</v>
      </c>
      <c r="U184" t="str">
        <f>HYPERLINK(".\links\NR-LIGHT\TI_asb-311-NR-LIGHT.txt","cyclophilin-like protein")</f>
        <v>cyclophilin-like protein</v>
      </c>
      <c r="V184" t="str">
        <f>HYPERLINK("http://www.ncbi.nlm.nih.gov/sutils/blink.cgi?pid=157361501","2E-072")</f>
        <v>2E-072</v>
      </c>
      <c r="W184" t="str">
        <f>HYPERLINK(".\links\NR-LIGHT\TI_asb-311-NR-LIGHT.txt"," 10")</f>
        <v xml:space="preserve"> 10</v>
      </c>
      <c r="X184" t="str">
        <f>HYPERLINK("http://www.ncbi.nlm.nih.gov/protein/157361501","gi|157361501")</f>
        <v>gi|157361501</v>
      </c>
      <c r="Y184">
        <v>273</v>
      </c>
      <c r="Z184">
        <v>155</v>
      </c>
      <c r="AA184">
        <v>165</v>
      </c>
      <c r="AB184">
        <v>84</v>
      </c>
      <c r="AC184">
        <v>94</v>
      </c>
      <c r="AD184">
        <v>24</v>
      </c>
      <c r="AE184">
        <v>0</v>
      </c>
      <c r="AF184">
        <v>1</v>
      </c>
      <c r="AG184">
        <v>98</v>
      </c>
      <c r="AH184">
        <v>1</v>
      </c>
      <c r="AI184">
        <v>2</v>
      </c>
      <c r="AJ184" t="s">
        <v>53</v>
      </c>
      <c r="AK184" t="s">
        <v>54</v>
      </c>
      <c r="AL184" t="s">
        <v>1930</v>
      </c>
      <c r="AM184" t="str">
        <f>HYPERLINK(".\links\SWISSP\TI_asb-311-SWISSP.txt","Peptidyl-prolyl cis-trans isomerase OS=Blattella germanica GN=CYPA PE=2 SV=1")</f>
        <v>Peptidyl-prolyl cis-trans isomerase OS=Blattella germanica GN=CYPA PE=2 SV=1</v>
      </c>
      <c r="AN184" s="19" t="str">
        <f>HYPERLINK("http://www.uniprot.org/uniprot/P54985","7E-073")</f>
        <v>7E-073</v>
      </c>
      <c r="AO184" t="str">
        <f>HYPERLINK(".\links\SWISSP\TI_asb-311-SWISSP.txt"," 10")</f>
        <v xml:space="preserve"> 10</v>
      </c>
      <c r="AP184" t="s">
        <v>1931</v>
      </c>
      <c r="AQ184">
        <v>273</v>
      </c>
      <c r="AR184">
        <v>155</v>
      </c>
      <c r="AS184">
        <v>164</v>
      </c>
      <c r="AT184">
        <v>84</v>
      </c>
      <c r="AU184">
        <v>95</v>
      </c>
      <c r="AV184">
        <v>24</v>
      </c>
      <c r="AW184">
        <v>0</v>
      </c>
      <c r="AX184">
        <v>1</v>
      </c>
      <c r="AY184">
        <v>98</v>
      </c>
      <c r="AZ184">
        <v>1</v>
      </c>
      <c r="BA184">
        <v>2</v>
      </c>
      <c r="BB184" t="s">
        <v>53</v>
      </c>
      <c r="BC184" t="s">
        <v>54</v>
      </c>
      <c r="BD184" t="s">
        <v>1932</v>
      </c>
      <c r="BE184" t="s">
        <v>1933</v>
      </c>
      <c r="BF184" t="s">
        <v>1934</v>
      </c>
      <c r="BG184" t="str">
        <f>HYPERLINK(".\links\PREV-RHOD-PEP\TI_asb-311-PREV-RHOD-PEP.txt","Contig17847_100")</f>
        <v>Contig17847_100</v>
      </c>
      <c r="BH184" s="7">
        <v>1.9999999999999999E-72</v>
      </c>
      <c r="BI184" t="str">
        <f>HYPERLINK(".\links\PREV-RHOD-PEP\TI_asb-311-PREV-RHOD-PEP.txt"," 10")</f>
        <v xml:space="preserve"> 10</v>
      </c>
      <c r="BJ184" t="s">
        <v>1935</v>
      </c>
      <c r="BK184">
        <v>267</v>
      </c>
      <c r="BL184">
        <v>171</v>
      </c>
      <c r="BM184">
        <v>173</v>
      </c>
      <c r="BN184">
        <v>79</v>
      </c>
      <c r="BO184">
        <v>99</v>
      </c>
      <c r="BP184">
        <v>35</v>
      </c>
      <c r="BQ184">
        <v>16</v>
      </c>
      <c r="BR184">
        <v>1</v>
      </c>
      <c r="BS184">
        <v>98</v>
      </c>
      <c r="BT184">
        <v>1</v>
      </c>
      <c r="BU184" t="s">
        <v>54</v>
      </c>
      <c r="BV184" t="s">
        <v>1936</v>
      </c>
      <c r="BW184" t="s">
        <v>56</v>
      </c>
      <c r="BX184" t="str">
        <f>HYPERLINK(".\links\PREV-RHOD-CDS\TI_asb-311-PREV-RHOD-CDS.txt","Contig17847_100")</f>
        <v>Contig17847_100</v>
      </c>
      <c r="BY184" s="7">
        <v>2E-66</v>
      </c>
      <c r="BZ184" t="s">
        <v>1935</v>
      </c>
      <c r="CA184">
        <v>252</v>
      </c>
      <c r="CB184">
        <v>415</v>
      </c>
      <c r="CC184">
        <v>522</v>
      </c>
      <c r="CD184">
        <v>89</v>
      </c>
      <c r="CE184">
        <v>80</v>
      </c>
      <c r="CF184">
        <v>23</v>
      </c>
      <c r="CG184">
        <v>0</v>
      </c>
      <c r="CH184">
        <v>49</v>
      </c>
      <c r="CI184">
        <v>167</v>
      </c>
      <c r="CJ184">
        <v>2</v>
      </c>
      <c r="CK184" t="s">
        <v>54</v>
      </c>
      <c r="CL184" t="s">
        <v>1937</v>
      </c>
      <c r="CM184">
        <f>HYPERLINK(".\links\GO\TI_asb-311-GO.txt",2E-70)</f>
        <v>2E-70</v>
      </c>
      <c r="CN184" t="s">
        <v>1938</v>
      </c>
      <c r="CO184" t="s">
        <v>129</v>
      </c>
      <c r="CP184" t="s">
        <v>1939</v>
      </c>
      <c r="CQ184" t="s">
        <v>1940</v>
      </c>
      <c r="CR184" s="7">
        <v>2E-70</v>
      </c>
      <c r="CS184" t="s">
        <v>1055</v>
      </c>
      <c r="CT184" t="s">
        <v>75</v>
      </c>
      <c r="CU184" t="s">
        <v>76</v>
      </c>
      <c r="CV184" t="s">
        <v>1056</v>
      </c>
      <c r="CW184" s="7">
        <v>2E-70</v>
      </c>
      <c r="CX184" t="s">
        <v>628</v>
      </c>
      <c r="CY184" t="s">
        <v>129</v>
      </c>
      <c r="CZ184" t="s">
        <v>1939</v>
      </c>
      <c r="DA184" t="s">
        <v>629</v>
      </c>
      <c r="DB184" s="7">
        <v>2E-70</v>
      </c>
      <c r="DC184" t="str">
        <f>HYPERLINK(".\links\CDD\TI_asb-311-CDD.txt","cyclophilin_ABH")</f>
        <v>cyclophilin_ABH</v>
      </c>
      <c r="DD184" t="str">
        <f>HYPERLINK("http://www.ncbi.nlm.nih.gov/Structure/cdd/cddsrv.cgi?uid=cd01926&amp;version=v4.0","8E-081")</f>
        <v>8E-081</v>
      </c>
      <c r="DE184" t="s">
        <v>1941</v>
      </c>
      <c r="DF184" t="str">
        <f>HYPERLINK(".\links\PFAM\TI_asb-311-PFAM.txt","Pro_isomerase")</f>
        <v>Pro_isomerase</v>
      </c>
      <c r="DG184" t="str">
        <f>HYPERLINK("http://pfam.sanger.ac.uk/family?acc=PF00160","1E-081")</f>
        <v>1E-081</v>
      </c>
      <c r="DH184" t="str">
        <f>HYPERLINK(".\links\PRK\TI_asb-311-PRK.txt","cyclophilin")</f>
        <v>cyclophilin</v>
      </c>
      <c r="DI184" s="7">
        <v>2E-70</v>
      </c>
      <c r="DJ184" s="6" t="str">
        <f>HYPERLINK(".\links\KOG\TI_asb-311-KOG.txt","Cyclophilin type peptidyl-prolyl cis-trans isomerase")</f>
        <v>Cyclophilin type peptidyl-prolyl cis-trans isomerase</v>
      </c>
      <c r="DK184" s="6" t="str">
        <f>HYPERLINK("http://www.ncbi.nlm.nih.gov/COG/grace/shokog.cgi?KOG0865","8E-071")</f>
        <v>8E-071</v>
      </c>
      <c r="DL184" s="6" t="s">
        <v>4340</v>
      </c>
      <c r="DM184" s="6" t="str">
        <f>HYPERLINK(".\links\KOG\TI_asb-311-KOG.txt","KOG0865")</f>
        <v>KOG0865</v>
      </c>
      <c r="DN184" t="s">
        <v>56</v>
      </c>
      <c r="DO184" t="s">
        <v>56</v>
      </c>
      <c r="DP184" s="3" t="s">
        <v>56</v>
      </c>
      <c r="ED184" s="3" t="s">
        <v>56</v>
      </c>
    </row>
    <row r="185" spans="1:147">
      <c r="A185" t="str">
        <f>HYPERLINK(".\links\seq\TI_asb-312-seq.txt","TI_asb-312")</f>
        <v>TI_asb-312</v>
      </c>
      <c r="B185">
        <v>312</v>
      </c>
      <c r="C185" t="str">
        <f>HYPERLINK(".\links\tsa\TI_asb-312-tsa.txt","1")</f>
        <v>1</v>
      </c>
      <c r="D185">
        <v>1</v>
      </c>
      <c r="E185">
        <v>415</v>
      </c>
      <c r="F185">
        <v>392</v>
      </c>
      <c r="G185" t="str">
        <f>HYPERLINK(".\links\qual\TI_asb-312-qual.txt","46")</f>
        <v>46</v>
      </c>
      <c r="H185">
        <v>1</v>
      </c>
      <c r="I185">
        <v>0</v>
      </c>
      <c r="J185">
        <f t="shared" si="8"/>
        <v>1</v>
      </c>
      <c r="K185" s="6">
        <f t="shared" si="9"/>
        <v>1</v>
      </c>
      <c r="L185" s="6" t="s">
        <v>4006</v>
      </c>
      <c r="M185" s="6" t="s">
        <v>3904</v>
      </c>
      <c r="N185" s="6" t="s">
        <v>3875</v>
      </c>
      <c r="O185" s="7">
        <v>1E-58</v>
      </c>
      <c r="P185" s="6">
        <v>55.5</v>
      </c>
      <c r="Q185" s="3">
        <v>415</v>
      </c>
      <c r="R185" s="3">
        <v>180</v>
      </c>
      <c r="S185" s="3" t="s">
        <v>3664</v>
      </c>
      <c r="T185" s="3">
        <v>1</v>
      </c>
      <c r="U185" t="str">
        <f>HYPERLINK(".\links\NR-LIGHT\TI_asb-312-NR-LIGHT.txt","cytochrome c oxidase subunit II")</f>
        <v>cytochrome c oxidase subunit II</v>
      </c>
      <c r="V185" t="str">
        <f>HYPERLINK("http://www.ncbi.nlm.nih.gov/sutils/blink.cgi?pid=5835697","2E-028")</f>
        <v>2E-028</v>
      </c>
      <c r="W185" t="str">
        <f>HYPERLINK(".\links\NR-LIGHT\TI_asb-312-NR-LIGHT.txt"," 10")</f>
        <v xml:space="preserve"> 10</v>
      </c>
      <c r="X185" t="str">
        <f>HYPERLINK("http://www.ncbi.nlm.nih.gov/protein/5835697","gi|5835697")</f>
        <v>gi|5835697</v>
      </c>
      <c r="Y185">
        <v>126</v>
      </c>
      <c r="Z185">
        <v>124</v>
      </c>
      <c r="AA185">
        <v>225</v>
      </c>
      <c r="AB185">
        <v>54</v>
      </c>
      <c r="AC185">
        <v>55</v>
      </c>
      <c r="AD185">
        <v>57</v>
      </c>
      <c r="AE185">
        <v>0</v>
      </c>
      <c r="AF185">
        <v>1</v>
      </c>
      <c r="AG185">
        <v>22</v>
      </c>
      <c r="AH185">
        <v>1</v>
      </c>
      <c r="AI185">
        <v>1</v>
      </c>
      <c r="AJ185" t="s">
        <v>53</v>
      </c>
      <c r="AK185" t="s">
        <v>54</v>
      </c>
      <c r="AL185" t="s">
        <v>1942</v>
      </c>
      <c r="AM185" t="str">
        <f>HYPERLINK(".\links\SWISSP\TI_asb-312-SWISSP.txt","Cytochrome c oxidase subunit 2 OS=Rhipicephalus sanguineus GN=COII PE=3 SV=1")</f>
        <v>Cytochrome c oxidase subunit 2 OS=Rhipicephalus sanguineus GN=COII PE=3 SV=1</v>
      </c>
      <c r="AN185" s="19" t="str">
        <f>HYPERLINK("http://www.uniprot.org/uniprot/O99819","4E-029")</f>
        <v>4E-029</v>
      </c>
      <c r="AO185" t="str">
        <f>HYPERLINK(".\links\SWISSP\TI_asb-312-SWISSP.txt"," 10")</f>
        <v xml:space="preserve"> 10</v>
      </c>
      <c r="AP185" t="s">
        <v>1943</v>
      </c>
      <c r="AQ185">
        <v>126</v>
      </c>
      <c r="AR185">
        <v>124</v>
      </c>
      <c r="AS185">
        <v>225</v>
      </c>
      <c r="AT185">
        <v>54</v>
      </c>
      <c r="AU185">
        <v>55</v>
      </c>
      <c r="AV185">
        <v>57</v>
      </c>
      <c r="AW185">
        <v>0</v>
      </c>
      <c r="AX185">
        <v>1</v>
      </c>
      <c r="AY185">
        <v>22</v>
      </c>
      <c r="AZ185">
        <v>1</v>
      </c>
      <c r="BA185">
        <v>1</v>
      </c>
      <c r="BB185" t="s">
        <v>53</v>
      </c>
      <c r="BC185" t="s">
        <v>54</v>
      </c>
      <c r="BD185" t="s">
        <v>1942</v>
      </c>
      <c r="BE185" t="s">
        <v>1944</v>
      </c>
      <c r="BF185" t="s">
        <v>1945</v>
      </c>
      <c r="BG185" t="s">
        <v>56</v>
      </c>
      <c r="BH185" s="6" t="s">
        <v>56</v>
      </c>
      <c r="BI185" t="s">
        <v>56</v>
      </c>
      <c r="BJ185" t="s">
        <v>56</v>
      </c>
      <c r="BK185" t="s">
        <v>56</v>
      </c>
      <c r="BL185" t="s">
        <v>56</v>
      </c>
      <c r="BM185" t="s">
        <v>56</v>
      </c>
      <c r="BN185" t="s">
        <v>56</v>
      </c>
      <c r="BO185" t="s">
        <v>56</v>
      </c>
      <c r="BP185" t="s">
        <v>56</v>
      </c>
      <c r="BQ185" t="s">
        <v>56</v>
      </c>
      <c r="BR185" t="s">
        <v>56</v>
      </c>
      <c r="BS185" t="s">
        <v>56</v>
      </c>
      <c r="BT185" t="s">
        <v>56</v>
      </c>
      <c r="BU185" t="s">
        <v>56</v>
      </c>
      <c r="BV185" t="s">
        <v>56</v>
      </c>
      <c r="BW185" t="s">
        <v>56</v>
      </c>
      <c r="BX185" t="str">
        <f>HYPERLINK(".\links\PREV-RHOD-CDS\TI_asb-312-PREV-RHOD-CDS.txt","Contig17619_60")</f>
        <v>Contig17619_60</v>
      </c>
      <c r="BY185" s="6">
        <v>0.2</v>
      </c>
      <c r="BZ185" t="s">
        <v>1946</v>
      </c>
      <c r="CA185">
        <v>36.200000000000003</v>
      </c>
      <c r="CB185">
        <v>21</v>
      </c>
      <c r="CC185">
        <v>1230</v>
      </c>
      <c r="CD185">
        <v>95</v>
      </c>
      <c r="CE185">
        <v>2</v>
      </c>
      <c r="CF185">
        <v>1</v>
      </c>
      <c r="CG185">
        <v>0</v>
      </c>
      <c r="CH185">
        <v>572</v>
      </c>
      <c r="CI185">
        <v>46</v>
      </c>
      <c r="CJ185">
        <v>1</v>
      </c>
      <c r="CK185" t="s">
        <v>64</v>
      </c>
      <c r="CL185" t="s">
        <v>1947</v>
      </c>
      <c r="CM185">
        <f>HYPERLINK(".\links\GO\TI_asb-312-GO.txt",0.00000000000001)</f>
        <v>1E-14</v>
      </c>
      <c r="CN185" t="s">
        <v>1597</v>
      </c>
      <c r="CO185" t="s">
        <v>88</v>
      </c>
      <c r="CP185" t="s">
        <v>89</v>
      </c>
      <c r="CQ185" t="s">
        <v>1598</v>
      </c>
      <c r="CR185" s="6">
        <v>1E-14</v>
      </c>
      <c r="CS185" t="s">
        <v>241</v>
      </c>
      <c r="CT185" t="s">
        <v>75</v>
      </c>
      <c r="CU185" t="s">
        <v>76</v>
      </c>
      <c r="CV185" t="s">
        <v>242</v>
      </c>
      <c r="CW185" s="6">
        <v>1E-14</v>
      </c>
      <c r="CX185" t="s">
        <v>1599</v>
      </c>
      <c r="CY185" t="s">
        <v>88</v>
      </c>
      <c r="CZ185" t="s">
        <v>89</v>
      </c>
      <c r="DA185" t="s">
        <v>1600</v>
      </c>
      <c r="DB185" s="6">
        <v>1E-14</v>
      </c>
      <c r="DC185" t="str">
        <f>HYPERLINK(".\links\CDD\TI_asb-312-CDD.txt","COX2_TM")</f>
        <v>COX2_TM</v>
      </c>
      <c r="DD185" t="str">
        <f>HYPERLINK("http://www.ncbi.nlm.nih.gov/Structure/cdd/cddsrv.cgi?uid=pfam02790&amp;version=v4.0","2E-024")</f>
        <v>2E-024</v>
      </c>
      <c r="DE185" t="s">
        <v>1948</v>
      </c>
      <c r="DF185" t="str">
        <f>HYPERLINK(".\links\PFAM\TI_asb-312-PFAM.txt","COX2_TM")</f>
        <v>COX2_TM</v>
      </c>
      <c r="DG185" t="str">
        <f>HYPERLINK("http://pfam.sanger.ac.uk/family?acc=PF02790","6E-027")</f>
        <v>6E-027</v>
      </c>
      <c r="DH185" t="str">
        <f>HYPERLINK(".\links\PRK\TI_asb-312-PRK.txt","cytochrome c oxidase subunit II")</f>
        <v>cytochrome c oxidase subunit II</v>
      </c>
      <c r="DI185" s="7">
        <v>1E-58</v>
      </c>
      <c r="DJ185" s="6" t="str">
        <f>HYPERLINK(".\links\KOG\TI_asb-312-KOG.txt","Cytochrome c oxidase, subunit II, and related proteins")</f>
        <v>Cytochrome c oxidase, subunit II, and related proteins</v>
      </c>
      <c r="DK185" s="6" t="str">
        <f>HYPERLINK("http://www.ncbi.nlm.nih.gov/COG/grace/shokog.cgi?KOG4767","5E-035")</f>
        <v>5E-035</v>
      </c>
      <c r="DL185" s="6" t="s">
        <v>4349</v>
      </c>
      <c r="DM185" s="6" t="str">
        <f>HYPERLINK(".\links\KOG\TI_asb-312-KOG.txt","KOG4767")</f>
        <v>KOG4767</v>
      </c>
      <c r="DN185" t="str">
        <f>HYPERLINK(".\links\SMART\TI_asb-312-SMART.txt","AgrB")</f>
        <v>AgrB</v>
      </c>
      <c r="DO185" t="str">
        <f>HYPERLINK("http://smart.embl-heidelberg.de/smart/do_annotation.pl?DOMAIN=AgrB&amp;BLAST=DUMMY","0.004")</f>
        <v>0.004</v>
      </c>
      <c r="DP185" s="3" t="s">
        <v>56</v>
      </c>
      <c r="ED185" s="3" t="str">
        <f>HYPERLINK(".\links\MIT-PLA\TI_asb-312-MIT-PLA.txt","Rhipicephalus sanguineus mitochondrial DNA, complete genome")</f>
        <v>Rhipicephalus sanguineus mitochondrial DNA, complete genome</v>
      </c>
      <c r="EE185" s="3" t="str">
        <f>HYPERLINK("http://www.ncbi.nlm.nih.gov/entrez/viewer.fcgi?db=nucleotide&amp;val=4164556","3E-021")</f>
        <v>3E-021</v>
      </c>
      <c r="EF185" s="3" t="str">
        <f>HYPERLINK("http://www.ncbi.nlm.nih.gov/entrez/viewer.fcgi?db=nucleotide&amp;val=4164556","gi|4164556")</f>
        <v>gi|4164556</v>
      </c>
      <c r="EG185" s="3">
        <v>101</v>
      </c>
      <c r="EH185" s="3">
        <v>369</v>
      </c>
      <c r="EI185" s="3">
        <v>14710</v>
      </c>
      <c r="EJ185" s="3">
        <v>81</v>
      </c>
      <c r="EK185" s="3">
        <v>3</v>
      </c>
      <c r="EL185" s="3">
        <v>39</v>
      </c>
      <c r="EM185" s="3">
        <v>0</v>
      </c>
      <c r="EN185" s="3">
        <v>2690</v>
      </c>
      <c r="EO185" s="3">
        <v>22</v>
      </c>
      <c r="EP185" s="3">
        <v>2</v>
      </c>
      <c r="EQ185" s="3" t="s">
        <v>54</v>
      </c>
    </row>
    <row r="186" spans="1:147">
      <c r="A186" t="str">
        <f>HYPERLINK(".\links\seq\TI_asb-314-seq.txt","TI_asb-314")</f>
        <v>TI_asb-314</v>
      </c>
      <c r="B186">
        <v>314</v>
      </c>
      <c r="C186" t="str">
        <f>HYPERLINK(".\links\tsa\TI_asb-314-tsa.txt","1")</f>
        <v>1</v>
      </c>
      <c r="D186">
        <v>1</v>
      </c>
      <c r="E186">
        <v>719</v>
      </c>
      <c r="G186" t="str">
        <f>HYPERLINK(".\links\qual\TI_asb-314-qual.txt","58")</f>
        <v>58</v>
      </c>
      <c r="H186">
        <v>1</v>
      </c>
      <c r="I186">
        <v>0</v>
      </c>
      <c r="J186">
        <f t="shared" si="8"/>
        <v>1</v>
      </c>
      <c r="K186" s="6">
        <f t="shared" si="9"/>
        <v>1</v>
      </c>
      <c r="L186" s="6" t="s">
        <v>4007</v>
      </c>
      <c r="M186" s="6" t="s">
        <v>3912</v>
      </c>
      <c r="N186" s="6" t="s">
        <v>3867</v>
      </c>
      <c r="O186" s="7">
        <v>1E-42</v>
      </c>
      <c r="P186" s="6">
        <v>88.9</v>
      </c>
      <c r="Q186" s="3">
        <v>719</v>
      </c>
      <c r="R186" s="3">
        <v>597</v>
      </c>
      <c r="S186" s="3" t="s">
        <v>3665</v>
      </c>
      <c r="T186" s="3">
        <v>1</v>
      </c>
      <c r="U186" t="str">
        <f>HYPERLINK(".\links\NR-LIGHT\TI_asb-314-NR-LIGHT.txt","similar to tetraspanin D107, partial")</f>
        <v>similar to tetraspanin D107, partial</v>
      </c>
      <c r="V186" t="str">
        <f>HYPERLINK("http://www.ncbi.nlm.nih.gov/sutils/blink.cgi?pid=193615599","8E-029")</f>
        <v>8E-029</v>
      </c>
      <c r="W186" t="str">
        <f>HYPERLINK(".\links\NR-LIGHT\TI_asb-314-NR-LIGHT.txt"," 10")</f>
        <v xml:space="preserve"> 10</v>
      </c>
      <c r="X186" t="str">
        <f>HYPERLINK("http://www.ncbi.nlm.nih.gov/protein/193615599","gi|193615599")</f>
        <v>gi|193615599</v>
      </c>
      <c r="Y186">
        <v>129</v>
      </c>
      <c r="Z186">
        <v>139</v>
      </c>
      <c r="AA186">
        <v>219</v>
      </c>
      <c r="AB186">
        <v>46</v>
      </c>
      <c r="AC186">
        <v>63</v>
      </c>
      <c r="AD186">
        <v>75</v>
      </c>
      <c r="AE186">
        <v>5</v>
      </c>
      <c r="AF186">
        <v>46</v>
      </c>
      <c r="AG186">
        <v>316</v>
      </c>
      <c r="AH186">
        <v>1</v>
      </c>
      <c r="AI186">
        <v>1</v>
      </c>
      <c r="AJ186" t="s">
        <v>53</v>
      </c>
      <c r="AK186" t="s">
        <v>54</v>
      </c>
      <c r="AL186" t="s">
        <v>177</v>
      </c>
      <c r="AM186" t="str">
        <f>HYPERLINK(".\links\SWISSP\TI_asb-314-SWISSP.txt","CD63 antigen OS=Felis catus GN=CD63 PE=2 SV=3")</f>
        <v>CD63 antigen OS=Felis catus GN=CD63 PE=2 SV=3</v>
      </c>
      <c r="AN186" s="19" t="str">
        <f>HYPERLINK("http://www.uniprot.org/uniprot/Q76B49","5E-019")</f>
        <v>5E-019</v>
      </c>
      <c r="AO186" t="str">
        <f>HYPERLINK(".\links\SWISSP\TI_asb-314-SWISSP.txt"," 10")</f>
        <v xml:space="preserve"> 10</v>
      </c>
      <c r="AP186" t="s">
        <v>1949</v>
      </c>
      <c r="AQ186">
        <v>94.7</v>
      </c>
      <c r="AR186">
        <v>193</v>
      </c>
      <c r="AS186">
        <v>238</v>
      </c>
      <c r="AT186">
        <v>32</v>
      </c>
      <c r="AU186">
        <v>81</v>
      </c>
      <c r="AV186">
        <v>131</v>
      </c>
      <c r="AW186">
        <v>16</v>
      </c>
      <c r="AX186">
        <v>10</v>
      </c>
      <c r="AY186">
        <v>154</v>
      </c>
      <c r="AZ186">
        <v>1</v>
      </c>
      <c r="BA186">
        <v>1</v>
      </c>
      <c r="BB186" t="s">
        <v>53</v>
      </c>
      <c r="BC186" t="s">
        <v>54</v>
      </c>
      <c r="BD186" t="s">
        <v>1950</v>
      </c>
      <c r="BE186" t="s">
        <v>1951</v>
      </c>
      <c r="BF186" t="s">
        <v>1952</v>
      </c>
      <c r="BG186" t="str">
        <f>HYPERLINK(".\links\PREV-RHOD-PEP\TI_asb-314-PREV-RHOD-PEP.txt","Contig17398_11")</f>
        <v>Contig17398_11</v>
      </c>
      <c r="BH186" s="7">
        <v>5.0000000000000002E-43</v>
      </c>
      <c r="BI186" t="str">
        <f>HYPERLINK(".\links\PREV-RHOD-PEP\TI_asb-314-PREV-RHOD-PEP.txt"," 10")</f>
        <v xml:space="preserve"> 10</v>
      </c>
      <c r="BJ186" t="s">
        <v>1953</v>
      </c>
      <c r="BK186">
        <v>170</v>
      </c>
      <c r="BL186">
        <v>176</v>
      </c>
      <c r="BM186">
        <v>212</v>
      </c>
      <c r="BN186">
        <v>50</v>
      </c>
      <c r="BO186">
        <v>83</v>
      </c>
      <c r="BP186">
        <v>88</v>
      </c>
      <c r="BQ186">
        <v>1</v>
      </c>
      <c r="BR186">
        <v>12</v>
      </c>
      <c r="BS186">
        <v>193</v>
      </c>
      <c r="BT186">
        <v>1</v>
      </c>
      <c r="BU186" t="s">
        <v>54</v>
      </c>
      <c r="BV186" t="s">
        <v>1954</v>
      </c>
      <c r="BW186" t="s">
        <v>56</v>
      </c>
      <c r="BX186" t="str">
        <f>HYPERLINK(".\links\PREV-RHOD-CDS\TI_asb-314-PREV-RHOD-CDS.txt","Contig17398_7")</f>
        <v>Contig17398_7</v>
      </c>
      <c r="BY186" s="7">
        <v>6.0000000000000002E-6</v>
      </c>
      <c r="BZ186" t="s">
        <v>1955</v>
      </c>
      <c r="CA186">
        <v>52</v>
      </c>
      <c r="CB186">
        <v>53</v>
      </c>
      <c r="CC186">
        <v>459</v>
      </c>
      <c r="CD186">
        <v>87</v>
      </c>
      <c r="CE186">
        <v>12</v>
      </c>
      <c r="CF186">
        <v>7</v>
      </c>
      <c r="CG186">
        <v>0</v>
      </c>
      <c r="CH186">
        <v>300</v>
      </c>
      <c r="CI186">
        <v>663</v>
      </c>
      <c r="CJ186">
        <v>1</v>
      </c>
      <c r="CK186" t="s">
        <v>54</v>
      </c>
      <c r="CL186" t="s">
        <v>1956</v>
      </c>
      <c r="CM186">
        <f>HYPERLINK(".\links\GO\TI_asb-314-GO.txt",1E-20)</f>
        <v>9.9999999999999995E-21</v>
      </c>
      <c r="CN186" t="s">
        <v>56</v>
      </c>
      <c r="CO186" t="s">
        <v>56</v>
      </c>
      <c r="CP186" t="s">
        <v>56</v>
      </c>
      <c r="CQ186" t="s">
        <v>56</v>
      </c>
      <c r="CR186" s="6" t="s">
        <v>56</v>
      </c>
      <c r="CS186" t="s">
        <v>91</v>
      </c>
      <c r="CT186" t="s">
        <v>75</v>
      </c>
      <c r="CU186" t="s">
        <v>92</v>
      </c>
      <c r="CV186" t="s">
        <v>93</v>
      </c>
      <c r="CW186" s="7">
        <v>5.9999999999999999E-16</v>
      </c>
      <c r="CX186" t="s">
        <v>56</v>
      </c>
      <c r="CY186" t="s">
        <v>56</v>
      </c>
      <c r="CZ186" t="s">
        <v>56</v>
      </c>
      <c r="DA186" t="s">
        <v>56</v>
      </c>
      <c r="DB186" s="6" t="s">
        <v>56</v>
      </c>
      <c r="DC186" t="str">
        <f>HYPERLINK(".\links\CDD\TI_asb-314-CDD.txt","Tetraspannin")</f>
        <v>Tetraspannin</v>
      </c>
      <c r="DD186" t="str">
        <f>HYPERLINK("http://www.ncbi.nlm.nih.gov/Structure/cdd/cddsrv.cgi?uid=pfam00335&amp;version=v4.0","6E-042")</f>
        <v>6E-042</v>
      </c>
      <c r="DE186" t="s">
        <v>1957</v>
      </c>
      <c r="DF186" t="str">
        <f>HYPERLINK(".\links\PFAM\TI_asb-314-PFAM.txt","Tetraspannin")</f>
        <v>Tetraspannin</v>
      </c>
      <c r="DG186" t="str">
        <f>HYPERLINK("http://pfam.sanger.ac.uk/family?acc=PF00335","1E-042")</f>
        <v>1E-042</v>
      </c>
      <c r="DH186" t="s">
        <v>56</v>
      </c>
      <c r="DI186" s="6" t="s">
        <v>56</v>
      </c>
      <c r="DJ186" s="6" t="str">
        <f>HYPERLINK(".\links\KOG\TI_asb-314-KOG.txt","Nuclear protein, contains WD40 repeats")</f>
        <v>Nuclear protein, contains WD40 repeats</v>
      </c>
      <c r="DK186" s="6" t="str">
        <f>HYPERLINK("http://www.ncbi.nlm.nih.gov/COG/grace/shokog.cgi?KOG1916","0.0")</f>
        <v>0.0</v>
      </c>
      <c r="DL186" s="6" t="s">
        <v>4337</v>
      </c>
      <c r="DM186" s="6" t="str">
        <f>HYPERLINK(".\links\KOG\TI_asb-314-KOG.txt","KOG1916")</f>
        <v>KOG1916</v>
      </c>
      <c r="DN186" t="s">
        <v>56</v>
      </c>
      <c r="DO186" t="s">
        <v>56</v>
      </c>
      <c r="DP186" s="3" t="s">
        <v>56</v>
      </c>
      <c r="ED186" s="3" t="s">
        <v>56</v>
      </c>
    </row>
    <row r="187" spans="1:147">
      <c r="A187" t="str">
        <f>HYPERLINK(".\links\seq\TI_asb-315-seq.txt","TI_asb-315")</f>
        <v>TI_asb-315</v>
      </c>
      <c r="B187">
        <v>315</v>
      </c>
      <c r="C187" t="str">
        <f>HYPERLINK(".\links\tsa\TI_asb-315-tsa.txt","1")</f>
        <v>1</v>
      </c>
      <c r="D187">
        <v>1</v>
      </c>
      <c r="E187">
        <v>450</v>
      </c>
      <c r="G187" t="str">
        <f>HYPERLINK(".\links\qual\TI_asb-315-qual.txt","49")</f>
        <v>49</v>
      </c>
      <c r="H187">
        <v>0</v>
      </c>
      <c r="I187">
        <v>1</v>
      </c>
      <c r="J187">
        <f t="shared" si="8"/>
        <v>1</v>
      </c>
      <c r="K187" s="6">
        <f t="shared" si="9"/>
        <v>-1</v>
      </c>
      <c r="L187" s="6" t="s">
        <v>4008</v>
      </c>
      <c r="M187" s="6" t="s">
        <v>3894</v>
      </c>
      <c r="N187" s="6" t="s">
        <v>3872</v>
      </c>
      <c r="O187" s="7">
        <v>4.9999999999999999E-61</v>
      </c>
      <c r="P187" s="6">
        <v>28</v>
      </c>
      <c r="Q187" s="3">
        <v>450</v>
      </c>
      <c r="R187" s="3">
        <v>387</v>
      </c>
      <c r="S187" s="3" t="s">
        <v>3666</v>
      </c>
      <c r="T187" s="3">
        <v>3</v>
      </c>
      <c r="U187" t="str">
        <f>HYPERLINK(".\links\NR-LIGHT\TI_asb-315-NR-LIGHT.txt","tubulin alpha-1 chain")</f>
        <v>tubulin alpha-1 chain</v>
      </c>
      <c r="V187" t="str">
        <f>HYPERLINK("http://www.ncbi.nlm.nih.gov/sutils/blink.cgi?pid=242017283","2E-063")</f>
        <v>2E-063</v>
      </c>
      <c r="W187" t="str">
        <f>HYPERLINK(".\links\NR-LIGHT\TI_asb-315-NR-LIGHT.txt"," 10")</f>
        <v xml:space="preserve"> 10</v>
      </c>
      <c r="X187" t="str">
        <f>HYPERLINK("http://www.ncbi.nlm.nih.gov/protein/242017283","gi|242017283")</f>
        <v>gi|242017283</v>
      </c>
      <c r="Y187">
        <v>243</v>
      </c>
      <c r="Z187">
        <v>114</v>
      </c>
      <c r="AA187">
        <v>450</v>
      </c>
      <c r="AB187">
        <v>100</v>
      </c>
      <c r="AC187">
        <v>25</v>
      </c>
      <c r="AD187">
        <v>0</v>
      </c>
      <c r="AE187">
        <v>0</v>
      </c>
      <c r="AF187">
        <v>1</v>
      </c>
      <c r="AG187">
        <v>108</v>
      </c>
      <c r="AH187">
        <v>1</v>
      </c>
      <c r="AI187">
        <v>3</v>
      </c>
      <c r="AJ187" t="s">
        <v>53</v>
      </c>
      <c r="AK187" t="s">
        <v>54</v>
      </c>
      <c r="AL187" t="s">
        <v>141</v>
      </c>
      <c r="AM187" t="str">
        <f>HYPERLINK(".\links\SWISSP\TI_asb-315-SWISSP.txt","Tubulin alpha chain, testis-specific OS=Oncorhynchus mykiss PE=2 SV=1")</f>
        <v>Tubulin alpha chain, testis-specific OS=Oncorhynchus mykiss PE=2 SV=1</v>
      </c>
      <c r="AN187" s="19" t="str">
        <f>HYPERLINK("http://www.uniprot.org/uniprot/P18288","6E-064")</f>
        <v>6E-064</v>
      </c>
      <c r="AO187" t="str">
        <f>HYPERLINK(".\links\SWISSP\TI_asb-315-SWISSP.txt"," 10")</f>
        <v xml:space="preserve"> 10</v>
      </c>
      <c r="AP187" t="s">
        <v>1958</v>
      </c>
      <c r="AQ187">
        <v>242</v>
      </c>
      <c r="AR187">
        <v>114</v>
      </c>
      <c r="AS187">
        <v>450</v>
      </c>
      <c r="AT187">
        <v>99</v>
      </c>
      <c r="AU187">
        <v>25</v>
      </c>
      <c r="AV187">
        <v>1</v>
      </c>
      <c r="AW187">
        <v>0</v>
      </c>
      <c r="AX187">
        <v>1</v>
      </c>
      <c r="AY187">
        <v>108</v>
      </c>
      <c r="AZ187">
        <v>1</v>
      </c>
      <c r="BA187">
        <v>3</v>
      </c>
      <c r="BB187" t="s">
        <v>53</v>
      </c>
      <c r="BC187" t="s">
        <v>54</v>
      </c>
      <c r="BD187" t="s">
        <v>4264</v>
      </c>
      <c r="BE187" t="s">
        <v>1959</v>
      </c>
      <c r="BF187" t="s">
        <v>1960</v>
      </c>
      <c r="BG187" t="str">
        <f>HYPERLINK(".\links\PREV-RHOD-PEP\TI_asb-315-PREV-RHOD-PEP.txt","Contig17942_176")</f>
        <v>Contig17942_176</v>
      </c>
      <c r="BH187" s="7">
        <v>3.0000000000000002E-60</v>
      </c>
      <c r="BI187" t="str">
        <f>HYPERLINK(".\links\PREV-RHOD-PEP\TI_asb-315-PREV-RHOD-PEP.txt"," 10")</f>
        <v xml:space="preserve"> 10</v>
      </c>
      <c r="BJ187" t="s">
        <v>1961</v>
      </c>
      <c r="BK187">
        <v>226</v>
      </c>
      <c r="BL187">
        <v>116</v>
      </c>
      <c r="BM187">
        <v>451</v>
      </c>
      <c r="BN187">
        <v>90</v>
      </c>
      <c r="BO187">
        <v>26</v>
      </c>
      <c r="BP187">
        <v>11</v>
      </c>
      <c r="BQ187">
        <v>2</v>
      </c>
      <c r="BR187">
        <v>1</v>
      </c>
      <c r="BS187">
        <v>108</v>
      </c>
      <c r="BT187">
        <v>1</v>
      </c>
      <c r="BU187" t="s">
        <v>54</v>
      </c>
      <c r="BV187" t="s">
        <v>1962</v>
      </c>
      <c r="BW187" t="s">
        <v>56</v>
      </c>
      <c r="BX187" t="str">
        <f>HYPERLINK(".\links\PREV-RHOD-CDS\TI_asb-315-PREV-RHOD-CDS.txt","Contig17728_88")</f>
        <v>Contig17728_88</v>
      </c>
      <c r="BY187" s="7">
        <v>3E-37</v>
      </c>
      <c r="BZ187" t="s">
        <v>1963</v>
      </c>
      <c r="CA187">
        <v>155</v>
      </c>
      <c r="CB187">
        <v>163</v>
      </c>
      <c r="CC187">
        <v>1176</v>
      </c>
      <c r="CD187">
        <v>91</v>
      </c>
      <c r="CE187">
        <v>14</v>
      </c>
      <c r="CF187">
        <v>10</v>
      </c>
      <c r="CG187">
        <v>0</v>
      </c>
      <c r="CH187">
        <v>1</v>
      </c>
      <c r="CI187">
        <v>108</v>
      </c>
      <c r="CJ187">
        <v>2</v>
      </c>
      <c r="CK187" t="s">
        <v>54</v>
      </c>
      <c r="CL187" t="s">
        <v>1964</v>
      </c>
      <c r="CM187">
        <f>HYPERLINK(".\links\GO\TI_asb-315-GO.txt",2E-64)</f>
        <v>1.9999999999999999E-64</v>
      </c>
      <c r="CN187" t="s">
        <v>1965</v>
      </c>
      <c r="CO187" t="s">
        <v>185</v>
      </c>
      <c r="CP187" t="s">
        <v>186</v>
      </c>
      <c r="CQ187" t="s">
        <v>1966</v>
      </c>
      <c r="CR187" s="7">
        <v>1.9999999999999999E-64</v>
      </c>
      <c r="CS187" t="s">
        <v>1967</v>
      </c>
      <c r="CT187" t="s">
        <v>247</v>
      </c>
      <c r="CU187" t="s">
        <v>247</v>
      </c>
      <c r="CV187" t="s">
        <v>1968</v>
      </c>
      <c r="CW187" s="7">
        <v>1.9999999999999999E-64</v>
      </c>
      <c r="CX187" t="s">
        <v>1969</v>
      </c>
      <c r="CY187" t="s">
        <v>185</v>
      </c>
      <c r="CZ187" t="s">
        <v>186</v>
      </c>
      <c r="DA187" t="s">
        <v>1970</v>
      </c>
      <c r="DB187" s="7">
        <v>1.9999999999999999E-64</v>
      </c>
      <c r="DC187" t="str">
        <f>HYPERLINK(".\links\CDD\TI_asb-315-CDD.txt","alpha_tubulin")</f>
        <v>alpha_tubulin</v>
      </c>
      <c r="DD187" t="str">
        <f>HYPERLINK("http://www.ncbi.nlm.nih.gov/Structure/cdd/cddsrv.cgi?uid=cd02186&amp;version=v4.0","5E-070")</f>
        <v>5E-070</v>
      </c>
      <c r="DE187" t="s">
        <v>1971</v>
      </c>
      <c r="DF187" t="str">
        <f>HYPERLINK(".\links\PFAM\TI_asb-315-PFAM.txt","Tubulin")</f>
        <v>Tubulin</v>
      </c>
      <c r="DG187" t="str">
        <f>HYPERLINK("http://pfam.sanger.ac.uk/family?acc=PF00091","3E-030")</f>
        <v>3E-030</v>
      </c>
      <c r="DH187" t="str">
        <f>HYPERLINK(".\links\PRK\TI_asb-315-PRK.txt","tubulin alpha chain")</f>
        <v>tubulin alpha chain</v>
      </c>
      <c r="DI187" s="7">
        <v>6.0000000000000001E-74</v>
      </c>
      <c r="DJ187" s="6" t="str">
        <f>HYPERLINK(".\links\KOG\TI_asb-315-KOG.txt","Alpha tubulin")</f>
        <v>Alpha tubulin</v>
      </c>
      <c r="DK187" s="6" t="str">
        <f>HYPERLINK("http://www.ncbi.nlm.nih.gov/COG/grace/shokog.cgi?KOG1376","5E-061")</f>
        <v>5E-061</v>
      </c>
      <c r="DL187" s="6" t="s">
        <v>4344</v>
      </c>
      <c r="DM187" s="6" t="str">
        <f>HYPERLINK(".\links\KOG\TI_asb-315-KOG.txt","KOG1376")</f>
        <v>KOG1376</v>
      </c>
      <c r="DN187" t="str">
        <f>HYPERLINK(".\links\SMART\TI_asb-315-SMART.txt","Tubulin")</f>
        <v>Tubulin</v>
      </c>
      <c r="DO187" t="str">
        <f>HYPERLINK("http://smart.embl-heidelberg.de/smart/do_annotation.pl?DOMAIN=Tubulin&amp;BLAST=DUMMY","9E-025")</f>
        <v>9E-025</v>
      </c>
      <c r="DP187" s="3" t="s">
        <v>56</v>
      </c>
      <c r="ED187" s="3" t="s">
        <v>56</v>
      </c>
    </row>
    <row r="188" spans="1:147">
      <c r="A188" t="str">
        <f>HYPERLINK(".\links\seq\TI_asb-316-seq.txt","TI_asb-316")</f>
        <v>TI_asb-316</v>
      </c>
      <c r="B188">
        <v>316</v>
      </c>
      <c r="C188" t="str">
        <f>HYPERLINK(".\links\tsa\TI_asb-316-tsa.txt","1")</f>
        <v>1</v>
      </c>
      <c r="D188">
        <v>1</v>
      </c>
      <c r="E188">
        <v>494</v>
      </c>
      <c r="G188" t="str">
        <f>HYPERLINK(".\links\qual\TI_asb-316-qual.txt","30")</f>
        <v>30</v>
      </c>
      <c r="H188">
        <v>1</v>
      </c>
      <c r="I188">
        <v>0</v>
      </c>
      <c r="J188">
        <f t="shared" si="8"/>
        <v>1</v>
      </c>
      <c r="K188" s="6">
        <f t="shared" si="9"/>
        <v>1</v>
      </c>
      <c r="L188" s="6" t="s">
        <v>3982</v>
      </c>
      <c r="M188" s="6" t="s">
        <v>3904</v>
      </c>
      <c r="N188" s="6" t="s">
        <v>3872</v>
      </c>
      <c r="O188" s="7">
        <v>9.9999999999999997E-49</v>
      </c>
      <c r="P188" s="6">
        <v>37.1</v>
      </c>
      <c r="Q188" s="3">
        <v>494</v>
      </c>
      <c r="R188" s="3">
        <v>210</v>
      </c>
      <c r="S188" s="3" t="s">
        <v>3667</v>
      </c>
      <c r="T188" s="3">
        <v>1</v>
      </c>
      <c r="U188" t="str">
        <f>HYPERLINK(".\links\NR-LIGHT\TI_asb-316-NR-LIGHT.txt","NADH dehydrogenase subunit 4")</f>
        <v>NADH dehydrogenase subunit 4</v>
      </c>
      <c r="V188" t="str">
        <f>HYPERLINK("http://www.ncbi.nlm.nih.gov/sutils/blink.cgi?pid=11182470","3E-055")</f>
        <v>3E-055</v>
      </c>
      <c r="W188" t="str">
        <f>HYPERLINK(".\links\NR-LIGHT\TI_asb-316-NR-LIGHT.txt"," 10")</f>
        <v xml:space="preserve"> 10</v>
      </c>
      <c r="X188" t="str">
        <f>HYPERLINK("http://www.ncbi.nlm.nih.gov/protein/11182470","gi|11182470")</f>
        <v>gi|11182470</v>
      </c>
      <c r="Y188">
        <v>216</v>
      </c>
      <c r="Z188">
        <v>149</v>
      </c>
      <c r="AA188">
        <v>443</v>
      </c>
      <c r="AB188">
        <v>73</v>
      </c>
      <c r="AC188">
        <v>34</v>
      </c>
      <c r="AD188">
        <v>40</v>
      </c>
      <c r="AE188">
        <v>0</v>
      </c>
      <c r="AF188">
        <v>120</v>
      </c>
      <c r="AG188">
        <v>46</v>
      </c>
      <c r="AH188">
        <v>1</v>
      </c>
      <c r="AI188">
        <v>1</v>
      </c>
      <c r="AJ188" t="s">
        <v>53</v>
      </c>
      <c r="AK188" t="s">
        <v>54</v>
      </c>
      <c r="AL188" t="s">
        <v>672</v>
      </c>
      <c r="AM188" t="str">
        <f>HYPERLINK(".\links\SWISSP\TI_asb-316-SWISSP.txt","NADH-ubiquinone oxidoreductase chain 4 OS=Ceratitis capitata GN=ND4 PE=3 SV=2")</f>
        <v>NADH-ubiquinone oxidoreductase chain 4 OS=Ceratitis capitata GN=ND4 PE=3 SV=2</v>
      </c>
      <c r="AN188" s="19" t="str">
        <f>HYPERLINK("http://www.uniprot.org/uniprot/Q34048","1E-032")</f>
        <v>1E-032</v>
      </c>
      <c r="AO188" t="str">
        <f>HYPERLINK(".\links\SWISSP\TI_asb-316-SWISSP.txt"," 10")</f>
        <v xml:space="preserve"> 10</v>
      </c>
      <c r="AP188" t="s">
        <v>1972</v>
      </c>
      <c r="AQ188">
        <v>138</v>
      </c>
      <c r="AR188">
        <v>152</v>
      </c>
      <c r="AS188">
        <v>446</v>
      </c>
      <c r="AT188">
        <v>48</v>
      </c>
      <c r="AU188">
        <v>34</v>
      </c>
      <c r="AV188">
        <v>78</v>
      </c>
      <c r="AW188">
        <v>3</v>
      </c>
      <c r="AX188">
        <v>121</v>
      </c>
      <c r="AY188">
        <v>46</v>
      </c>
      <c r="AZ188">
        <v>1</v>
      </c>
      <c r="BA188">
        <v>1</v>
      </c>
      <c r="BB188" t="s">
        <v>53</v>
      </c>
      <c r="BC188" t="s">
        <v>54</v>
      </c>
      <c r="BD188" t="s">
        <v>1973</v>
      </c>
      <c r="BE188" t="s">
        <v>1974</v>
      </c>
      <c r="BF188" t="s">
        <v>1975</v>
      </c>
      <c r="BG188" t="str">
        <f>HYPERLINK(".\links\PREV-RHOD-PEP\TI_asb-316-PREV-RHOD-PEP.txt","Contig7881_1")</f>
        <v>Contig7881_1</v>
      </c>
      <c r="BH188" s="7">
        <v>1.0000000000000001E-9</v>
      </c>
      <c r="BI188" t="str">
        <f>HYPERLINK(".\links\PREV-RHOD-PEP\TI_asb-316-PREV-RHOD-PEP.txt"," 10")</f>
        <v xml:space="preserve"> 10</v>
      </c>
      <c r="BJ188" t="s">
        <v>1976</v>
      </c>
      <c r="BK188">
        <v>58.9</v>
      </c>
      <c r="BL188">
        <v>65</v>
      </c>
      <c r="BM188">
        <v>268</v>
      </c>
      <c r="BN188">
        <v>46</v>
      </c>
      <c r="BO188">
        <v>24</v>
      </c>
      <c r="BP188">
        <v>35</v>
      </c>
      <c r="BQ188">
        <v>0</v>
      </c>
      <c r="BR188">
        <v>73</v>
      </c>
      <c r="BS188">
        <v>298</v>
      </c>
      <c r="BT188">
        <v>1</v>
      </c>
      <c r="BU188" t="s">
        <v>54</v>
      </c>
      <c r="BV188" t="s">
        <v>1977</v>
      </c>
      <c r="BW188" t="s">
        <v>56</v>
      </c>
      <c r="BX188" t="str">
        <f>HYPERLINK(".\links\PREV-RHOD-CDS\TI_asb-316-PREV-RHOD-CDS.txt","Contig7881_1")</f>
        <v>Contig7881_1</v>
      </c>
      <c r="BY188" s="7">
        <v>1.0000000000000001E-9</v>
      </c>
      <c r="BZ188" t="s">
        <v>1976</v>
      </c>
      <c r="CA188">
        <v>63.9</v>
      </c>
      <c r="CB188">
        <v>79</v>
      </c>
      <c r="CC188">
        <v>804</v>
      </c>
      <c r="CD188">
        <v>85</v>
      </c>
      <c r="CE188">
        <v>10</v>
      </c>
      <c r="CF188">
        <v>12</v>
      </c>
      <c r="CG188">
        <v>0</v>
      </c>
      <c r="CH188">
        <v>220</v>
      </c>
      <c r="CI188">
        <v>301</v>
      </c>
      <c r="CJ188">
        <v>1</v>
      </c>
      <c r="CK188" t="s">
        <v>54</v>
      </c>
      <c r="CL188" t="s">
        <v>1978</v>
      </c>
      <c r="CM188">
        <f>HYPERLINK(".\links\GO\TI_asb-316-GO.txt",9E-31)</f>
        <v>9.0000000000000008E-31</v>
      </c>
      <c r="CN188" t="s">
        <v>58</v>
      </c>
      <c r="CO188" t="s">
        <v>58</v>
      </c>
      <c r="CQ188" t="s">
        <v>59</v>
      </c>
      <c r="CR188" s="7">
        <v>2.0000000000000001E-22</v>
      </c>
      <c r="CS188" t="s">
        <v>60</v>
      </c>
      <c r="CT188" t="s">
        <v>60</v>
      </c>
      <c r="CV188" t="s">
        <v>61</v>
      </c>
      <c r="CW188" s="7">
        <v>2.0000000000000001E-22</v>
      </c>
      <c r="CX188" t="s">
        <v>828</v>
      </c>
      <c r="CY188" t="s">
        <v>58</v>
      </c>
      <c r="DA188" t="s">
        <v>829</v>
      </c>
      <c r="DB188" s="7">
        <v>2.0000000000000001E-22</v>
      </c>
      <c r="DC188" t="str">
        <f>HYPERLINK(".\links\CDD\TI_asb-316-CDD.txt","ND4")</f>
        <v>ND4</v>
      </c>
      <c r="DD188" t="str">
        <f>HYPERLINK("http://www.ncbi.nlm.nih.gov/Structure/cdd/cddsrv.cgi?uid=MTH00163&amp;version=v4.0","4E-072")</f>
        <v>4E-072</v>
      </c>
      <c r="DE188" t="s">
        <v>1979</v>
      </c>
      <c r="DF188" t="str">
        <f>HYPERLINK(".\links\PFAM\TI_asb-316-PFAM.txt","Oxidored_q1")</f>
        <v>Oxidored_q1</v>
      </c>
      <c r="DG188" t="str">
        <f>HYPERLINK("http://pfam.sanger.ac.uk/family?acc=PF00361","7E-040")</f>
        <v>7E-040</v>
      </c>
      <c r="DH188" t="str">
        <f>HYPERLINK(".\links\PRK\TI_asb-316-PRK.txt","NADH dehydrogenase subunit 4")</f>
        <v>NADH dehydrogenase subunit 4</v>
      </c>
      <c r="DI188" s="7">
        <v>1.9999999999999999E-76</v>
      </c>
      <c r="DJ188" s="6" t="str">
        <f>HYPERLINK(".\links\KOG\TI_asb-316-KOG.txt","NADH dehydrogenase, subunit 4")</f>
        <v>NADH dehydrogenase, subunit 4</v>
      </c>
      <c r="DK188" s="6" t="str">
        <f>HYPERLINK("http://www.ncbi.nlm.nih.gov/COG/grace/shokog.cgi?KOG4845","1E-048")</f>
        <v>1E-048</v>
      </c>
      <c r="DL188" s="6" t="s">
        <v>4349</v>
      </c>
      <c r="DM188" s="6" t="str">
        <f>HYPERLINK(".\links\KOG\TI_asb-316-KOG.txt","KOG4845")</f>
        <v>KOG4845</v>
      </c>
      <c r="DN188" t="str">
        <f>HYPERLINK(".\links\SMART\TI_asb-316-SMART.txt","AgrB")</f>
        <v>AgrB</v>
      </c>
      <c r="DO188" t="str">
        <f>HYPERLINK("http://smart.embl-heidelberg.de/smart/do_annotation.pl?DOMAIN=AgrB&amp;BLAST=DUMMY","0.002")</f>
        <v>0.002</v>
      </c>
      <c r="DP188" s="3" t="s">
        <v>56</v>
      </c>
      <c r="ED188" s="3" t="str">
        <f>HYPERLINK(".\links\MIT-PLA\TI_asb-316-MIT-PLA.txt","Triatoma dimidiata mitochondrial DNA, complete genome")</f>
        <v>Triatoma dimidiata mitochondrial DNA, complete genome</v>
      </c>
      <c r="EE188" s="3" t="str">
        <f>HYPERLINK("http://www.ncbi.nlm.nih.gov/entrez/viewer.fcgi?db=nucleotide&amp;val=11139100","1E-020")</f>
        <v>1E-020</v>
      </c>
      <c r="EF188" s="3" t="str">
        <f>HYPERLINK("http://www.ncbi.nlm.nih.gov/entrez/viewer.fcgi?db=nucleotide&amp;val=11139100","gi|11139100")</f>
        <v>gi|11139100</v>
      </c>
      <c r="EG188" s="3">
        <v>99.6</v>
      </c>
      <c r="EH188" s="3">
        <v>205</v>
      </c>
      <c r="EI188" s="3">
        <v>17019</v>
      </c>
      <c r="EJ188" s="3">
        <v>81</v>
      </c>
      <c r="EK188" s="3">
        <v>1</v>
      </c>
      <c r="EL188" s="3">
        <v>39</v>
      </c>
      <c r="EM188" s="3">
        <v>0</v>
      </c>
      <c r="EN188" s="3">
        <v>8537</v>
      </c>
      <c r="EO188" s="3">
        <v>274</v>
      </c>
      <c r="EP188" s="3">
        <v>1</v>
      </c>
      <c r="EQ188" s="3" t="s">
        <v>64</v>
      </c>
    </row>
    <row r="189" spans="1:147">
      <c r="A189" t="str">
        <f>HYPERLINK(".\links\seq\TI_asb-317-seq.txt","TI_asb-317")</f>
        <v>TI_asb-317</v>
      </c>
      <c r="B189">
        <v>317</v>
      </c>
      <c r="C189" t="str">
        <f>HYPERLINK(".\links\tsa\TI_asb-317-tsa.txt","1")</f>
        <v>1</v>
      </c>
      <c r="D189">
        <v>1</v>
      </c>
      <c r="E189">
        <v>619</v>
      </c>
      <c r="F189">
        <v>596</v>
      </c>
      <c r="G189" t="str">
        <f>HYPERLINK(".\links\qual\TI_asb-317-qual.txt","56")</f>
        <v>56</v>
      </c>
      <c r="H189">
        <v>1</v>
      </c>
      <c r="I189">
        <v>0</v>
      </c>
      <c r="J189">
        <f t="shared" si="8"/>
        <v>1</v>
      </c>
      <c r="K189" s="6">
        <f t="shared" si="9"/>
        <v>1</v>
      </c>
      <c r="L189" s="6" t="s">
        <v>4009</v>
      </c>
      <c r="M189" s="6" t="s">
        <v>3904</v>
      </c>
      <c r="N189" s="6" t="s">
        <v>3884</v>
      </c>
      <c r="O189" s="7">
        <v>7.0000000000000004E-25</v>
      </c>
      <c r="P189" s="6">
        <v>37</v>
      </c>
      <c r="Q189" s="3">
        <v>619</v>
      </c>
      <c r="R189" s="3">
        <v>408</v>
      </c>
      <c r="S189" s="3" t="s">
        <v>3668</v>
      </c>
      <c r="T189" s="3">
        <v>6</v>
      </c>
      <c r="U189" t="str">
        <f>HYPERLINK(".\links\NR-LIGHT\TI_asb-317-NR-LIGHT.txt","NADH dehydrogenase subunit 5")</f>
        <v>NADH dehydrogenase subunit 5</v>
      </c>
      <c r="V189" t="str">
        <f>HYPERLINK("http://www.ncbi.nlm.nih.gov/sutils/blink.cgi?pid=11182469","8E-085")</f>
        <v>8E-085</v>
      </c>
      <c r="W189" t="str">
        <f>HYPERLINK(".\links\NR-LIGHT\TI_asb-317-NR-LIGHT.txt"," 10")</f>
        <v xml:space="preserve"> 10</v>
      </c>
      <c r="X189" t="str">
        <f>HYPERLINK("http://www.ncbi.nlm.nih.gov/protein/11182469","gi|11182469")</f>
        <v>gi|11182469</v>
      </c>
      <c r="Y189">
        <v>315</v>
      </c>
      <c r="Z189">
        <v>198</v>
      </c>
      <c r="AA189">
        <v>570</v>
      </c>
      <c r="AB189">
        <v>77</v>
      </c>
      <c r="AC189">
        <v>35</v>
      </c>
      <c r="AD189">
        <v>45</v>
      </c>
      <c r="AE189">
        <v>0</v>
      </c>
      <c r="AF189">
        <v>32</v>
      </c>
      <c r="AG189">
        <v>3</v>
      </c>
      <c r="AH189">
        <v>1</v>
      </c>
      <c r="AI189">
        <v>-3</v>
      </c>
      <c r="AJ189" t="s">
        <v>53</v>
      </c>
      <c r="AK189" t="s">
        <v>64</v>
      </c>
      <c r="AL189" t="s">
        <v>672</v>
      </c>
      <c r="AM189" t="str">
        <f>HYPERLINK(".\links\SWISSP\TI_asb-317-SWISSP.txt","NADH-ubiquinone oxidoreductase chain 5 OS=Aedes aegypti GN=mt:ND5 PE=3 SV=1")</f>
        <v>NADH-ubiquinone oxidoreductase chain 5 OS=Aedes aegypti GN=mt:ND5 PE=3 SV=1</v>
      </c>
      <c r="AN189" s="19" t="str">
        <f>HYPERLINK("http://www.uniprot.org/uniprot/B0FWD3","2E-063")</f>
        <v>2E-063</v>
      </c>
      <c r="AO189" t="str">
        <f>HYPERLINK(".\links\SWISSP\TI_asb-317-SWISSP.txt"," 10")</f>
        <v xml:space="preserve"> 10</v>
      </c>
      <c r="AP189" t="s">
        <v>1980</v>
      </c>
      <c r="AQ189">
        <v>241</v>
      </c>
      <c r="AR189">
        <v>199</v>
      </c>
      <c r="AS189">
        <v>580</v>
      </c>
      <c r="AT189">
        <v>62</v>
      </c>
      <c r="AU189">
        <v>34</v>
      </c>
      <c r="AV189">
        <v>75</v>
      </c>
      <c r="AW189">
        <v>2</v>
      </c>
      <c r="AX189">
        <v>33</v>
      </c>
      <c r="AY189">
        <v>3</v>
      </c>
      <c r="AZ189">
        <v>1</v>
      </c>
      <c r="BA189">
        <v>-3</v>
      </c>
      <c r="BB189" t="s">
        <v>53</v>
      </c>
      <c r="BC189" t="s">
        <v>64</v>
      </c>
      <c r="BD189" t="s">
        <v>120</v>
      </c>
      <c r="BE189" t="s">
        <v>1981</v>
      </c>
      <c r="BF189" t="s">
        <v>1982</v>
      </c>
      <c r="BG189" t="str">
        <f>HYPERLINK(".\links\PREV-RHOD-PEP\TI_asb-317-PREV-RHOD-PEP.txt","Contig8149_1")</f>
        <v>Contig8149_1</v>
      </c>
      <c r="BH189" s="7">
        <v>2.0000000000000001E-22</v>
      </c>
      <c r="BI189" t="str">
        <f>HYPERLINK(".\links\PREV-RHOD-PEP\TI_asb-317-PREV-RHOD-PEP.txt"," 10")</f>
        <v xml:space="preserve"> 10</v>
      </c>
      <c r="BJ189" t="s">
        <v>1983</v>
      </c>
      <c r="BK189">
        <v>101</v>
      </c>
      <c r="BL189">
        <v>57</v>
      </c>
      <c r="BM189">
        <v>57</v>
      </c>
      <c r="BN189">
        <v>75</v>
      </c>
      <c r="BO189">
        <v>100</v>
      </c>
      <c r="BP189">
        <v>14</v>
      </c>
      <c r="BQ189">
        <v>0</v>
      </c>
      <c r="BR189">
        <v>1</v>
      </c>
      <c r="BS189">
        <v>120</v>
      </c>
      <c r="BT189">
        <v>1</v>
      </c>
      <c r="BU189" t="s">
        <v>64</v>
      </c>
      <c r="BV189" t="s">
        <v>1984</v>
      </c>
      <c r="BW189" t="s">
        <v>56</v>
      </c>
      <c r="BX189" t="str">
        <f>HYPERLINK(".\links\PREV-RHOD-CDS\TI_asb-317-PREV-RHOD-CDS.txt","Contig8075_1")</f>
        <v>Contig8075_1</v>
      </c>
      <c r="BY189" s="7">
        <v>2.0000000000000001E-18</v>
      </c>
      <c r="BZ189" t="s">
        <v>1985</v>
      </c>
      <c r="CA189">
        <v>93.7</v>
      </c>
      <c r="CB189">
        <v>166</v>
      </c>
      <c r="CC189">
        <v>183</v>
      </c>
      <c r="CD189">
        <v>82</v>
      </c>
      <c r="CE189">
        <v>91</v>
      </c>
      <c r="CF189">
        <v>30</v>
      </c>
      <c r="CG189">
        <v>0</v>
      </c>
      <c r="CH189">
        <v>6</v>
      </c>
      <c r="CI189">
        <v>119</v>
      </c>
      <c r="CJ189">
        <v>1</v>
      </c>
      <c r="CK189" t="s">
        <v>64</v>
      </c>
      <c r="CL189" t="s">
        <v>825</v>
      </c>
      <c r="CM189">
        <f>HYPERLINK(".\links\GO\TI_asb-317-GO.txt",1E-63)</f>
        <v>1.0000000000000001E-63</v>
      </c>
      <c r="CN189" t="s">
        <v>58</v>
      </c>
      <c r="CO189" t="s">
        <v>58</v>
      </c>
      <c r="CQ189" t="s">
        <v>59</v>
      </c>
      <c r="CR189" s="7">
        <v>9.9999999999999998E-20</v>
      </c>
      <c r="CS189" t="s">
        <v>826</v>
      </c>
      <c r="CT189" t="s">
        <v>75</v>
      </c>
      <c r="CU189" t="s">
        <v>555</v>
      </c>
      <c r="CV189" t="s">
        <v>827</v>
      </c>
      <c r="CW189" s="7">
        <v>9.9999999999999998E-20</v>
      </c>
      <c r="CX189" t="s">
        <v>828</v>
      </c>
      <c r="CY189" t="s">
        <v>58</v>
      </c>
      <c r="DA189" t="s">
        <v>829</v>
      </c>
      <c r="DB189" s="7">
        <v>9.9999999999999998E-20</v>
      </c>
      <c r="DC189" t="str">
        <f>HYPERLINK(".\links\CDD\TI_asb-317-CDD.txt","ND5")</f>
        <v>ND5</v>
      </c>
      <c r="DD189" t="str">
        <f>HYPERLINK("http://www.ncbi.nlm.nih.gov/Structure/cdd/cddsrv.cgi?uid=MTH00165&amp;version=v4.0","1E-108")</f>
        <v>1E-108</v>
      </c>
      <c r="DE189" t="s">
        <v>1986</v>
      </c>
      <c r="DF189" t="str">
        <f>HYPERLINK(".\links\PFAM\TI_asb-317-PFAM.txt","Oxidored_q1")</f>
        <v>Oxidored_q1</v>
      </c>
      <c r="DG189" t="str">
        <f>HYPERLINK("http://pfam.sanger.ac.uk/family?acc=PF00361","7E-024")</f>
        <v>7E-024</v>
      </c>
      <c r="DH189" t="str">
        <f>HYPERLINK(".\links\PRK\TI_asb-317-PRK.txt","NADH dehydrogenase subunit 5")</f>
        <v>NADH dehydrogenase subunit 5</v>
      </c>
      <c r="DI189" s="7">
        <v>1.0000000000000001E-114</v>
      </c>
      <c r="DJ189" s="6" t="str">
        <f>HYPERLINK(".\links\KOG\TI_asb-317-KOG.txt","NADH dehydrogenase subunits 2, 5, and related proteins")</f>
        <v>NADH dehydrogenase subunits 2, 5, and related proteins</v>
      </c>
      <c r="DK189" s="6" t="str">
        <f>HYPERLINK("http://www.ncbi.nlm.nih.gov/COG/grace/shokog.cgi?KOG4668","3E-024")</f>
        <v>3E-024</v>
      </c>
      <c r="DL189" s="6" t="s">
        <v>4349</v>
      </c>
      <c r="DM189" s="6" t="str">
        <f>HYPERLINK(".\links\KOG\TI_asb-317-KOG.txt","KOG4668")</f>
        <v>KOG4668</v>
      </c>
      <c r="DN189" t="str">
        <f>HYPERLINK(".\links\SMART\TI_asb-317-SMART.txt","VKc")</f>
        <v>VKc</v>
      </c>
      <c r="DO189" t="str">
        <f>HYPERLINK("http://smart.embl-heidelberg.de/smart/do_annotation.pl?DOMAIN=VKc&amp;BLAST=DUMMY","0.002")</f>
        <v>0.002</v>
      </c>
      <c r="DP189" s="3" t="s">
        <v>56</v>
      </c>
      <c r="ED189" s="3" t="str">
        <f>HYPERLINK(".\links\MIT-PLA\TI_asb-317-MIT-PLA.txt","Triatoma dimidiata mitochondrial DNA, complete genome")</f>
        <v>Triatoma dimidiata mitochondrial DNA, complete genome</v>
      </c>
      <c r="EE189" s="3" t="str">
        <f>HYPERLINK("http://www.ncbi.nlm.nih.gov/entrez/viewer.fcgi?db=nucleotide&amp;val=11139100","3E-071")</f>
        <v>3E-071</v>
      </c>
      <c r="EF189" s="3" t="str">
        <f>HYPERLINK("http://www.ncbi.nlm.nih.gov/entrez/viewer.fcgi?db=nucleotide&amp;val=11139100","gi|11139100")</f>
        <v>gi|11139100</v>
      </c>
      <c r="EG189" s="3">
        <v>268</v>
      </c>
      <c r="EH189" s="3">
        <v>469</v>
      </c>
      <c r="EI189" s="3">
        <v>17019</v>
      </c>
      <c r="EJ189" s="3">
        <v>83</v>
      </c>
      <c r="EK189" s="3">
        <v>3</v>
      </c>
      <c r="EL189" s="3">
        <v>65</v>
      </c>
      <c r="EM189" s="3">
        <v>0</v>
      </c>
      <c r="EN189" s="3">
        <v>7241</v>
      </c>
      <c r="EO189" s="3">
        <v>1</v>
      </c>
      <c r="EP189" s="3">
        <v>2</v>
      </c>
      <c r="EQ189" s="3" t="s">
        <v>54</v>
      </c>
    </row>
    <row r="190" spans="1:147">
      <c r="A190" t="str">
        <f>HYPERLINK(".\links\seq\TI_asb-318-seq.txt","TI_asb-318")</f>
        <v>TI_asb-318</v>
      </c>
      <c r="B190">
        <v>318</v>
      </c>
      <c r="C190" t="str">
        <f>HYPERLINK(".\links\tsa\TI_asb-318-tsa.txt","1")</f>
        <v>1</v>
      </c>
      <c r="D190">
        <v>1</v>
      </c>
      <c r="E190">
        <v>534</v>
      </c>
      <c r="G190" t="str">
        <f>HYPERLINK(".\links\qual\TI_asb-318-qual.txt","29")</f>
        <v>29</v>
      </c>
      <c r="H190">
        <v>1</v>
      </c>
      <c r="I190">
        <v>0</v>
      </c>
      <c r="J190">
        <f t="shared" si="8"/>
        <v>1</v>
      </c>
      <c r="K190" s="6">
        <f t="shared" si="9"/>
        <v>1</v>
      </c>
      <c r="L190" s="6" t="s">
        <v>3975</v>
      </c>
      <c r="M190" s="6" t="s">
        <v>3976</v>
      </c>
      <c r="N190" s="6" t="s">
        <v>3909</v>
      </c>
      <c r="O190" s="7">
        <v>9.9999999999999993E-41</v>
      </c>
      <c r="P190" s="6">
        <v>100.8</v>
      </c>
      <c r="Q190" s="3">
        <v>534</v>
      </c>
      <c r="R190" s="3">
        <v>408</v>
      </c>
      <c r="S190" s="3" t="s">
        <v>3669</v>
      </c>
      <c r="T190" s="3">
        <v>2</v>
      </c>
      <c r="U190" t="str">
        <f>HYPERLINK(".\links\NR-LIGHT\TI_asb-318-NR-LIGHT.txt","lysozyme")</f>
        <v>lysozyme</v>
      </c>
      <c r="V190" t="str">
        <f>HYPERLINK("http://www.ncbi.nlm.nih.gov/sutils/blink.cgi?pid=32454476","2E-078")</f>
        <v>2E-078</v>
      </c>
      <c r="W190" t="str">
        <f>HYPERLINK(".\links\NR-LIGHT\TI_asb-318-NR-LIGHT.txt"," 10")</f>
        <v xml:space="preserve"> 10</v>
      </c>
      <c r="X190" t="str">
        <f>HYPERLINK("http://www.ncbi.nlm.nih.gov/protein/32454476","gi|32454476")</f>
        <v>gi|32454476</v>
      </c>
      <c r="Y190">
        <v>293</v>
      </c>
      <c r="Z190">
        <v>136</v>
      </c>
      <c r="AA190">
        <v>139</v>
      </c>
      <c r="AB190">
        <v>97</v>
      </c>
      <c r="AC190">
        <v>98</v>
      </c>
      <c r="AD190">
        <v>4</v>
      </c>
      <c r="AE190">
        <v>0</v>
      </c>
      <c r="AF190">
        <v>4</v>
      </c>
      <c r="AG190">
        <v>2</v>
      </c>
      <c r="AH190">
        <v>1</v>
      </c>
      <c r="AI190">
        <v>2</v>
      </c>
      <c r="AJ190" t="s">
        <v>53</v>
      </c>
      <c r="AK190" t="s">
        <v>54</v>
      </c>
      <c r="AL190" t="s">
        <v>55</v>
      </c>
      <c r="AM190" t="str">
        <f>HYPERLINK(".\links\SWISSP\TI_asb-318-SWISSP.txt","Lysozyme c-1 OS=Anopheles gambiae GN=AGAP007347 PE=2 SV=2")</f>
        <v>Lysozyme c-1 OS=Anopheles gambiae GN=AGAP007347 PE=2 SV=2</v>
      </c>
      <c r="AN190" s="19" t="str">
        <f>HYPERLINK("http://www.uniprot.org/uniprot/Q17005","1E-033")</f>
        <v>1E-033</v>
      </c>
      <c r="AO190" t="str">
        <f>HYPERLINK(".\links\SWISSP\TI_asb-318-SWISSP.txt"," 10")</f>
        <v xml:space="preserve"> 10</v>
      </c>
      <c r="AP190" t="s">
        <v>1480</v>
      </c>
      <c r="AQ190">
        <v>142</v>
      </c>
      <c r="AR190">
        <v>135</v>
      </c>
      <c r="AS190">
        <v>140</v>
      </c>
      <c r="AT190">
        <v>47</v>
      </c>
      <c r="AU190">
        <v>96</v>
      </c>
      <c r="AV190">
        <v>71</v>
      </c>
      <c r="AW190">
        <v>0</v>
      </c>
      <c r="AX190">
        <v>7</v>
      </c>
      <c r="AY190">
        <v>5</v>
      </c>
      <c r="AZ190">
        <v>1</v>
      </c>
      <c r="BA190">
        <v>2</v>
      </c>
      <c r="BB190" t="s">
        <v>53</v>
      </c>
      <c r="BC190" t="s">
        <v>54</v>
      </c>
      <c r="BD190" t="s">
        <v>81</v>
      </c>
      <c r="BE190" t="s">
        <v>1987</v>
      </c>
      <c r="BF190" t="s">
        <v>1988</v>
      </c>
      <c r="BG190" t="str">
        <f>HYPERLINK(".\links\PREV-RHOD-PEP\TI_asb-318-PREV-RHOD-PEP.txt","Contig17801_61")</f>
        <v>Contig17801_61</v>
      </c>
      <c r="BH190" s="7">
        <v>2.0000000000000001E-62</v>
      </c>
      <c r="BI190" t="str">
        <f>HYPERLINK(".\links\PREV-RHOD-PEP\TI_asb-318-PREV-RHOD-PEP.txt"," 10")</f>
        <v xml:space="preserve"> 10</v>
      </c>
      <c r="BJ190" t="s">
        <v>1483</v>
      </c>
      <c r="BK190">
        <v>234</v>
      </c>
      <c r="BL190">
        <v>136</v>
      </c>
      <c r="BM190">
        <v>687</v>
      </c>
      <c r="BN190">
        <v>75</v>
      </c>
      <c r="BO190">
        <v>20</v>
      </c>
      <c r="BP190">
        <v>34</v>
      </c>
      <c r="BQ190">
        <v>0</v>
      </c>
      <c r="BR190">
        <v>5</v>
      </c>
      <c r="BS190">
        <v>2</v>
      </c>
      <c r="BT190">
        <v>2</v>
      </c>
      <c r="BU190" t="s">
        <v>54</v>
      </c>
      <c r="BV190" t="s">
        <v>1989</v>
      </c>
      <c r="BW190" t="s">
        <v>56</v>
      </c>
      <c r="BX190" t="str">
        <f>HYPERLINK(".\links\PREV-RHOD-CDS\TI_asb-318-PREV-RHOD-CDS.txt","Contig17801_61")</f>
        <v>Contig17801_61</v>
      </c>
      <c r="BY190" s="7">
        <v>1.9999999999999999E-39</v>
      </c>
      <c r="BZ190" t="s">
        <v>1483</v>
      </c>
      <c r="CA190">
        <v>163</v>
      </c>
      <c r="CB190">
        <v>201</v>
      </c>
      <c r="CC190">
        <v>2064</v>
      </c>
      <c r="CD190">
        <v>85</v>
      </c>
      <c r="CE190">
        <v>10</v>
      </c>
      <c r="CF190">
        <v>30</v>
      </c>
      <c r="CG190">
        <v>0</v>
      </c>
      <c r="CH190">
        <v>1759</v>
      </c>
      <c r="CI190">
        <v>107</v>
      </c>
      <c r="CJ190">
        <v>1</v>
      </c>
      <c r="CK190" t="s">
        <v>54</v>
      </c>
      <c r="CL190" t="s">
        <v>1990</v>
      </c>
      <c r="CM190">
        <f>HYPERLINK(".\links\GO\TI_asb-318-GO.txt",3E-31)</f>
        <v>2.9999999999999998E-31</v>
      </c>
      <c r="CN190" t="s">
        <v>1487</v>
      </c>
      <c r="CO190" t="s">
        <v>129</v>
      </c>
      <c r="CP190" t="s">
        <v>166</v>
      </c>
      <c r="CQ190" t="s">
        <v>1488</v>
      </c>
      <c r="CR190" s="7">
        <v>1.9999999999999999E-23</v>
      </c>
      <c r="CS190" t="s">
        <v>56</v>
      </c>
      <c r="CT190" t="s">
        <v>56</v>
      </c>
      <c r="CU190" t="s">
        <v>56</v>
      </c>
      <c r="CV190" t="s">
        <v>56</v>
      </c>
      <c r="CW190" s="6" t="s">
        <v>56</v>
      </c>
      <c r="CX190" t="s">
        <v>1489</v>
      </c>
      <c r="CY190" t="s">
        <v>129</v>
      </c>
      <c r="CZ190" t="s">
        <v>166</v>
      </c>
      <c r="DA190" t="s">
        <v>1490</v>
      </c>
      <c r="DB190" s="7">
        <v>1.9999999999999999E-23</v>
      </c>
      <c r="DC190" t="str">
        <f>HYPERLINK(".\links\CDD\TI_asb-318-CDD.txt","LYZ1")</f>
        <v>LYZ1</v>
      </c>
      <c r="DD190" t="str">
        <f>HYPERLINK("http://www.ncbi.nlm.nih.gov/Structure/cdd/cddsrv.cgi?uid=cd00119&amp;version=v4.0","1E-040")</f>
        <v>1E-040</v>
      </c>
      <c r="DE190" t="s">
        <v>1991</v>
      </c>
      <c r="DF190" t="str">
        <f>HYPERLINK(".\links\PFAM\TI_asb-318-PFAM.txt","Lys")</f>
        <v>Lys</v>
      </c>
      <c r="DG190" t="str">
        <f>HYPERLINK("http://pfam.sanger.ac.uk/family?acc=PF00062","5E-034")</f>
        <v>5E-034</v>
      </c>
      <c r="DH190" t="str">
        <f>HYPERLINK(".\links\PRK\TI_asb-318-PRK.txt","invasion protein IagB")</f>
        <v>invasion protein IagB</v>
      </c>
      <c r="DI190" s="6">
        <v>3.7999999999999999E-2</v>
      </c>
      <c r="DJ190" s="6" t="s">
        <v>56</v>
      </c>
      <c r="DN190" t="str">
        <f>HYPERLINK(".\links\SMART\TI_asb-318-SMART.txt","LYZ1")</f>
        <v>LYZ1</v>
      </c>
      <c r="DO190" t="str">
        <f>HYPERLINK("http://smart.embl-heidelberg.de/smart/do_annotation.pl?DOMAIN=LYZ1&amp;BLAST=DUMMY","8E-041")</f>
        <v>8E-041</v>
      </c>
      <c r="DP190" s="3" t="s">
        <v>56</v>
      </c>
      <c r="ED190" s="3" t="s">
        <v>56</v>
      </c>
    </row>
    <row r="191" spans="1:147">
      <c r="A191" t="str">
        <f>HYPERLINK(".\links\seq\TI_asb-320-seq.txt","TI_asb-320")</f>
        <v>TI_asb-320</v>
      </c>
      <c r="B191">
        <v>320</v>
      </c>
      <c r="C191" t="str">
        <f>HYPERLINK(".\links\tsa\TI_asb-320-tsa.txt","1")</f>
        <v>1</v>
      </c>
      <c r="D191">
        <v>1</v>
      </c>
      <c r="E191">
        <v>744</v>
      </c>
      <c r="G191" t="str">
        <f>HYPERLINK(".\links\qual\TI_asb-320-qual.txt","49")</f>
        <v>49</v>
      </c>
      <c r="H191">
        <v>0</v>
      </c>
      <c r="I191">
        <v>1</v>
      </c>
      <c r="J191">
        <f t="shared" si="8"/>
        <v>1</v>
      </c>
      <c r="K191" s="6">
        <f t="shared" si="9"/>
        <v>-1</v>
      </c>
      <c r="L191" s="6" t="s">
        <v>4010</v>
      </c>
      <c r="M191" s="6" t="s">
        <v>3894</v>
      </c>
      <c r="N191" s="6" t="s">
        <v>3872</v>
      </c>
      <c r="O191" s="6">
        <v>0</v>
      </c>
      <c r="P191" s="6">
        <v>64</v>
      </c>
      <c r="Q191" s="3">
        <v>744</v>
      </c>
      <c r="R191" s="3">
        <v>714</v>
      </c>
      <c r="S191" s="6" t="s">
        <v>3670</v>
      </c>
      <c r="T191" s="3">
        <v>2</v>
      </c>
      <c r="U191" t="str">
        <f>HYPERLINK(".\links\NR-LIGHT\TI_asb-320-NR-LIGHT.txt","beta-tubulin")</f>
        <v>beta-tubulin</v>
      </c>
      <c r="V191" t="str">
        <f>HYPERLINK("http://www.ncbi.nlm.nih.gov/sutils/blink.cgi?pid=112983318","1E-132")</f>
        <v>1E-132</v>
      </c>
      <c r="W191" t="str">
        <f>HYPERLINK(".\links\NR-LIGHT\TI_asb-320-NR-LIGHT.txt"," 10")</f>
        <v xml:space="preserve"> 10</v>
      </c>
      <c r="X191" t="str">
        <f>HYPERLINK("http://www.ncbi.nlm.nih.gov/protein/112983318","gi|112983318")</f>
        <v>gi|112983318</v>
      </c>
      <c r="Y191">
        <v>474</v>
      </c>
      <c r="Z191">
        <v>238</v>
      </c>
      <c r="AA191">
        <v>447</v>
      </c>
      <c r="AB191">
        <v>96</v>
      </c>
      <c r="AC191">
        <v>53</v>
      </c>
      <c r="AD191">
        <v>9</v>
      </c>
      <c r="AE191">
        <v>0</v>
      </c>
      <c r="AF191">
        <v>208</v>
      </c>
      <c r="AG191">
        <v>2</v>
      </c>
      <c r="AH191">
        <v>1</v>
      </c>
      <c r="AI191">
        <v>2</v>
      </c>
      <c r="AJ191" t="s">
        <v>53</v>
      </c>
      <c r="AK191" t="s">
        <v>54</v>
      </c>
      <c r="AL191" t="s">
        <v>279</v>
      </c>
      <c r="AM191" t="str">
        <f>HYPERLINK(".\links\SWISSP\TI_asb-320-SWISSP.txt","Tubulin beta-1 chain OS=Manduca sexta PE=2 SV=1")</f>
        <v>Tubulin beta-1 chain OS=Manduca sexta PE=2 SV=1</v>
      </c>
      <c r="AN191" s="19" t="str">
        <f>HYPERLINK("http://www.uniprot.org/uniprot/O17449","1E-133")</f>
        <v>1E-133</v>
      </c>
      <c r="AO191" t="str">
        <f>HYPERLINK(".\links\SWISSP\TI_asb-320-SWISSP.txt"," 10")</f>
        <v xml:space="preserve"> 10</v>
      </c>
      <c r="AP191" t="s">
        <v>1992</v>
      </c>
      <c r="AQ191">
        <v>475</v>
      </c>
      <c r="AR191">
        <v>238</v>
      </c>
      <c r="AS191">
        <v>447</v>
      </c>
      <c r="AT191">
        <v>96</v>
      </c>
      <c r="AU191">
        <v>53</v>
      </c>
      <c r="AV191">
        <v>8</v>
      </c>
      <c r="AW191">
        <v>0</v>
      </c>
      <c r="AX191">
        <v>208</v>
      </c>
      <c r="AY191">
        <v>2</v>
      </c>
      <c r="AZ191">
        <v>1</v>
      </c>
      <c r="BA191">
        <v>2</v>
      </c>
      <c r="BB191" t="s">
        <v>53</v>
      </c>
      <c r="BC191" t="s">
        <v>54</v>
      </c>
      <c r="BD191" t="s">
        <v>2166</v>
      </c>
      <c r="BE191" t="s">
        <v>1993</v>
      </c>
      <c r="BF191" t="s">
        <v>1994</v>
      </c>
      <c r="BG191" t="str">
        <f>HYPERLINK(".\links\PREV-RHOD-PEP\TI_asb-320-PREV-RHOD-PEP.txt","Contig17812_30")</f>
        <v>Contig17812_30</v>
      </c>
      <c r="BH191" s="7">
        <v>1E-135</v>
      </c>
      <c r="BI191" t="str">
        <f>HYPERLINK(".\links\PREV-RHOD-PEP\TI_asb-320-PREV-RHOD-PEP.txt"," 10")</f>
        <v xml:space="preserve"> 10</v>
      </c>
      <c r="BJ191" t="s">
        <v>1995</v>
      </c>
      <c r="BK191">
        <v>475</v>
      </c>
      <c r="BL191">
        <v>237</v>
      </c>
      <c r="BM191">
        <v>375</v>
      </c>
      <c r="BN191">
        <v>97</v>
      </c>
      <c r="BO191">
        <v>63</v>
      </c>
      <c r="BP191">
        <v>6</v>
      </c>
      <c r="BQ191">
        <v>0</v>
      </c>
      <c r="BR191">
        <v>136</v>
      </c>
      <c r="BS191">
        <v>2</v>
      </c>
      <c r="BT191">
        <v>1</v>
      </c>
      <c r="BU191" t="s">
        <v>54</v>
      </c>
      <c r="BV191" t="s">
        <v>1996</v>
      </c>
      <c r="BW191" t="s">
        <v>56</v>
      </c>
      <c r="BX191" t="str">
        <f>HYPERLINK(".\links\PREV-RHOD-CDS\TI_asb-320-PREV-RHOD-CDS.txt","Contig17812_30")</f>
        <v>Contig17812_30</v>
      </c>
      <c r="BY191" s="6">
        <v>0</v>
      </c>
      <c r="BZ191" t="s">
        <v>1995</v>
      </c>
      <c r="CA191">
        <v>1112</v>
      </c>
      <c r="CB191">
        <v>704</v>
      </c>
      <c r="CC191">
        <v>1128</v>
      </c>
      <c r="CD191">
        <v>94</v>
      </c>
      <c r="CE191">
        <v>63</v>
      </c>
      <c r="CF191">
        <v>36</v>
      </c>
      <c r="CG191">
        <v>0</v>
      </c>
      <c r="CH191">
        <v>412</v>
      </c>
      <c r="CI191">
        <v>8</v>
      </c>
      <c r="CJ191">
        <v>1</v>
      </c>
      <c r="CK191" t="s">
        <v>54</v>
      </c>
      <c r="CL191" t="s">
        <v>1997</v>
      </c>
      <c r="CM191">
        <f>HYPERLINK(".\links\GO\TI_asb-320-GO.txt",0)</f>
        <v>0</v>
      </c>
      <c r="CN191" t="s">
        <v>1059</v>
      </c>
      <c r="CO191" t="s">
        <v>185</v>
      </c>
      <c r="CP191" t="s">
        <v>338</v>
      </c>
      <c r="CQ191" t="s">
        <v>1060</v>
      </c>
      <c r="CR191" s="7">
        <v>1.0000000000000001E-133</v>
      </c>
      <c r="CS191" t="s">
        <v>1998</v>
      </c>
      <c r="CT191" t="s">
        <v>75</v>
      </c>
      <c r="CU191" t="s">
        <v>76</v>
      </c>
      <c r="CV191" t="s">
        <v>1999</v>
      </c>
      <c r="CW191" s="7">
        <v>1.0000000000000001E-133</v>
      </c>
      <c r="CX191" t="s">
        <v>1969</v>
      </c>
      <c r="CY191" t="s">
        <v>185</v>
      </c>
      <c r="CZ191" t="s">
        <v>338</v>
      </c>
      <c r="DA191" t="s">
        <v>1970</v>
      </c>
      <c r="DB191" s="7">
        <v>1.0000000000000001E-133</v>
      </c>
      <c r="DC191" t="str">
        <f>HYPERLINK(".\links\CDD\TI_asb-320-CDD.txt","beta_tubulin")</f>
        <v>beta_tubulin</v>
      </c>
      <c r="DD191" t="str">
        <f>HYPERLINK("http://www.ncbi.nlm.nih.gov/Structure/cdd/cddsrv.cgi?uid=cd02187&amp;version=v4.0","1E-150")</f>
        <v>1E-150</v>
      </c>
      <c r="DE191" t="s">
        <v>2000</v>
      </c>
      <c r="DF191" t="str">
        <f>HYPERLINK(".\links\PFAM\TI_asb-320-PFAM.txt","Tubulin_C")</f>
        <v>Tubulin_C</v>
      </c>
      <c r="DG191" t="str">
        <f>HYPERLINK("http://pfam.sanger.ac.uk/family?acc=PF03953","1E-059")</f>
        <v>1E-059</v>
      </c>
      <c r="DH191" t="str">
        <f>HYPERLINK(".\links\PRK\TI_asb-320-PRK.txt","tubulin beta chain")</f>
        <v>tubulin beta chain</v>
      </c>
      <c r="DI191" s="7">
        <v>9.9999999999999994E-149</v>
      </c>
      <c r="DJ191" s="6" t="str">
        <f>HYPERLINK(".\links\KOG\TI_asb-320-KOG.txt","Beta tubulin")</f>
        <v>Beta tubulin</v>
      </c>
      <c r="DK191" s="6" t="str">
        <f>HYPERLINK("http://www.ncbi.nlm.nih.gov/COG/grace/shokog.cgi?KOG1375","1E-103")</f>
        <v>1E-103</v>
      </c>
      <c r="DL191" s="6" t="s">
        <v>4344</v>
      </c>
      <c r="DM191" s="6" t="str">
        <f>HYPERLINK(".\links\KOG\TI_asb-320-KOG.txt","KOG1375")</f>
        <v>KOG1375</v>
      </c>
      <c r="DN191" t="str">
        <f>HYPERLINK(".\links\SMART\TI_asb-320-SMART.txt","Tubulin_C")</f>
        <v>Tubulin_C</v>
      </c>
      <c r="DO191" t="str">
        <f>HYPERLINK("http://smart.embl-heidelberg.de/smart/do_annotation.pl?DOMAIN=Tubulin_C&amp;BLAST=DUMMY","5E-029")</f>
        <v>5E-029</v>
      </c>
      <c r="DP191" s="3" t="s">
        <v>56</v>
      </c>
      <c r="ED191" s="3" t="s">
        <v>56</v>
      </c>
    </row>
    <row r="192" spans="1:147">
      <c r="A192" t="str">
        <f>HYPERLINK(".\links\seq\TI_asb-321-seq.txt","TI_asb-321")</f>
        <v>TI_asb-321</v>
      </c>
      <c r="B192">
        <v>321</v>
      </c>
      <c r="C192" t="str">
        <f>HYPERLINK(".\links\tsa\TI_asb-321-tsa.txt","1")</f>
        <v>1</v>
      </c>
      <c r="D192">
        <v>1</v>
      </c>
      <c r="E192">
        <v>984</v>
      </c>
      <c r="F192">
        <v>939</v>
      </c>
      <c r="G192" t="str">
        <f>HYPERLINK(".\links\qual\TI_asb-321-qual.txt","40")</f>
        <v>40</v>
      </c>
      <c r="H192">
        <v>1</v>
      </c>
      <c r="I192">
        <v>0</v>
      </c>
      <c r="J192">
        <f t="shared" ref="J192:J227" si="10">ABS(H192-I192)</f>
        <v>1</v>
      </c>
      <c r="K192" s="6">
        <f t="shared" ref="K192:K227" si="11">H192-I192</f>
        <v>1</v>
      </c>
      <c r="L192" s="6" t="s">
        <v>4011</v>
      </c>
      <c r="M192" s="6" t="s">
        <v>3881</v>
      </c>
      <c r="N192" s="6" t="s">
        <v>3872</v>
      </c>
      <c r="O192" s="6">
        <v>1.9999999999999999E-7</v>
      </c>
      <c r="P192" s="6">
        <v>29.8</v>
      </c>
      <c r="Q192" s="3">
        <v>984</v>
      </c>
      <c r="R192" s="3">
        <v>309</v>
      </c>
      <c r="S192" s="3" t="s">
        <v>3671</v>
      </c>
      <c r="T192" s="3">
        <v>5</v>
      </c>
      <c r="U192" t="str">
        <f>HYPERLINK(".\links\NR-LIGHT\TI_asb-321-NR-LIGHT.txt","glutaredoxin 2")</f>
        <v>glutaredoxin 2</v>
      </c>
      <c r="V192" t="str">
        <f>HYPERLINK("http://www.ncbi.nlm.nih.gov/sutils/blink.cgi?pid=170046276","3E-009")</f>
        <v>3E-009</v>
      </c>
      <c r="W192" t="str">
        <f>HYPERLINK(".\links\NR-LIGHT\TI_asb-321-NR-LIGHT.txt"," 10")</f>
        <v xml:space="preserve"> 10</v>
      </c>
      <c r="X192" t="str">
        <f>HYPERLINK("http://www.ncbi.nlm.nih.gov/protein/170046276","gi|170046276")</f>
        <v>gi|170046276</v>
      </c>
      <c r="Y192">
        <v>65.5</v>
      </c>
      <c r="Z192">
        <v>44</v>
      </c>
      <c r="AA192">
        <v>112</v>
      </c>
      <c r="AB192">
        <v>65</v>
      </c>
      <c r="AC192">
        <v>39</v>
      </c>
      <c r="AD192">
        <v>15</v>
      </c>
      <c r="AE192">
        <v>0</v>
      </c>
      <c r="AF192">
        <v>6</v>
      </c>
      <c r="AG192">
        <v>130</v>
      </c>
      <c r="AH192">
        <v>1</v>
      </c>
      <c r="AI192">
        <v>1</v>
      </c>
      <c r="AJ192" t="s">
        <v>53</v>
      </c>
      <c r="AK192" t="s">
        <v>54</v>
      </c>
      <c r="AL192" t="s">
        <v>111</v>
      </c>
      <c r="AM192" t="str">
        <f>HYPERLINK(".\links\SWISSP\TI_asb-321-SWISSP.txt","Glutaredoxin-C4 OS=Arabidopsis thaliana GN=GRXC4 PE=2 SV=2")</f>
        <v>Glutaredoxin-C4 OS=Arabidopsis thaliana GN=GRXC4 PE=2 SV=2</v>
      </c>
      <c r="AN192" s="19" t="str">
        <f>HYPERLINK("http://www.uniprot.org/uniprot/Q8LFQ6","1E-005")</f>
        <v>1E-005</v>
      </c>
      <c r="AO192" t="str">
        <f>HYPERLINK(".\links\SWISSP\TI_asb-321-SWISSP.txt"," 10")</f>
        <v xml:space="preserve"> 10</v>
      </c>
      <c r="AP192" t="s">
        <v>2001</v>
      </c>
      <c r="AQ192">
        <v>51.2</v>
      </c>
      <c r="AR192">
        <v>36</v>
      </c>
      <c r="AS192">
        <v>135</v>
      </c>
      <c r="AT192">
        <v>61</v>
      </c>
      <c r="AU192">
        <v>27</v>
      </c>
      <c r="AV192">
        <v>14</v>
      </c>
      <c r="AW192">
        <v>0</v>
      </c>
      <c r="AX192">
        <v>28</v>
      </c>
      <c r="AY192">
        <v>154</v>
      </c>
      <c r="AZ192">
        <v>1</v>
      </c>
      <c r="BA192">
        <v>1</v>
      </c>
      <c r="BB192" t="s">
        <v>53</v>
      </c>
      <c r="BC192" t="s">
        <v>54</v>
      </c>
      <c r="BD192" t="s">
        <v>274</v>
      </c>
      <c r="BE192" t="s">
        <v>2002</v>
      </c>
      <c r="BF192" t="s">
        <v>2003</v>
      </c>
      <c r="BG192" t="str">
        <f>HYPERLINK(".\links\PREV-RHOD-PEP\TI_asb-321-PREV-RHOD-PEP.txt","Contig17380_55")</f>
        <v>Contig17380_55</v>
      </c>
      <c r="BH192" s="7">
        <v>1.0000000000000001E-17</v>
      </c>
      <c r="BI192" t="str">
        <f>HYPERLINK(".\links\PREV-RHOD-PEP\TI_asb-321-PREV-RHOD-PEP.txt"," 5")</f>
        <v xml:space="preserve"> 5</v>
      </c>
      <c r="BJ192" t="s">
        <v>2004</v>
      </c>
      <c r="BK192">
        <v>86.7</v>
      </c>
      <c r="BL192">
        <v>46</v>
      </c>
      <c r="BM192">
        <v>110</v>
      </c>
      <c r="BN192">
        <v>84</v>
      </c>
      <c r="BO192">
        <v>42</v>
      </c>
      <c r="BP192">
        <v>7</v>
      </c>
      <c r="BQ192">
        <v>0</v>
      </c>
      <c r="BR192">
        <v>1</v>
      </c>
      <c r="BS192">
        <v>118</v>
      </c>
      <c r="BT192">
        <v>1</v>
      </c>
      <c r="BU192" t="s">
        <v>54</v>
      </c>
      <c r="BV192" t="s">
        <v>2005</v>
      </c>
      <c r="BW192" t="s">
        <v>56</v>
      </c>
      <c r="BX192" t="str">
        <f>HYPERLINK(".\links\PREV-RHOD-CDS\TI_asb-321-PREV-RHOD-CDS.txt","Contig17380_55")</f>
        <v>Contig17380_55</v>
      </c>
      <c r="BY192" s="7">
        <v>3.0000000000000001E-27</v>
      </c>
      <c r="BZ192" t="s">
        <v>2004</v>
      </c>
      <c r="CA192">
        <v>123</v>
      </c>
      <c r="CB192">
        <v>133</v>
      </c>
      <c r="CC192">
        <v>333</v>
      </c>
      <c r="CD192">
        <v>86</v>
      </c>
      <c r="CE192">
        <v>40</v>
      </c>
      <c r="CF192">
        <v>18</v>
      </c>
      <c r="CG192">
        <v>0</v>
      </c>
      <c r="CH192">
        <v>1</v>
      </c>
      <c r="CI192">
        <v>118</v>
      </c>
      <c r="CJ192">
        <v>1</v>
      </c>
      <c r="CK192" t="s">
        <v>54</v>
      </c>
      <c r="CL192" t="s">
        <v>2006</v>
      </c>
      <c r="CM192">
        <f>HYPERLINK(".\links\GO\TI_asb-321-GO.txt",0.0000001)</f>
        <v>9.9999999999999995E-8</v>
      </c>
      <c r="CN192" t="s">
        <v>2007</v>
      </c>
      <c r="CO192" t="s">
        <v>129</v>
      </c>
      <c r="CP192" t="s">
        <v>130</v>
      </c>
      <c r="CQ192" t="s">
        <v>2008</v>
      </c>
      <c r="CR192" s="6">
        <v>7.0000000000000001E-3</v>
      </c>
      <c r="CS192" t="s">
        <v>554</v>
      </c>
      <c r="CT192" t="s">
        <v>75</v>
      </c>
      <c r="CU192" t="s">
        <v>555</v>
      </c>
      <c r="CV192" t="s">
        <v>556</v>
      </c>
      <c r="CW192" s="6">
        <v>7.0000000000000001E-3</v>
      </c>
      <c r="CX192" t="s">
        <v>2009</v>
      </c>
      <c r="CY192" t="s">
        <v>129</v>
      </c>
      <c r="CZ192" t="s">
        <v>130</v>
      </c>
      <c r="DA192" t="s">
        <v>2010</v>
      </c>
      <c r="DB192" s="6">
        <v>7.0000000000000001E-3</v>
      </c>
      <c r="DC192" t="str">
        <f>HYPERLINK(".\links\CDD\TI_asb-321-CDD.txt","GRX_GRXh_1_2_li")</f>
        <v>GRX_GRXh_1_2_li</v>
      </c>
      <c r="DD192" t="str">
        <f>HYPERLINK("http://www.ncbi.nlm.nih.gov/Structure/cdd/cddsrv.cgi?uid=cd03419&amp;version=v4.0","2E-005")</f>
        <v>2E-005</v>
      </c>
      <c r="DE192" t="s">
        <v>2011</v>
      </c>
      <c r="DF192" t="str">
        <f>HYPERLINK(".\links\PFAM\TI_asb-321-PFAM.txt","7TM_GPCR_Srz")</f>
        <v>7TM_GPCR_Srz</v>
      </c>
      <c r="DG192" t="str">
        <f>HYPERLINK("http://pfam.sanger.ac.uk/family?acc=PF10325","4E-005")</f>
        <v>4E-005</v>
      </c>
      <c r="DH192" t="str">
        <f>HYPERLINK(".\links\PRK\TI_asb-321-PRK.txt","NADH dehydrogenase subunit 4")</f>
        <v>NADH dehydrogenase subunit 4</v>
      </c>
      <c r="DI192" s="7">
        <v>3.0000000000000001E-5</v>
      </c>
      <c r="DJ192" s="6" t="str">
        <f>HYPERLINK(".\links\KOG\TI_asb-321-KOG.txt","Glutaredoxin and related proteins")</f>
        <v>Glutaredoxin and related proteins</v>
      </c>
      <c r="DK192" s="6" t="str">
        <f>HYPERLINK("http://www.ncbi.nlm.nih.gov/COG/grace/shokog.cgi?KOG1752","2E-007")</f>
        <v>2E-007</v>
      </c>
      <c r="DL192" s="6" t="s">
        <v>4340</v>
      </c>
      <c r="DM192" s="6" t="str">
        <f>HYPERLINK(".\links\KOG\TI_asb-321-KOG.txt","KOG1752")</f>
        <v>KOG1752</v>
      </c>
      <c r="DN192" t="str">
        <f>HYPERLINK(".\links\SMART\TI_asb-321-SMART.txt","HTTM")</f>
        <v>HTTM</v>
      </c>
      <c r="DO192" t="str">
        <f>HYPERLINK("http://smart.embl-heidelberg.de/smart/do_annotation.pl?DOMAIN=HTTM&amp;BLAST=DUMMY","0.025")</f>
        <v>0.025</v>
      </c>
      <c r="DP192" s="3" t="s">
        <v>56</v>
      </c>
      <c r="ED192" s="3" t="s">
        <v>56</v>
      </c>
    </row>
    <row r="193" spans="1:134">
      <c r="A193" t="str">
        <f>HYPERLINK(".\links\seq\TI_asb-322-seq.txt","TI_asb-322")</f>
        <v>TI_asb-322</v>
      </c>
      <c r="B193">
        <v>322</v>
      </c>
      <c r="C193" t="str">
        <f>HYPERLINK(".\links\tsa\TI_asb-322-tsa.txt","1")</f>
        <v>1</v>
      </c>
      <c r="D193">
        <v>1</v>
      </c>
      <c r="E193">
        <v>457</v>
      </c>
      <c r="G193" t="str">
        <f>HYPERLINK(".\links\qual\TI_asb-322-qual.txt","23")</f>
        <v>23</v>
      </c>
      <c r="H193">
        <v>1</v>
      </c>
      <c r="I193">
        <v>0</v>
      </c>
      <c r="J193">
        <f t="shared" si="10"/>
        <v>1</v>
      </c>
      <c r="K193" s="6">
        <f t="shared" si="11"/>
        <v>1</v>
      </c>
      <c r="L193" s="6" t="s">
        <v>3868</v>
      </c>
      <c r="M193" s="6" t="s">
        <v>3869</v>
      </c>
      <c r="N193" s="6"/>
      <c r="O193" s="6"/>
      <c r="P193" s="6"/>
      <c r="Q193" s="3">
        <v>457</v>
      </c>
      <c r="R193" s="3">
        <v>201</v>
      </c>
      <c r="S193" s="6" t="s">
        <v>3672</v>
      </c>
      <c r="T193" s="3">
        <v>6</v>
      </c>
      <c r="U193" t="str">
        <f>HYPERLINK(".\links\NR-LIGHT\TI_asb-322-NR-LIGHT.txt","novel protein")</f>
        <v>novel protein</v>
      </c>
      <c r="V193" t="str">
        <f>HYPERLINK("http://www.ncbi.nlm.nih.gov/sutils/blink.cgi?pid=148880029","0.53")</f>
        <v>0.53</v>
      </c>
      <c r="W193" t="str">
        <f>HYPERLINK(".\links\NR-LIGHT\TI_asb-322-NR-LIGHT.txt"," 4")</f>
        <v xml:space="preserve"> 4</v>
      </c>
      <c r="X193" t="str">
        <f>HYPERLINK("http://www.ncbi.nlm.nih.gov/protein/148880029","gi|148880029")</f>
        <v>gi|148880029</v>
      </c>
      <c r="Y193">
        <v>35.4</v>
      </c>
      <c r="Z193">
        <v>83</v>
      </c>
      <c r="AA193">
        <v>363</v>
      </c>
      <c r="AB193">
        <v>32</v>
      </c>
      <c r="AC193">
        <v>23</v>
      </c>
      <c r="AD193">
        <v>56</v>
      </c>
      <c r="AE193">
        <v>0</v>
      </c>
      <c r="AF193">
        <v>191</v>
      </c>
      <c r="AG193">
        <v>62</v>
      </c>
      <c r="AH193">
        <v>1</v>
      </c>
      <c r="AI193">
        <v>-1</v>
      </c>
      <c r="AJ193" t="s">
        <v>53</v>
      </c>
      <c r="AK193" t="s">
        <v>64</v>
      </c>
      <c r="AL193" t="s">
        <v>202</v>
      </c>
      <c r="AM193" t="str">
        <f>HYPERLINK(".\links\SWISSP\TI_asb-322-SWISSP.txt","Peptidyl-prolyl cis-trans isomerase D OS=Buchnera aphidicola subsp. Schizaphis")</f>
        <v>Peptidyl-prolyl cis-trans isomerase D OS=Buchnera aphidicola subsp. Schizaphis</v>
      </c>
      <c r="AN193" s="19" t="str">
        <f>HYPERLINK("http://www.uniprot.org/uniprot/Q8K987","5.9")</f>
        <v>5.9</v>
      </c>
      <c r="AO193" t="str">
        <f>HYPERLINK(".\links\SWISSP\TI_asb-322-SWISSP.txt"," 2")</f>
        <v xml:space="preserve"> 2</v>
      </c>
      <c r="AP193" t="s">
        <v>2012</v>
      </c>
      <c r="AQ193">
        <v>30</v>
      </c>
      <c r="AR193">
        <v>32</v>
      </c>
      <c r="AS193">
        <v>621</v>
      </c>
      <c r="AT193">
        <v>50</v>
      </c>
      <c r="AU193">
        <v>5</v>
      </c>
      <c r="AV193">
        <v>16</v>
      </c>
      <c r="AW193">
        <v>2</v>
      </c>
      <c r="AX193">
        <v>119</v>
      </c>
      <c r="AY193">
        <v>56</v>
      </c>
      <c r="AZ193">
        <v>1</v>
      </c>
      <c r="BA193">
        <v>-1</v>
      </c>
      <c r="BB193" t="s">
        <v>53</v>
      </c>
      <c r="BC193" t="s">
        <v>64</v>
      </c>
      <c r="BD193" t="s">
        <v>316</v>
      </c>
      <c r="BE193" t="s">
        <v>2013</v>
      </c>
      <c r="BF193" t="s">
        <v>2014</v>
      </c>
      <c r="BG193" t="str">
        <f>HYPERLINK(".\links\PREV-RHOD-PEP\TI_asb-322-PREV-RHOD-PEP.txt","Contig17894_75")</f>
        <v>Contig17894_75</v>
      </c>
      <c r="BH193" s="6">
        <v>2.9</v>
      </c>
      <c r="BI193" t="str">
        <f>HYPERLINK(".\links\PREV-RHOD-PEP\TI_asb-322-PREV-RHOD-PEP.txt"," 4")</f>
        <v xml:space="preserve"> 4</v>
      </c>
      <c r="BJ193" t="s">
        <v>2015</v>
      </c>
      <c r="BK193">
        <v>27.3</v>
      </c>
      <c r="BL193">
        <v>18</v>
      </c>
      <c r="BM193">
        <v>169</v>
      </c>
      <c r="BN193">
        <v>61</v>
      </c>
      <c r="BO193">
        <v>11</v>
      </c>
      <c r="BP193">
        <v>7</v>
      </c>
      <c r="BQ193">
        <v>0</v>
      </c>
      <c r="BR193">
        <v>150</v>
      </c>
      <c r="BS193">
        <v>403</v>
      </c>
      <c r="BT193">
        <v>1</v>
      </c>
      <c r="BU193" t="s">
        <v>54</v>
      </c>
      <c r="BV193" t="s">
        <v>2016</v>
      </c>
      <c r="BW193" t="s">
        <v>56</v>
      </c>
      <c r="BX193" t="str">
        <f>HYPERLINK(".\links\PREV-RHOD-CDS\TI_asb-322-PREV-RHOD-CDS.txt","Contig9941_1")</f>
        <v>Contig9941_1</v>
      </c>
      <c r="BY193" s="6">
        <v>0.22</v>
      </c>
      <c r="BZ193" t="s">
        <v>2017</v>
      </c>
      <c r="CA193">
        <v>36.200000000000003</v>
      </c>
      <c r="CB193">
        <v>21</v>
      </c>
      <c r="CC193">
        <v>1320</v>
      </c>
      <c r="CD193">
        <v>95</v>
      </c>
      <c r="CE193">
        <v>2</v>
      </c>
      <c r="CF193">
        <v>1</v>
      </c>
      <c r="CG193">
        <v>0</v>
      </c>
      <c r="CH193">
        <v>590</v>
      </c>
      <c r="CI193">
        <v>436</v>
      </c>
      <c r="CJ193">
        <v>1</v>
      </c>
      <c r="CK193" t="s">
        <v>64</v>
      </c>
      <c r="CL193" t="s">
        <v>2018</v>
      </c>
      <c r="CM193">
        <f>HYPERLINK(".\links\GO\TI_asb-322-GO.txt",0.49)</f>
        <v>0.49</v>
      </c>
      <c r="CN193" t="s">
        <v>323</v>
      </c>
      <c r="CO193" t="s">
        <v>324</v>
      </c>
      <c r="CP193" t="s">
        <v>325</v>
      </c>
      <c r="CQ193" t="s">
        <v>326</v>
      </c>
      <c r="CR193" s="6">
        <v>0.49</v>
      </c>
      <c r="CS193" t="s">
        <v>91</v>
      </c>
      <c r="CT193" t="s">
        <v>75</v>
      </c>
      <c r="CU193" t="s">
        <v>92</v>
      </c>
      <c r="CV193" t="s">
        <v>93</v>
      </c>
      <c r="CW193" s="6">
        <v>0.49</v>
      </c>
      <c r="CX193" t="s">
        <v>2019</v>
      </c>
      <c r="CY193" t="s">
        <v>324</v>
      </c>
      <c r="CZ193" t="s">
        <v>325</v>
      </c>
      <c r="DA193" t="s">
        <v>2020</v>
      </c>
      <c r="DB193" s="6">
        <v>0.49</v>
      </c>
      <c r="DC193" t="s">
        <v>56</v>
      </c>
      <c r="DD193" t="s">
        <v>56</v>
      </c>
      <c r="DE193" t="s">
        <v>56</v>
      </c>
      <c r="DF193" t="s">
        <v>56</v>
      </c>
      <c r="DG193" t="s">
        <v>56</v>
      </c>
      <c r="DH193" t="s">
        <v>56</v>
      </c>
      <c r="DI193" s="6" t="s">
        <v>56</v>
      </c>
      <c r="DJ193" s="6" t="s">
        <v>56</v>
      </c>
      <c r="DN193" t="s">
        <v>56</v>
      </c>
      <c r="DO193" t="s">
        <v>56</v>
      </c>
      <c r="DP193" s="3" t="s">
        <v>56</v>
      </c>
      <c r="ED193" s="3" t="s">
        <v>56</v>
      </c>
    </row>
    <row r="194" spans="1:134">
      <c r="A194" t="str">
        <f>HYPERLINK(".\links\seq\TI_asb-323-seq.txt","TI_asb-323")</f>
        <v>TI_asb-323</v>
      </c>
      <c r="B194">
        <v>323</v>
      </c>
      <c r="C194" t="str">
        <f>HYPERLINK(".\links\tsa\TI_asb-323-tsa.txt","1")</f>
        <v>1</v>
      </c>
      <c r="D194">
        <v>1</v>
      </c>
      <c r="E194">
        <v>358</v>
      </c>
      <c r="F194">
        <v>325</v>
      </c>
      <c r="G194" t="str">
        <f>HYPERLINK(".\links\qual\TI_asb-323-qual.txt","39")</f>
        <v>39</v>
      </c>
      <c r="H194">
        <v>1</v>
      </c>
      <c r="I194">
        <v>0</v>
      </c>
      <c r="J194">
        <f t="shared" si="10"/>
        <v>1</v>
      </c>
      <c r="K194" s="6">
        <f t="shared" si="11"/>
        <v>1</v>
      </c>
      <c r="L194" s="6" t="s">
        <v>4012</v>
      </c>
      <c r="M194" s="6" t="s">
        <v>3886</v>
      </c>
      <c r="N194" s="6" t="s">
        <v>3864</v>
      </c>
      <c r="O194" s="7">
        <v>1.0000000000000001E-31</v>
      </c>
      <c r="P194" s="6">
        <v>95</v>
      </c>
      <c r="Q194" s="3">
        <v>358</v>
      </c>
      <c r="R194" s="3">
        <v>231</v>
      </c>
      <c r="S194" s="3" t="s">
        <v>3673</v>
      </c>
      <c r="T194" s="3">
        <v>1</v>
      </c>
      <c r="U194" t="str">
        <f>HYPERLINK(".\links\NR-LIGHT\TI_asb-323-NR-LIGHT.txt","similar to bc10 CG4867-PA")</f>
        <v>similar to bc10 CG4867-PA</v>
      </c>
      <c r="V194" t="str">
        <f>HYPERLINK("http://www.ncbi.nlm.nih.gov/sutils/blink.cgi?pid=110760278","1E-031")</f>
        <v>1E-031</v>
      </c>
      <c r="W194" t="str">
        <f>HYPERLINK(".\links\NR-LIGHT\TI_asb-323-NR-LIGHT.txt"," 10")</f>
        <v xml:space="preserve"> 10</v>
      </c>
      <c r="X194" t="str">
        <f>HYPERLINK("http://www.ncbi.nlm.nih.gov/protein/110760278","gi|110760278")</f>
        <v>gi|110760278</v>
      </c>
      <c r="Y194">
        <v>137</v>
      </c>
      <c r="Z194">
        <v>76</v>
      </c>
      <c r="AA194">
        <v>80</v>
      </c>
      <c r="AB194">
        <v>77</v>
      </c>
      <c r="AC194">
        <v>95</v>
      </c>
      <c r="AD194">
        <v>17</v>
      </c>
      <c r="AE194">
        <v>0</v>
      </c>
      <c r="AF194">
        <v>5</v>
      </c>
      <c r="AG194">
        <v>79</v>
      </c>
      <c r="AH194">
        <v>1</v>
      </c>
      <c r="AI194">
        <v>1</v>
      </c>
      <c r="AJ194" t="s">
        <v>53</v>
      </c>
      <c r="AK194" t="s">
        <v>54</v>
      </c>
      <c r="AL194" t="s">
        <v>344</v>
      </c>
      <c r="AM194" t="str">
        <f>HYPERLINK(".\links\SWISSP\TI_asb-323-SWISSP.txt","Bladder cancer-associated protein OS=Rattus norvegicus GN=Blcap PE=2 SV=1")</f>
        <v>Bladder cancer-associated protein OS=Rattus norvegicus GN=Blcap PE=2 SV=1</v>
      </c>
      <c r="AN194" s="19" t="str">
        <f>HYPERLINK("http://www.uniprot.org/uniprot/P62950","8E-018")</f>
        <v>8E-018</v>
      </c>
      <c r="AO194" t="str">
        <f>HYPERLINK(".\links\SWISSP\TI_asb-323-SWISSP.txt"," 10")</f>
        <v xml:space="preserve"> 10</v>
      </c>
      <c r="AP194" t="s">
        <v>2021</v>
      </c>
      <c r="AQ194">
        <v>89</v>
      </c>
      <c r="AR194">
        <v>76</v>
      </c>
      <c r="AS194">
        <v>87</v>
      </c>
      <c r="AT194">
        <v>55</v>
      </c>
      <c r="AU194">
        <v>87</v>
      </c>
      <c r="AV194">
        <v>34</v>
      </c>
      <c r="AW194">
        <v>0</v>
      </c>
      <c r="AX194">
        <v>5</v>
      </c>
      <c r="AY194">
        <v>79</v>
      </c>
      <c r="AZ194">
        <v>1</v>
      </c>
      <c r="BA194">
        <v>1</v>
      </c>
      <c r="BB194" t="s">
        <v>53</v>
      </c>
      <c r="BC194" t="s">
        <v>54</v>
      </c>
      <c r="BD194" t="s">
        <v>122</v>
      </c>
      <c r="BE194" t="s">
        <v>2022</v>
      </c>
      <c r="BF194" t="s">
        <v>2023</v>
      </c>
      <c r="BG194" t="str">
        <f>HYPERLINK(".\links\PREV-RHOD-PEP\TI_asb-323-PREV-RHOD-PEP.txt","Contig17383_11")</f>
        <v>Contig17383_11</v>
      </c>
      <c r="BH194" s="7">
        <v>4.9999999999999996E-40</v>
      </c>
      <c r="BI194" t="str">
        <f>HYPERLINK(".\links\PREV-RHOD-PEP\TI_asb-323-PREV-RHOD-PEP.txt"," 8")</f>
        <v xml:space="preserve"> 8</v>
      </c>
      <c r="BJ194" t="s">
        <v>2024</v>
      </c>
      <c r="BK194">
        <v>159</v>
      </c>
      <c r="BL194">
        <v>76</v>
      </c>
      <c r="BM194">
        <v>80</v>
      </c>
      <c r="BN194">
        <v>96</v>
      </c>
      <c r="BO194">
        <v>95</v>
      </c>
      <c r="BP194">
        <v>3</v>
      </c>
      <c r="BQ194">
        <v>0</v>
      </c>
      <c r="BR194">
        <v>5</v>
      </c>
      <c r="BS194">
        <v>79</v>
      </c>
      <c r="BT194">
        <v>1</v>
      </c>
      <c r="BU194" t="s">
        <v>54</v>
      </c>
      <c r="BV194" t="s">
        <v>2025</v>
      </c>
      <c r="BW194" t="s">
        <v>56</v>
      </c>
      <c r="BX194" t="str">
        <f>HYPERLINK(".\links\PREV-RHOD-CDS\TI_asb-323-PREV-RHOD-CDS.txt","Contig17383_11")</f>
        <v>Contig17383_11</v>
      </c>
      <c r="BY194" s="7">
        <v>1.9999999999999999E-81</v>
      </c>
      <c r="BZ194" t="s">
        <v>2024</v>
      </c>
      <c r="CA194">
        <v>301</v>
      </c>
      <c r="CB194">
        <v>231</v>
      </c>
      <c r="CC194">
        <v>243</v>
      </c>
      <c r="CD194">
        <v>91</v>
      </c>
      <c r="CE194">
        <v>95</v>
      </c>
      <c r="CF194">
        <v>20</v>
      </c>
      <c r="CG194">
        <v>0</v>
      </c>
      <c r="CH194">
        <v>12</v>
      </c>
      <c r="CI194">
        <v>78</v>
      </c>
      <c r="CJ194">
        <v>1</v>
      </c>
      <c r="CK194" t="s">
        <v>54</v>
      </c>
      <c r="CL194" t="s">
        <v>2026</v>
      </c>
      <c r="CM194">
        <f>HYPERLINK(".\links\GO\TI_asb-323-GO.txt",0.000000000000000003)</f>
        <v>2.9999999999999998E-18</v>
      </c>
      <c r="CN194" t="s">
        <v>2027</v>
      </c>
      <c r="CO194" t="s">
        <v>129</v>
      </c>
      <c r="CP194" t="s">
        <v>151</v>
      </c>
      <c r="CQ194" t="s">
        <v>2028</v>
      </c>
      <c r="CR194" s="6">
        <v>0.28999999999999998</v>
      </c>
      <c r="CS194" t="s">
        <v>60</v>
      </c>
      <c r="CT194" t="s">
        <v>60</v>
      </c>
      <c r="CV194" t="s">
        <v>61</v>
      </c>
      <c r="CW194" s="6">
        <v>0.28999999999999998</v>
      </c>
      <c r="CX194" t="s">
        <v>108</v>
      </c>
      <c r="CY194" t="s">
        <v>129</v>
      </c>
      <c r="CZ194" t="s">
        <v>151</v>
      </c>
      <c r="DA194" t="s">
        <v>109</v>
      </c>
      <c r="DB194" s="6">
        <v>0.28999999999999998</v>
      </c>
      <c r="DC194" t="str">
        <f>HYPERLINK(".\links\CDD\TI_asb-323-CDD.txt","BC10")</f>
        <v>BC10</v>
      </c>
      <c r="DD194" t="str">
        <f>HYPERLINK("http://www.ncbi.nlm.nih.gov/Structure/cdd/cddsrv.cgi?uid=pfam06726&amp;version=v4.0","5E-018")</f>
        <v>5E-018</v>
      </c>
      <c r="DE194" t="s">
        <v>2029</v>
      </c>
      <c r="DF194" t="str">
        <f>HYPERLINK(".\links\PFAM\TI_asb-323-PFAM.txt","BC10")</f>
        <v>BC10</v>
      </c>
      <c r="DG194" t="str">
        <f>HYPERLINK("http://pfam.sanger.ac.uk/family?acc=PF06726","1E-019")</f>
        <v>1E-019</v>
      </c>
      <c r="DH194" t="str">
        <f>HYPERLINK(".\links\PRK\TI_asb-323-PRK.txt","NADH dehydrogenase subunit 5")</f>
        <v>NADH dehydrogenase subunit 5</v>
      </c>
      <c r="DI194" s="6">
        <v>3.2000000000000001E-2</v>
      </c>
      <c r="DJ194" s="6" t="str">
        <f>HYPERLINK(".\links\KOG\TI_asb-323-KOG.txt","Uncharacterized conserved protein BC10 (implicated in bladder cancer in humans)")</f>
        <v>Uncharacterized conserved protein BC10 (implicated in bladder cancer in humans)</v>
      </c>
      <c r="DK194" s="6" t="str">
        <f>HYPERLINK("http://www.ncbi.nlm.nih.gov/COG/grace/shokog.cgi?KOG4489","1E-030")</f>
        <v>1E-030</v>
      </c>
      <c r="DL194" s="6" t="s">
        <v>4347</v>
      </c>
      <c r="DM194" s="6" t="str">
        <f>HYPERLINK(".\links\KOG\TI_asb-323-KOG.txt","KOG4489")</f>
        <v>KOG4489</v>
      </c>
      <c r="DN194" t="str">
        <f>HYPERLINK(".\links\SMART\TI_asb-323-SMART.txt","LITAF")</f>
        <v>LITAF</v>
      </c>
      <c r="DO194" t="str">
        <f>HYPERLINK("http://smart.embl-heidelberg.de/smart/do_annotation.pl?DOMAIN=LITAF&amp;BLAST=DUMMY","0.002")</f>
        <v>0.002</v>
      </c>
      <c r="DP194" s="3" t="s">
        <v>56</v>
      </c>
      <c r="ED194" s="3" t="s">
        <v>56</v>
      </c>
    </row>
    <row r="195" spans="1:134">
      <c r="A195" t="str">
        <f>HYPERLINK(".\links\seq\TI_asb-324-seq.txt","TI_asb-324")</f>
        <v>TI_asb-324</v>
      </c>
      <c r="B195">
        <v>324</v>
      </c>
      <c r="C195" t="str">
        <f>HYPERLINK(".\links\tsa\TI_asb-324-tsa.txt","3")</f>
        <v>3</v>
      </c>
      <c r="D195">
        <v>3</v>
      </c>
      <c r="E195">
        <v>1087</v>
      </c>
      <c r="F195">
        <v>1052</v>
      </c>
      <c r="G195" t="str">
        <f>HYPERLINK(".\links\qual\TI_asb-324-qual.txt","65")</f>
        <v>65</v>
      </c>
      <c r="H195">
        <v>3</v>
      </c>
      <c r="I195">
        <v>0</v>
      </c>
      <c r="J195">
        <f t="shared" si="10"/>
        <v>3</v>
      </c>
      <c r="K195" s="6">
        <f t="shared" si="11"/>
        <v>3</v>
      </c>
      <c r="L195" s="6" t="s">
        <v>4013</v>
      </c>
      <c r="M195" s="6" t="s">
        <v>3881</v>
      </c>
      <c r="N195" s="6" t="s">
        <v>3864</v>
      </c>
      <c r="O195" s="6">
        <v>0</v>
      </c>
      <c r="P195" s="6">
        <v>93.9</v>
      </c>
      <c r="Q195" s="3">
        <v>1087</v>
      </c>
      <c r="R195" s="3">
        <v>765</v>
      </c>
      <c r="S195" s="3" t="s">
        <v>3674</v>
      </c>
      <c r="T195" s="3">
        <v>2</v>
      </c>
      <c r="U195" t="str">
        <f>HYPERLINK(".\links\NR-LIGHT\TI_asb-324-NR-LIGHT.txt","multifunctional chaperone")</f>
        <v>multifunctional chaperone</v>
      </c>
      <c r="V195" t="str">
        <f>HYPERLINK("http://www.ncbi.nlm.nih.gov/sutils/blink.cgi?pid=263173438","1E-124")</f>
        <v>1E-124</v>
      </c>
      <c r="W195" t="str">
        <f>HYPERLINK(".\links\NR-LIGHT\TI_asb-324-NR-LIGHT.txt"," 10")</f>
        <v xml:space="preserve"> 10</v>
      </c>
      <c r="X195" t="str">
        <f>HYPERLINK("http://www.ncbi.nlm.nih.gov/protein/263173438","gi|263173438")</f>
        <v>gi|263173438</v>
      </c>
      <c r="Y195">
        <v>446</v>
      </c>
      <c r="Z195">
        <v>232</v>
      </c>
      <c r="AA195">
        <v>247</v>
      </c>
      <c r="AB195">
        <v>98</v>
      </c>
      <c r="AC195">
        <v>94</v>
      </c>
      <c r="AD195">
        <v>4</v>
      </c>
      <c r="AE195">
        <v>0</v>
      </c>
      <c r="AF195">
        <v>1</v>
      </c>
      <c r="AG195">
        <v>77</v>
      </c>
      <c r="AH195">
        <v>1</v>
      </c>
      <c r="AI195">
        <v>2</v>
      </c>
      <c r="AJ195" t="s">
        <v>53</v>
      </c>
      <c r="AK195" t="s">
        <v>54</v>
      </c>
      <c r="AL195" t="s">
        <v>2494</v>
      </c>
      <c r="AM195" t="str">
        <f>HYPERLINK(".\links\SWISSP\TI_asb-324-SWISSP.txt","14-3-3 protein zeta OS=Bombyx mori GN=14-3-3zeta PE=2 SV=2")</f>
        <v>14-3-3 protein zeta OS=Bombyx mori GN=14-3-3zeta PE=2 SV=2</v>
      </c>
      <c r="AN195" s="19" t="str">
        <f>HYPERLINK("http://www.uniprot.org/uniprot/Q2F637","1E-118")</f>
        <v>1E-118</v>
      </c>
      <c r="AO195" t="str">
        <f>HYPERLINK(".\links\SWISSP\TI_asb-324-SWISSP.txt"," 10")</f>
        <v xml:space="preserve"> 10</v>
      </c>
      <c r="AP195" t="s">
        <v>2030</v>
      </c>
      <c r="AQ195">
        <v>424</v>
      </c>
      <c r="AR195">
        <v>232</v>
      </c>
      <c r="AS195">
        <v>247</v>
      </c>
      <c r="AT195">
        <v>92</v>
      </c>
      <c r="AU195">
        <v>94</v>
      </c>
      <c r="AV195">
        <v>17</v>
      </c>
      <c r="AW195">
        <v>0</v>
      </c>
      <c r="AX195">
        <v>1</v>
      </c>
      <c r="AY195">
        <v>77</v>
      </c>
      <c r="AZ195">
        <v>1</v>
      </c>
      <c r="BA195">
        <v>2</v>
      </c>
      <c r="BB195" t="s">
        <v>53</v>
      </c>
      <c r="BC195" t="s">
        <v>54</v>
      </c>
      <c r="BD195" t="s">
        <v>279</v>
      </c>
      <c r="BE195" t="s">
        <v>2031</v>
      </c>
      <c r="BF195" t="s">
        <v>2032</v>
      </c>
      <c r="BG195" t="str">
        <f>HYPERLINK(".\links\PREV-RHOD-PEP\TI_asb-324-PREV-RHOD-PEP.txt","Contig17897_7")</f>
        <v>Contig17897_7</v>
      </c>
      <c r="BH195" s="7">
        <v>1E-127</v>
      </c>
      <c r="BI195" t="str">
        <f>HYPERLINK(".\links\PREV-RHOD-PEP\TI_asb-324-PREV-RHOD-PEP.txt"," 10")</f>
        <v xml:space="preserve"> 10</v>
      </c>
      <c r="BJ195" t="s">
        <v>2033</v>
      </c>
      <c r="BK195">
        <v>450</v>
      </c>
      <c r="BL195">
        <v>232</v>
      </c>
      <c r="BM195">
        <v>247</v>
      </c>
      <c r="BN195">
        <v>99</v>
      </c>
      <c r="BO195">
        <v>94</v>
      </c>
      <c r="BP195">
        <v>2</v>
      </c>
      <c r="BQ195">
        <v>0</v>
      </c>
      <c r="BR195">
        <v>1</v>
      </c>
      <c r="BS195">
        <v>77</v>
      </c>
      <c r="BT195">
        <v>1</v>
      </c>
      <c r="BU195" t="s">
        <v>54</v>
      </c>
      <c r="BV195" t="s">
        <v>2034</v>
      </c>
      <c r="BW195" t="s">
        <v>56</v>
      </c>
      <c r="BX195" t="str">
        <f>HYPERLINK(".\links\PREV-RHOD-CDS\TI_asb-324-PREV-RHOD-CDS.txt","Contig17897_7")</f>
        <v>Contig17897_7</v>
      </c>
      <c r="BY195" s="6">
        <v>0</v>
      </c>
      <c r="BZ195" t="s">
        <v>2033</v>
      </c>
      <c r="CA195">
        <v>1102</v>
      </c>
      <c r="CB195">
        <v>743</v>
      </c>
      <c r="CC195">
        <v>744</v>
      </c>
      <c r="CD195">
        <v>93</v>
      </c>
      <c r="CE195">
        <v>100</v>
      </c>
      <c r="CF195">
        <v>47</v>
      </c>
      <c r="CG195">
        <v>0</v>
      </c>
      <c r="CH195">
        <v>1</v>
      </c>
      <c r="CI195">
        <v>77</v>
      </c>
      <c r="CJ195">
        <v>1</v>
      </c>
      <c r="CK195" t="s">
        <v>54</v>
      </c>
      <c r="CL195" t="s">
        <v>2035</v>
      </c>
      <c r="CM195">
        <f>HYPERLINK(".\links\GO\TI_asb-324-GO.txt",0)</f>
        <v>0</v>
      </c>
      <c r="CN195" t="s">
        <v>2036</v>
      </c>
      <c r="CO195" t="s">
        <v>102</v>
      </c>
      <c r="CP195" t="s">
        <v>2037</v>
      </c>
      <c r="CQ195" t="s">
        <v>2038</v>
      </c>
      <c r="CR195" s="7">
        <v>9.9999999999999999E-117</v>
      </c>
      <c r="CS195" t="s">
        <v>224</v>
      </c>
      <c r="CT195" t="s">
        <v>75</v>
      </c>
      <c r="CU195" t="s">
        <v>76</v>
      </c>
      <c r="CV195" t="s">
        <v>225</v>
      </c>
      <c r="CW195" s="7">
        <v>9.9999999999999999E-117</v>
      </c>
      <c r="CX195" t="s">
        <v>2039</v>
      </c>
      <c r="CY195" t="s">
        <v>102</v>
      </c>
      <c r="CZ195" t="s">
        <v>2037</v>
      </c>
      <c r="DA195" t="s">
        <v>2040</v>
      </c>
      <c r="DB195" s="7">
        <v>9.9999999999999999E-117</v>
      </c>
      <c r="DC195" t="str">
        <f>HYPERLINK(".\links\CDD\TI_asb-324-CDD.txt","14-3-3")</f>
        <v>14-3-3</v>
      </c>
      <c r="DD195" t="str">
        <f>HYPERLINK("http://www.ncbi.nlm.nih.gov/Structure/cdd/cddsrv.cgi?uid=pfam00244&amp;version=v4.0","1E-124")</f>
        <v>1E-124</v>
      </c>
      <c r="DE195" t="s">
        <v>2041</v>
      </c>
      <c r="DF195" t="str">
        <f>HYPERLINK(".\links\PFAM\TI_asb-324-PFAM.txt","14-3-3")</f>
        <v>14-3-3</v>
      </c>
      <c r="DG195" t="str">
        <f>HYPERLINK("http://pfam.sanger.ac.uk/family?acc=PF00244","1E-138")</f>
        <v>1E-138</v>
      </c>
      <c r="DH195" t="str">
        <f>HYPERLINK(".\links\PRK\TI_asb-324-PRK.txt","predicted protein")</f>
        <v>predicted protein</v>
      </c>
      <c r="DI195" s="6">
        <v>1E-3</v>
      </c>
      <c r="DJ195" s="6" t="str">
        <f>HYPERLINK(".\links\KOG\TI_asb-324-KOG.txt","Multifunctional chaperone (14-3-3 family)")</f>
        <v>Multifunctional chaperone (14-3-3 family)</v>
      </c>
      <c r="DK195" s="6" t="str">
        <f>HYPERLINK("http://www.ncbi.nlm.nih.gov/COG/grace/shokog.cgi?KOG0841","1E-107")</f>
        <v>1E-107</v>
      </c>
      <c r="DL195" s="6" t="s">
        <v>4340</v>
      </c>
      <c r="DM195" s="6" t="str">
        <f>HYPERLINK(".\links\KOG\TI_asb-324-KOG.txt","KOG0841")</f>
        <v>KOG0841</v>
      </c>
      <c r="DN195" t="str">
        <f>HYPERLINK(".\links\SMART\TI_asb-324-SMART.txt","14_3_3")</f>
        <v>14_3_3</v>
      </c>
      <c r="DO195" t="str">
        <f>HYPERLINK("http://smart.embl-heidelberg.de/smart/do_annotation.pl?DOMAIN=14_3_3&amp;BLAST=DUMMY","1E-103")</f>
        <v>1E-103</v>
      </c>
      <c r="DP195" s="3" t="s">
        <v>56</v>
      </c>
      <c r="ED195" s="3" t="s">
        <v>56</v>
      </c>
    </row>
    <row r="196" spans="1:134">
      <c r="A196" t="str">
        <f>HYPERLINK(".\links\seq\TI_asb-326-seq.txt","TI_asb-326")</f>
        <v>TI_asb-326</v>
      </c>
      <c r="B196">
        <v>326</v>
      </c>
      <c r="C196" t="str">
        <f>HYPERLINK(".\links\tsa\TI_asb-326-tsa.txt","1")</f>
        <v>1</v>
      </c>
      <c r="D196">
        <v>1</v>
      </c>
      <c r="E196">
        <v>827</v>
      </c>
      <c r="F196">
        <v>791</v>
      </c>
      <c r="G196" t="str">
        <f>HYPERLINK(".\links\qual\TI_asb-326-qual.txt","47")</f>
        <v>47</v>
      </c>
      <c r="H196">
        <v>0</v>
      </c>
      <c r="I196">
        <v>1</v>
      </c>
      <c r="J196">
        <f t="shared" si="10"/>
        <v>1</v>
      </c>
      <c r="K196" s="6">
        <f t="shared" si="11"/>
        <v>-1</v>
      </c>
      <c r="L196" s="6" t="s">
        <v>4014</v>
      </c>
      <c r="M196" s="6" t="s">
        <v>3866</v>
      </c>
      <c r="N196" s="6" t="s">
        <v>3875</v>
      </c>
      <c r="O196" s="7">
        <v>1.9999999999999999E-64</v>
      </c>
      <c r="P196" s="6">
        <v>28.9</v>
      </c>
      <c r="Q196" s="3">
        <v>827</v>
      </c>
      <c r="R196" s="3">
        <v>390</v>
      </c>
      <c r="S196" s="6" t="s">
        <v>3675</v>
      </c>
      <c r="T196" s="3">
        <v>2</v>
      </c>
      <c r="U196" t="str">
        <f>HYPERLINK(".\links\NR-LIGHT\TI_asb-326-NR-LIGHT.txt","putative elongation factor 1-alpha")</f>
        <v>putative elongation factor 1-alpha</v>
      </c>
      <c r="V196" t="str">
        <f>HYPERLINK("http://www.ncbi.nlm.nih.gov/sutils/blink.cgi?pid=307095102","6E-061")</f>
        <v>6E-061</v>
      </c>
      <c r="W196" t="str">
        <f>HYPERLINK(".\links\NR-LIGHT\TI_asb-326-NR-LIGHT.txt"," 10")</f>
        <v xml:space="preserve"> 10</v>
      </c>
      <c r="X196" t="str">
        <f>HYPERLINK("http://www.ncbi.nlm.nih.gov/protein/307095102","gi|307095102")</f>
        <v>gi|307095102</v>
      </c>
      <c r="Y196">
        <v>236</v>
      </c>
      <c r="Z196">
        <v>117</v>
      </c>
      <c r="AA196">
        <v>462</v>
      </c>
      <c r="AB196">
        <v>98</v>
      </c>
      <c r="AC196">
        <v>25</v>
      </c>
      <c r="AD196">
        <v>2</v>
      </c>
      <c r="AE196">
        <v>0</v>
      </c>
      <c r="AF196">
        <v>333</v>
      </c>
      <c r="AG196">
        <v>2</v>
      </c>
      <c r="AH196">
        <v>1</v>
      </c>
      <c r="AI196">
        <v>2</v>
      </c>
      <c r="AJ196" t="s">
        <v>53</v>
      </c>
      <c r="AK196" t="s">
        <v>54</v>
      </c>
      <c r="AL196" t="s">
        <v>258</v>
      </c>
      <c r="AM196" t="str">
        <f>HYPERLINK(".\links\SWISSP\TI_asb-326-SWISSP.txt","Elongation factor 1-alpha OS=Apis mellifera PE=3 SV=1")</f>
        <v>Elongation factor 1-alpha OS=Apis mellifera PE=3 SV=1</v>
      </c>
      <c r="AN196" s="19" t="str">
        <f>HYPERLINK("http://www.uniprot.org/uniprot/P19039","6E-055")</f>
        <v>6E-055</v>
      </c>
      <c r="AO196" t="str">
        <f>HYPERLINK(".\links\SWISSP\TI_asb-326-SWISSP.txt"," 10")</f>
        <v xml:space="preserve"> 10</v>
      </c>
      <c r="AP196" t="s">
        <v>2042</v>
      </c>
      <c r="AQ196">
        <v>214</v>
      </c>
      <c r="AR196">
        <v>113</v>
      </c>
      <c r="AS196">
        <v>461</v>
      </c>
      <c r="AT196">
        <v>91</v>
      </c>
      <c r="AU196">
        <v>25</v>
      </c>
      <c r="AV196">
        <v>10</v>
      </c>
      <c r="AW196">
        <v>0</v>
      </c>
      <c r="AX196">
        <v>333</v>
      </c>
      <c r="AY196">
        <v>2</v>
      </c>
      <c r="AZ196">
        <v>1</v>
      </c>
      <c r="BA196">
        <v>2</v>
      </c>
      <c r="BB196" t="s">
        <v>53</v>
      </c>
      <c r="BC196" t="s">
        <v>54</v>
      </c>
      <c r="BD196" t="s">
        <v>344</v>
      </c>
      <c r="BE196" t="s">
        <v>2043</v>
      </c>
      <c r="BF196" t="s">
        <v>2044</v>
      </c>
      <c r="BG196" t="str">
        <f>HYPERLINK(".\links\PREV-RHOD-PEP\TI_asb-326-PREV-RHOD-PEP.txt","Contig17792_130")</f>
        <v>Contig17792_130</v>
      </c>
      <c r="BH196" s="7">
        <v>6.0000000000000004E-40</v>
      </c>
      <c r="BI196" t="str">
        <f>HYPERLINK(".\links\PREV-RHOD-PEP\TI_asb-326-PREV-RHOD-PEP.txt"," 5")</f>
        <v xml:space="preserve"> 5</v>
      </c>
      <c r="BJ196" t="s">
        <v>2045</v>
      </c>
      <c r="BK196">
        <v>160</v>
      </c>
      <c r="BL196">
        <v>117</v>
      </c>
      <c r="BM196">
        <v>441</v>
      </c>
      <c r="BN196">
        <v>73</v>
      </c>
      <c r="BO196">
        <v>27</v>
      </c>
      <c r="BP196">
        <v>31</v>
      </c>
      <c r="BQ196">
        <v>0</v>
      </c>
      <c r="BR196">
        <v>333</v>
      </c>
      <c r="BS196">
        <v>2</v>
      </c>
      <c r="BT196">
        <v>1</v>
      </c>
      <c r="BU196" t="s">
        <v>54</v>
      </c>
      <c r="BV196" t="s">
        <v>2046</v>
      </c>
      <c r="BW196" t="s">
        <v>56</v>
      </c>
      <c r="BX196" t="str">
        <f>HYPERLINK(".\links\PREV-RHOD-CDS\TI_asb-326-PREV-RHOD-CDS.txt","Contig17792_130")</f>
        <v>Contig17792_130</v>
      </c>
      <c r="BY196" s="7">
        <v>9E-61</v>
      </c>
      <c r="BZ196" t="s">
        <v>2045</v>
      </c>
      <c r="CA196">
        <v>234</v>
      </c>
      <c r="CB196">
        <v>330</v>
      </c>
      <c r="CC196">
        <v>1326</v>
      </c>
      <c r="CD196">
        <v>95</v>
      </c>
      <c r="CE196">
        <v>25</v>
      </c>
      <c r="CF196">
        <v>6</v>
      </c>
      <c r="CG196">
        <v>0</v>
      </c>
      <c r="CH196">
        <v>996</v>
      </c>
      <c r="CI196">
        <v>1</v>
      </c>
      <c r="CJ196">
        <v>2</v>
      </c>
      <c r="CK196" t="s">
        <v>54</v>
      </c>
      <c r="CL196" t="s">
        <v>2047</v>
      </c>
      <c r="CM196">
        <f>HYPERLINK(".\links\GO\TI_asb-326-GO.txt",2E-54)</f>
        <v>2.0000000000000001E-54</v>
      </c>
      <c r="CN196" t="s">
        <v>2048</v>
      </c>
      <c r="CO196" t="s">
        <v>969</v>
      </c>
      <c r="CP196" t="s">
        <v>970</v>
      </c>
      <c r="CQ196" t="s">
        <v>2049</v>
      </c>
      <c r="CR196" s="7">
        <v>2.0000000000000001E-54</v>
      </c>
      <c r="CS196" t="s">
        <v>1055</v>
      </c>
      <c r="CT196" t="s">
        <v>75</v>
      </c>
      <c r="CU196" t="s">
        <v>76</v>
      </c>
      <c r="CV196" t="s">
        <v>1056</v>
      </c>
      <c r="CW196" s="7">
        <v>2.0000000000000001E-54</v>
      </c>
      <c r="CX196" t="s">
        <v>2050</v>
      </c>
      <c r="CY196" t="s">
        <v>969</v>
      </c>
      <c r="CZ196" t="s">
        <v>970</v>
      </c>
      <c r="DA196" t="s">
        <v>2051</v>
      </c>
      <c r="DB196" s="7">
        <v>2.0000000000000001E-54</v>
      </c>
      <c r="DC196" t="str">
        <f>HYPERLINK(".\links\CDD\TI_asb-326-CDD.txt","EF1_alpha_III")</f>
        <v>EF1_alpha_III</v>
      </c>
      <c r="DD196" t="str">
        <f>HYPERLINK("http://www.ncbi.nlm.nih.gov/Structure/cdd/cddsrv.cgi?uid=cd03705&amp;version=v4.0","1E-050")</f>
        <v>1E-050</v>
      </c>
      <c r="DE196" t="s">
        <v>2052</v>
      </c>
      <c r="DF196" t="str">
        <f>HYPERLINK(".\links\PFAM\TI_asb-326-PFAM.txt","GTP_EFTU_D3")</f>
        <v>GTP_EFTU_D3</v>
      </c>
      <c r="DG196" t="str">
        <f>HYPERLINK("http://pfam.sanger.ac.uk/family?acc=PF03143","2E-034")</f>
        <v>2E-034</v>
      </c>
      <c r="DH196" t="str">
        <f>HYPERLINK(".\links\PRK\TI_asb-326-PRK.txt","elongation factor 1- alpha")</f>
        <v>elongation factor 1- alpha</v>
      </c>
      <c r="DI196" s="7">
        <v>1.9999999999999999E-64</v>
      </c>
      <c r="DJ196" s="6" t="str">
        <f>HYPERLINK(".\links\KOG\TI_asb-326-KOG.txt","Translation elongation factor EF-1 alpha/Tu")</f>
        <v>Translation elongation factor EF-1 alpha/Tu</v>
      </c>
      <c r="DK196" s="6" t="str">
        <f>HYPERLINK("http://www.ncbi.nlm.nih.gov/COG/grace/shokog.cgi?KOG0052","4E-049")</f>
        <v>4E-049</v>
      </c>
      <c r="DL196" s="6" t="s">
        <v>4333</v>
      </c>
      <c r="DM196" s="6" t="str">
        <f>HYPERLINK(".\links\KOG\TI_asb-326-KOG.txt","KOG0052")</f>
        <v>KOG0052</v>
      </c>
      <c r="DN196" t="str">
        <f>HYPERLINK(".\links\SMART\TI_asb-326-SMART.txt","AgrB")</f>
        <v>AgrB</v>
      </c>
      <c r="DO196" t="str">
        <f>HYPERLINK("http://smart.embl-heidelberg.de/smart/do_annotation.pl?DOMAIN=AgrB&amp;BLAST=DUMMY","0.021")</f>
        <v>0.021</v>
      </c>
      <c r="DP196" s="3" t="s">
        <v>56</v>
      </c>
      <c r="ED196" s="3" t="s">
        <v>56</v>
      </c>
    </row>
    <row r="197" spans="1:134">
      <c r="A197" t="str">
        <f>HYPERLINK(".\links\seq\TI_asb-327-seq.txt","TI_asb-327")</f>
        <v>TI_asb-327</v>
      </c>
      <c r="B197">
        <v>327</v>
      </c>
      <c r="C197" t="str">
        <f>HYPERLINK(".\links\tsa\TI_asb-327-tsa.txt","1")</f>
        <v>1</v>
      </c>
      <c r="D197">
        <v>1</v>
      </c>
      <c r="E197">
        <v>998</v>
      </c>
      <c r="F197">
        <v>702</v>
      </c>
      <c r="G197" t="str">
        <f>HYPERLINK(".\links\qual\TI_asb-327-qual.txt","26")</f>
        <v>26</v>
      </c>
      <c r="H197">
        <v>1</v>
      </c>
      <c r="I197">
        <v>0</v>
      </c>
      <c r="J197">
        <f t="shared" si="10"/>
        <v>1</v>
      </c>
      <c r="K197" s="6">
        <f t="shared" si="11"/>
        <v>1</v>
      </c>
      <c r="L197" s="6" t="s">
        <v>3868</v>
      </c>
      <c r="M197" s="6" t="s">
        <v>3869</v>
      </c>
      <c r="N197" s="6"/>
      <c r="O197" s="6"/>
      <c r="P197" s="6"/>
      <c r="Q197" s="3">
        <v>998</v>
      </c>
      <c r="R197" s="3">
        <v>264</v>
      </c>
      <c r="S197" s="3" t="s">
        <v>3676</v>
      </c>
      <c r="T197" s="3">
        <v>4</v>
      </c>
      <c r="U197" t="s">
        <v>56</v>
      </c>
      <c r="V197" t="s">
        <v>56</v>
      </c>
      <c r="W197" t="s">
        <v>56</v>
      </c>
      <c r="X197" t="s">
        <v>56</v>
      </c>
      <c r="Y197" t="s">
        <v>56</v>
      </c>
      <c r="Z197" t="s">
        <v>56</v>
      </c>
      <c r="AA197" t="s">
        <v>56</v>
      </c>
      <c r="AB197" t="s">
        <v>56</v>
      </c>
      <c r="AC197" t="s">
        <v>56</v>
      </c>
      <c r="AD197" t="s">
        <v>56</v>
      </c>
      <c r="AE197" t="s">
        <v>56</v>
      </c>
      <c r="AF197" t="s">
        <v>56</v>
      </c>
      <c r="AG197" t="s">
        <v>56</v>
      </c>
      <c r="AH197" t="s">
        <v>56</v>
      </c>
      <c r="AI197" t="s">
        <v>56</v>
      </c>
      <c r="AJ197" t="s">
        <v>56</v>
      </c>
      <c r="AK197" t="s">
        <v>56</v>
      </c>
      <c r="AL197" t="s">
        <v>56</v>
      </c>
      <c r="AM197" t="str">
        <f>HYPERLINK(".\links\SWISSP\TI_asb-327-SWISSP.txt","Protein CrcB homolog 1 OS=Lactobacillus acidophilus GN=crcB1 PE=3 SV=1")</f>
        <v>Protein CrcB homolog 1 OS=Lactobacillus acidophilus GN=crcB1 PE=3 SV=1</v>
      </c>
      <c r="AN197" s="19" t="str">
        <f>HYPERLINK("http://www.uniprot.org/uniprot/Q5FKD2","9.2")</f>
        <v>9.2</v>
      </c>
      <c r="AO197" t="str">
        <f>HYPERLINK(".\links\SWISSP\TI_asb-327-SWISSP.txt"," 1")</f>
        <v xml:space="preserve"> 1</v>
      </c>
      <c r="AP197" t="s">
        <v>2053</v>
      </c>
      <c r="AQ197">
        <v>31.6</v>
      </c>
      <c r="AR197">
        <v>69</v>
      </c>
      <c r="AS197">
        <v>129</v>
      </c>
      <c r="AT197">
        <v>34</v>
      </c>
      <c r="AU197">
        <v>53</v>
      </c>
      <c r="AV197">
        <v>45</v>
      </c>
      <c r="AW197">
        <v>3</v>
      </c>
      <c r="AX197">
        <v>43</v>
      </c>
      <c r="AY197">
        <v>462</v>
      </c>
      <c r="AZ197">
        <v>1</v>
      </c>
      <c r="BA197">
        <v>-1</v>
      </c>
      <c r="BB197" t="s">
        <v>53</v>
      </c>
      <c r="BC197" t="s">
        <v>64</v>
      </c>
      <c r="BD197" t="s">
        <v>2054</v>
      </c>
      <c r="BE197" t="s">
        <v>2055</v>
      </c>
      <c r="BF197" t="s">
        <v>2056</v>
      </c>
      <c r="BG197" t="str">
        <f>HYPERLINK(".\links\PREV-RHOD-PEP\TI_asb-327-PREV-RHOD-PEP.txt","Contig17909_49")</f>
        <v>Contig17909_49</v>
      </c>
      <c r="BH197" s="6">
        <v>7.5</v>
      </c>
      <c r="BI197" t="str">
        <f>HYPERLINK(".\links\PREV-RHOD-PEP\TI_asb-327-PREV-RHOD-PEP.txt"," 3")</f>
        <v xml:space="preserve"> 3</v>
      </c>
      <c r="BJ197" t="s">
        <v>2057</v>
      </c>
      <c r="BK197">
        <v>27.7</v>
      </c>
      <c r="BL197">
        <v>46</v>
      </c>
      <c r="BM197">
        <v>972</v>
      </c>
      <c r="BN197">
        <v>34</v>
      </c>
      <c r="BO197">
        <v>5</v>
      </c>
      <c r="BP197">
        <v>30</v>
      </c>
      <c r="BQ197">
        <v>0</v>
      </c>
      <c r="BR197">
        <v>810</v>
      </c>
      <c r="BS197">
        <v>485</v>
      </c>
      <c r="BT197">
        <v>1</v>
      </c>
      <c r="BU197" t="s">
        <v>54</v>
      </c>
      <c r="BV197" t="s">
        <v>2058</v>
      </c>
      <c r="BW197" t="s">
        <v>56</v>
      </c>
      <c r="BX197" t="str">
        <f>HYPERLINK(".\links\PREV-RHOD-CDS\TI_asb-327-PREV-RHOD-CDS.txt","Contig17889_50")</f>
        <v>Contig17889_50</v>
      </c>
      <c r="BY197" s="6">
        <v>0.5</v>
      </c>
      <c r="BZ197" t="s">
        <v>2059</v>
      </c>
      <c r="CA197">
        <v>36.200000000000003</v>
      </c>
      <c r="CB197">
        <v>17</v>
      </c>
      <c r="CC197">
        <v>2163</v>
      </c>
      <c r="CD197">
        <v>100</v>
      </c>
      <c r="CE197">
        <v>1</v>
      </c>
      <c r="CF197">
        <v>0</v>
      </c>
      <c r="CG197">
        <v>0</v>
      </c>
      <c r="CH197">
        <v>1174</v>
      </c>
      <c r="CI197">
        <v>30</v>
      </c>
      <c r="CJ197">
        <v>1</v>
      </c>
      <c r="CK197" t="s">
        <v>64</v>
      </c>
      <c r="CL197" t="s">
        <v>56</v>
      </c>
      <c r="CM197" t="s">
        <v>56</v>
      </c>
      <c r="CN197" t="s">
        <v>56</v>
      </c>
      <c r="CO197" t="s">
        <v>56</v>
      </c>
      <c r="CP197" t="s">
        <v>56</v>
      </c>
      <c r="CQ197" t="s">
        <v>56</v>
      </c>
      <c r="CR197" s="6" t="s">
        <v>56</v>
      </c>
      <c r="CS197" t="s">
        <v>56</v>
      </c>
      <c r="CT197" t="s">
        <v>56</v>
      </c>
      <c r="CU197" t="s">
        <v>56</v>
      </c>
      <c r="CV197" t="s">
        <v>56</v>
      </c>
      <c r="CW197" s="6" t="s">
        <v>56</v>
      </c>
      <c r="CX197" t="s">
        <v>56</v>
      </c>
      <c r="CY197" t="s">
        <v>56</v>
      </c>
      <c r="CZ197" t="s">
        <v>56</v>
      </c>
      <c r="DA197" t="s">
        <v>56</v>
      </c>
      <c r="DB197" s="6" t="s">
        <v>56</v>
      </c>
      <c r="DC197" t="str">
        <f>HYPERLINK(".\links\CDD\TI_asb-327-CDD.txt","YfhO")</f>
        <v>YfhO</v>
      </c>
      <c r="DD197" t="str">
        <f>HYPERLINK("http://www.ncbi.nlm.nih.gov/Structure/cdd/cddsrv.cgi?uid=pfam09586&amp;version=v4.0","5E-004")</f>
        <v>5E-004</v>
      </c>
      <c r="DE197" t="s">
        <v>2060</v>
      </c>
      <c r="DF197" t="str">
        <f>HYPERLINK(".\links\PFAM\TI_asb-327-PFAM.txt","7TM_GPCR_Sru")</f>
        <v>7TM_GPCR_Sru</v>
      </c>
      <c r="DG197" t="str">
        <f>HYPERLINK("http://pfam.sanger.ac.uk/family?acc=PF10322","7E-006")</f>
        <v>7E-006</v>
      </c>
      <c r="DH197" t="str">
        <f>HYPERLINK(".\links\PRK\TI_asb-327-PRK.txt","NADH dehydrogenase subunit 5")</f>
        <v>NADH dehydrogenase subunit 5</v>
      </c>
      <c r="DI197" s="7">
        <v>2.0000000000000001E-10</v>
      </c>
      <c r="DJ197" s="6" t="str">
        <f>HYPERLINK(".\links\KOG\TI_asb-327-KOG.txt","rRNA processing protein")</f>
        <v>rRNA processing protein</v>
      </c>
      <c r="DK197" s="6" t="str">
        <f>HYPERLINK("http://www.ncbi.nlm.nih.gov/COG/grace/shokog.cgi?KOG2874","0.014")</f>
        <v>0.014</v>
      </c>
      <c r="DL197" s="6" t="s">
        <v>4360</v>
      </c>
      <c r="DM197" s="6" t="str">
        <f>HYPERLINK(".\links\KOG\TI_asb-327-KOG.txt","KOG2874")</f>
        <v>KOG2874</v>
      </c>
      <c r="DN197" t="str">
        <f>HYPERLINK(".\links\SMART\TI_asb-327-SMART.txt","AgrB")</f>
        <v>AgrB</v>
      </c>
      <c r="DO197" t="str">
        <f>HYPERLINK("http://smart.embl-heidelberg.de/smart/do_annotation.pl?DOMAIN=AgrB&amp;BLAST=DUMMY","0.002")</f>
        <v>0.002</v>
      </c>
      <c r="DP197" s="3" t="s">
        <v>56</v>
      </c>
      <c r="ED197" s="3" t="s">
        <v>56</v>
      </c>
    </row>
    <row r="198" spans="1:134">
      <c r="A198" t="str">
        <f>HYPERLINK(".\links\seq\TI_asb-328-seq.txt","TI_asb-328")</f>
        <v>TI_asb-328</v>
      </c>
      <c r="B198">
        <v>328</v>
      </c>
      <c r="C198" t="str">
        <f>HYPERLINK(".\links\tsa\TI_asb-328-tsa.txt","1")</f>
        <v>1</v>
      </c>
      <c r="D198">
        <v>1</v>
      </c>
      <c r="E198">
        <v>866</v>
      </c>
      <c r="F198">
        <v>413</v>
      </c>
      <c r="G198" t="str">
        <f>HYPERLINK(".\links\qual\TI_asb-328-qual.txt","25")</f>
        <v>25</v>
      </c>
      <c r="H198">
        <v>1</v>
      </c>
      <c r="I198">
        <v>0</v>
      </c>
      <c r="J198">
        <f t="shared" si="10"/>
        <v>1</v>
      </c>
      <c r="K198" s="6">
        <f t="shared" si="11"/>
        <v>1</v>
      </c>
      <c r="L198" s="6" t="s">
        <v>3868</v>
      </c>
      <c r="M198" s="6" t="s">
        <v>3869</v>
      </c>
      <c r="N198" s="6"/>
      <c r="O198" s="6"/>
      <c r="P198" s="6"/>
      <c r="Q198" s="3">
        <v>866</v>
      </c>
      <c r="R198" s="3">
        <v>447</v>
      </c>
      <c r="S198" s="3" t="s">
        <v>3677</v>
      </c>
      <c r="T198" s="3">
        <v>5</v>
      </c>
      <c r="U198" t="str">
        <f>HYPERLINK(".\links\NR-LIGHT\TI_asb-328-NR-LIGHT.txt","hypothetical protein HMPREF9532_00106")</f>
        <v>hypothetical protein HMPREF9532_00106</v>
      </c>
      <c r="V198" t="str">
        <f>HYPERLINK("http://www.ncbi.nlm.nih.gov/sutils/blink.cgi?pid=324010149","3.9")</f>
        <v>3.9</v>
      </c>
      <c r="W198" t="str">
        <f>HYPERLINK(".\links\NR-LIGHT\TI_asb-328-NR-LIGHT.txt"," 9")</f>
        <v xml:space="preserve"> 9</v>
      </c>
      <c r="X198" t="str">
        <f>HYPERLINK("http://www.ncbi.nlm.nih.gov/protein/324010149","gi|324010149")</f>
        <v>gi|324010149</v>
      </c>
      <c r="Y198">
        <v>34.700000000000003</v>
      </c>
      <c r="Z198">
        <v>34</v>
      </c>
      <c r="AA198">
        <v>58</v>
      </c>
      <c r="AB198">
        <v>50</v>
      </c>
      <c r="AC198">
        <v>59</v>
      </c>
      <c r="AD198">
        <v>17</v>
      </c>
      <c r="AE198">
        <v>0</v>
      </c>
      <c r="AF198">
        <v>22</v>
      </c>
      <c r="AG198">
        <v>584</v>
      </c>
      <c r="AH198">
        <v>1</v>
      </c>
      <c r="AI198">
        <v>-2</v>
      </c>
      <c r="AJ198" t="s">
        <v>53</v>
      </c>
      <c r="AK198" t="s">
        <v>64</v>
      </c>
      <c r="AL198" t="s">
        <v>2061</v>
      </c>
      <c r="AM198" t="str">
        <f>HYPERLINK(".\links\SWISSP\TI_asb-328-SWISSP.txt","3-ketodihydrosphingosine reductase TSC10 OS=Yarrowia lipolytica GN=TSC10 PE=3")</f>
        <v>3-ketodihydrosphingosine reductase TSC10 OS=Yarrowia lipolytica GN=TSC10 PE=3</v>
      </c>
      <c r="AN198" s="19" t="str">
        <f>HYPERLINK("http://www.uniprot.org/uniprot/Q6CE86","2.6")</f>
        <v>2.6</v>
      </c>
      <c r="AO198" t="str">
        <f>HYPERLINK(".\links\SWISSP\TI_asb-328-SWISSP.txt"," 2")</f>
        <v xml:space="preserve"> 2</v>
      </c>
      <c r="AP198" t="s">
        <v>2062</v>
      </c>
      <c r="AQ198">
        <v>33.1</v>
      </c>
      <c r="AR198">
        <v>30</v>
      </c>
      <c r="AS198">
        <v>372</v>
      </c>
      <c r="AT198">
        <v>46</v>
      </c>
      <c r="AU198">
        <v>8</v>
      </c>
      <c r="AV198">
        <v>16</v>
      </c>
      <c r="AW198">
        <v>0</v>
      </c>
      <c r="AX198">
        <v>340</v>
      </c>
      <c r="AY198">
        <v>751</v>
      </c>
      <c r="AZ198">
        <v>1</v>
      </c>
      <c r="BA198">
        <v>1</v>
      </c>
      <c r="BB198" t="s">
        <v>53</v>
      </c>
      <c r="BC198" t="s">
        <v>54</v>
      </c>
      <c r="BD198" t="s">
        <v>1396</v>
      </c>
      <c r="BE198" t="s">
        <v>2063</v>
      </c>
      <c r="BF198" t="s">
        <v>2064</v>
      </c>
      <c r="BG198" t="s">
        <v>56</v>
      </c>
      <c r="BH198" s="6" t="s">
        <v>56</v>
      </c>
      <c r="BI198" t="s">
        <v>56</v>
      </c>
      <c r="BJ198" t="s">
        <v>56</v>
      </c>
      <c r="BK198" t="s">
        <v>56</v>
      </c>
      <c r="BL198" t="s">
        <v>56</v>
      </c>
      <c r="BM198" t="s">
        <v>56</v>
      </c>
      <c r="BN198" t="s">
        <v>56</v>
      </c>
      <c r="BO198" t="s">
        <v>56</v>
      </c>
      <c r="BP198" t="s">
        <v>56</v>
      </c>
      <c r="BQ198" t="s">
        <v>56</v>
      </c>
      <c r="BR198" t="s">
        <v>56</v>
      </c>
      <c r="BS198" t="s">
        <v>56</v>
      </c>
      <c r="BT198" t="s">
        <v>56</v>
      </c>
      <c r="BU198" t="s">
        <v>56</v>
      </c>
      <c r="BV198" t="s">
        <v>56</v>
      </c>
      <c r="BW198" t="s">
        <v>56</v>
      </c>
      <c r="BX198" t="str">
        <f>HYPERLINK(".\links\PREV-RHOD-CDS\TI_asb-328-PREV-RHOD-CDS.txt","Contig27227_1")</f>
        <v>Contig27227_1</v>
      </c>
      <c r="BY198" s="6">
        <v>0.43</v>
      </c>
      <c r="BZ198" t="s">
        <v>2065</v>
      </c>
      <c r="CA198">
        <v>36.200000000000003</v>
      </c>
      <c r="CB198">
        <v>17</v>
      </c>
      <c r="CC198">
        <v>138</v>
      </c>
      <c r="CD198">
        <v>100</v>
      </c>
      <c r="CE198">
        <v>13</v>
      </c>
      <c r="CF198">
        <v>0</v>
      </c>
      <c r="CG198">
        <v>0</v>
      </c>
      <c r="CH198">
        <v>64</v>
      </c>
      <c r="CI198">
        <v>7</v>
      </c>
      <c r="CJ198">
        <v>1</v>
      </c>
      <c r="CK198" t="s">
        <v>54</v>
      </c>
      <c r="CL198" t="s">
        <v>2066</v>
      </c>
      <c r="CM198">
        <f>HYPERLINK(".\links\GO\TI_asb-328-GO.txt",1.6)</f>
        <v>1.6</v>
      </c>
      <c r="CN198" t="s">
        <v>58</v>
      </c>
      <c r="CO198" t="s">
        <v>58</v>
      </c>
      <c r="CQ198" t="s">
        <v>59</v>
      </c>
      <c r="CR198" s="6">
        <v>1.6</v>
      </c>
      <c r="CS198" t="s">
        <v>56</v>
      </c>
      <c r="CT198" t="s">
        <v>56</v>
      </c>
      <c r="CU198" t="s">
        <v>56</v>
      </c>
      <c r="CV198" t="s">
        <v>56</v>
      </c>
      <c r="CW198" s="6" t="s">
        <v>56</v>
      </c>
      <c r="CX198" t="s">
        <v>62</v>
      </c>
      <c r="CY198" t="s">
        <v>58</v>
      </c>
      <c r="DA198" t="s">
        <v>63</v>
      </c>
      <c r="DB198" s="6">
        <v>1.6</v>
      </c>
      <c r="DC198" t="str">
        <f>HYPERLINK(".\links\CDD\TI_asb-328-CDD.txt","SMN")</f>
        <v>SMN</v>
      </c>
      <c r="DD198" t="str">
        <f>HYPERLINK("http://www.ncbi.nlm.nih.gov/Structure/cdd/cddsrv.cgi?uid=pfam06003&amp;version=v4.0","2E-004")</f>
        <v>2E-004</v>
      </c>
      <c r="DE198" t="s">
        <v>2067</v>
      </c>
      <c r="DF198" t="str">
        <f>HYPERLINK(".\links\PFAM\TI_asb-328-PFAM.txt","SMN")</f>
        <v>SMN</v>
      </c>
      <c r="DG198" t="str">
        <f>HYPERLINK("http://pfam.sanger.ac.uk/family?acc=PF06003","5E-005")</f>
        <v>5E-005</v>
      </c>
      <c r="DH198" t="str">
        <f>HYPERLINK(".\links\PRK\TI_asb-328-PRK.txt","104 kDa microneme/rhoptry antigen")</f>
        <v>104 kDa microneme/rhoptry antigen</v>
      </c>
      <c r="DI198" s="6">
        <v>2.4E-2</v>
      </c>
      <c r="DJ198" s="6" t="str">
        <f>HYPERLINK(".\links\KOG\TI_asb-328-KOG.txt","Zn finger protein")</f>
        <v>Zn finger protein</v>
      </c>
      <c r="DK198" s="6" t="str">
        <f>HYPERLINK("http://www.ncbi.nlm.nih.gov/COG/grace/shokog.cgi?KOG2893","0.004")</f>
        <v>0.004</v>
      </c>
      <c r="DL198" s="6" t="s">
        <v>4337</v>
      </c>
      <c r="DM198" s="6" t="str">
        <f>HYPERLINK(".\links\KOG\TI_asb-328-KOG.txt","KOG2893")</f>
        <v>KOG2893</v>
      </c>
      <c r="DN198" t="str">
        <f>HYPERLINK(".\links\SMART\TI_asb-328-SMART.txt","Amelogenin")</f>
        <v>Amelogenin</v>
      </c>
      <c r="DO198" t="str">
        <f>HYPERLINK("http://smart.embl-heidelberg.de/smart/do_annotation.pl?DOMAIN=Amelogenin&amp;BLAST=DUMMY","0.004")</f>
        <v>0.004</v>
      </c>
      <c r="DP198" s="3" t="s">
        <v>56</v>
      </c>
      <c r="ED198" s="3" t="s">
        <v>56</v>
      </c>
    </row>
    <row r="199" spans="1:134">
      <c r="A199" t="str">
        <f>HYPERLINK(".\links\seq\TI_asb-330-seq.txt","TI_asb-330")</f>
        <v>TI_asb-330</v>
      </c>
      <c r="B199">
        <v>330</v>
      </c>
      <c r="C199" t="str">
        <f>HYPERLINK(".\links\tsa\TI_asb-330-tsa.txt","1")</f>
        <v>1</v>
      </c>
      <c r="D199">
        <v>1</v>
      </c>
      <c r="E199">
        <v>162</v>
      </c>
      <c r="F199">
        <v>137</v>
      </c>
      <c r="G199" t="str">
        <f>HYPERLINK(".\links\qual\TI_asb-330-qual.txt","37")</f>
        <v>37</v>
      </c>
      <c r="H199">
        <v>1</v>
      </c>
      <c r="I199">
        <v>0</v>
      </c>
      <c r="J199">
        <f t="shared" si="10"/>
        <v>1</v>
      </c>
      <c r="K199" s="6">
        <f t="shared" si="11"/>
        <v>1</v>
      </c>
      <c r="L199" s="6" t="s">
        <v>3868</v>
      </c>
      <c r="M199" s="6" t="s">
        <v>3869</v>
      </c>
      <c r="N199" s="6"/>
      <c r="O199" s="6"/>
      <c r="P199" s="6"/>
      <c r="Q199" s="3">
        <v>162</v>
      </c>
      <c r="R199" s="3">
        <v>159</v>
      </c>
      <c r="S199" s="3" t="s">
        <v>3678</v>
      </c>
      <c r="T199" s="3">
        <v>4</v>
      </c>
      <c r="U199" t="s">
        <v>56</v>
      </c>
      <c r="V199" t="s">
        <v>56</v>
      </c>
      <c r="W199" t="s">
        <v>56</v>
      </c>
      <c r="X199" t="s">
        <v>56</v>
      </c>
      <c r="Y199" t="s">
        <v>56</v>
      </c>
      <c r="Z199" t="s">
        <v>56</v>
      </c>
      <c r="AA199" t="s">
        <v>56</v>
      </c>
      <c r="AB199" t="s">
        <v>56</v>
      </c>
      <c r="AC199" t="s">
        <v>56</v>
      </c>
      <c r="AD199" t="s">
        <v>56</v>
      </c>
      <c r="AE199" t="s">
        <v>56</v>
      </c>
      <c r="AF199" t="s">
        <v>56</v>
      </c>
      <c r="AG199" t="s">
        <v>56</v>
      </c>
      <c r="AH199" t="s">
        <v>56</v>
      </c>
      <c r="AI199" t="s">
        <v>56</v>
      </c>
      <c r="AJ199" t="s">
        <v>56</v>
      </c>
      <c r="AK199" t="s">
        <v>56</v>
      </c>
      <c r="AL199" t="s">
        <v>56</v>
      </c>
      <c r="AM199" t="s">
        <v>56</v>
      </c>
      <c r="AN199" s="19" t="s">
        <v>56</v>
      </c>
      <c r="AO199" t="s">
        <v>56</v>
      </c>
      <c r="AP199" t="s">
        <v>56</v>
      </c>
      <c r="AQ199" t="s">
        <v>56</v>
      </c>
      <c r="AR199" t="s">
        <v>56</v>
      </c>
      <c r="AS199" t="s">
        <v>56</v>
      </c>
      <c r="AT199" t="s">
        <v>56</v>
      </c>
      <c r="AU199" t="s">
        <v>56</v>
      </c>
      <c r="AV199" t="s">
        <v>56</v>
      </c>
      <c r="AW199" t="s">
        <v>56</v>
      </c>
      <c r="AX199" t="s">
        <v>56</v>
      </c>
      <c r="AY199" t="s">
        <v>56</v>
      </c>
      <c r="AZ199" t="s">
        <v>56</v>
      </c>
      <c r="BA199" t="s">
        <v>56</v>
      </c>
      <c r="BB199" t="s">
        <v>56</v>
      </c>
      <c r="BC199" t="s">
        <v>56</v>
      </c>
      <c r="BD199" t="s">
        <v>56</v>
      </c>
      <c r="BE199" t="s">
        <v>56</v>
      </c>
      <c r="BF199" t="s">
        <v>56</v>
      </c>
      <c r="BG199" t="str">
        <f>HYPERLINK(".\links\PREV-RHOD-PEP\TI_asb-330-PREV-RHOD-PEP.txt","Contig17959_137")</f>
        <v>Contig17959_137</v>
      </c>
      <c r="BH199" s="6">
        <v>8.5</v>
      </c>
      <c r="BI199" t="str">
        <f>HYPERLINK(".\links\PREV-RHOD-PEP\TI_asb-330-PREV-RHOD-PEP.txt"," 1")</f>
        <v xml:space="preserve"> 1</v>
      </c>
      <c r="BJ199" t="s">
        <v>2068</v>
      </c>
      <c r="BK199">
        <v>25.4</v>
      </c>
      <c r="BL199">
        <v>21</v>
      </c>
      <c r="BM199">
        <v>121</v>
      </c>
      <c r="BN199">
        <v>52</v>
      </c>
      <c r="BO199">
        <v>17</v>
      </c>
      <c r="BP199">
        <v>10</v>
      </c>
      <c r="BQ199">
        <v>0</v>
      </c>
      <c r="BR199">
        <v>28</v>
      </c>
      <c r="BS199">
        <v>73</v>
      </c>
      <c r="BT199">
        <v>1</v>
      </c>
      <c r="BU199" t="s">
        <v>64</v>
      </c>
      <c r="BV199" t="s">
        <v>2069</v>
      </c>
      <c r="BW199" t="s">
        <v>56</v>
      </c>
      <c r="BX199" t="str">
        <f>HYPERLINK(".\links\PREV-RHOD-CDS\TI_asb-330-PREV-RHOD-CDS.txt","Contig17521_5")</f>
        <v>Contig17521_5</v>
      </c>
      <c r="BY199" s="6">
        <v>0.28999999999999998</v>
      </c>
      <c r="BZ199" t="s">
        <v>2070</v>
      </c>
      <c r="CA199">
        <v>34.200000000000003</v>
      </c>
      <c r="CB199">
        <v>16</v>
      </c>
      <c r="CC199">
        <v>711</v>
      </c>
      <c r="CD199">
        <v>100</v>
      </c>
      <c r="CE199">
        <v>2</v>
      </c>
      <c r="CF199">
        <v>0</v>
      </c>
      <c r="CG199">
        <v>0</v>
      </c>
      <c r="CH199">
        <v>605</v>
      </c>
      <c r="CI199">
        <v>31</v>
      </c>
      <c r="CJ199">
        <v>1</v>
      </c>
      <c r="CK199" t="s">
        <v>64</v>
      </c>
      <c r="CL199" t="s">
        <v>2071</v>
      </c>
      <c r="CM199">
        <f>HYPERLINK(".\links\GO\TI_asb-330-GO.txt",4.3)</f>
        <v>4.3</v>
      </c>
      <c r="CN199" t="s">
        <v>58</v>
      </c>
      <c r="CO199" t="s">
        <v>58</v>
      </c>
      <c r="CQ199" t="s">
        <v>59</v>
      </c>
      <c r="CR199" s="6">
        <v>4.3</v>
      </c>
      <c r="CS199" t="s">
        <v>60</v>
      </c>
      <c r="CT199" t="s">
        <v>60</v>
      </c>
      <c r="CV199" t="s">
        <v>61</v>
      </c>
      <c r="CW199" s="6">
        <v>4.3</v>
      </c>
      <c r="CX199" t="s">
        <v>62</v>
      </c>
      <c r="CY199" t="s">
        <v>58</v>
      </c>
      <c r="DA199" t="s">
        <v>63</v>
      </c>
      <c r="DB199" s="6">
        <v>4.3</v>
      </c>
      <c r="DC199" t="s">
        <v>56</v>
      </c>
      <c r="DD199" t="s">
        <v>56</v>
      </c>
      <c r="DE199" t="s">
        <v>56</v>
      </c>
      <c r="DF199" t="s">
        <v>56</v>
      </c>
      <c r="DG199" t="s">
        <v>56</v>
      </c>
      <c r="DH199" t="s">
        <v>56</v>
      </c>
      <c r="DI199" s="6" t="s">
        <v>56</v>
      </c>
      <c r="DJ199" s="6" t="s">
        <v>56</v>
      </c>
      <c r="DN199" t="str">
        <f>HYPERLINK(".\links\SMART\TI_asb-330-SMART.txt","ACR")</f>
        <v>ACR</v>
      </c>
      <c r="DO199" t="str">
        <f>HYPERLINK("http://smart.embl-heidelberg.de/smart/do_annotation.pl?DOMAIN=ACR&amp;BLAST=DUMMY","0.082")</f>
        <v>0.082</v>
      </c>
      <c r="DP199" s="3" t="s">
        <v>56</v>
      </c>
      <c r="ED199" s="3" t="s">
        <v>56</v>
      </c>
    </row>
    <row r="200" spans="1:134">
      <c r="A200" t="str">
        <f>HYPERLINK(".\links\seq\TI_asb-331-seq.txt","TI_asb-331")</f>
        <v>TI_asb-331</v>
      </c>
      <c r="B200">
        <v>331</v>
      </c>
      <c r="C200" t="str">
        <f>HYPERLINK(".\links\tsa\TI_asb-331-tsa.txt","1")</f>
        <v>1</v>
      </c>
      <c r="D200">
        <v>1</v>
      </c>
      <c r="E200">
        <v>74</v>
      </c>
      <c r="F200">
        <v>35</v>
      </c>
      <c r="G200" t="str">
        <f>HYPERLINK(".\links\qual\TI_asb-331-qual.txt","15")</f>
        <v>15</v>
      </c>
      <c r="H200">
        <v>0</v>
      </c>
      <c r="I200">
        <v>1</v>
      </c>
      <c r="J200">
        <f t="shared" si="10"/>
        <v>1</v>
      </c>
      <c r="K200" s="6">
        <f t="shared" si="11"/>
        <v>-1</v>
      </c>
      <c r="L200" s="6" t="s">
        <v>3868</v>
      </c>
      <c r="M200" s="6" t="s">
        <v>3869</v>
      </c>
      <c r="N200" s="6"/>
      <c r="O200" s="6"/>
      <c r="P200" s="6"/>
      <c r="Q200" s="3">
        <v>74</v>
      </c>
      <c r="R200" s="3">
        <v>72</v>
      </c>
      <c r="S200" s="3" t="s">
        <v>3679</v>
      </c>
      <c r="T200" s="3">
        <v>1</v>
      </c>
      <c r="U200" t="s">
        <v>56</v>
      </c>
      <c r="V200" t="s">
        <v>56</v>
      </c>
      <c r="W200" t="s">
        <v>56</v>
      </c>
      <c r="X200" t="s">
        <v>56</v>
      </c>
      <c r="Y200" t="s">
        <v>56</v>
      </c>
      <c r="Z200" t="s">
        <v>56</v>
      </c>
      <c r="AA200" t="s">
        <v>56</v>
      </c>
      <c r="AB200" t="s">
        <v>56</v>
      </c>
      <c r="AC200" t="s">
        <v>56</v>
      </c>
      <c r="AD200" t="s">
        <v>56</v>
      </c>
      <c r="AE200" t="s">
        <v>56</v>
      </c>
      <c r="AF200" t="s">
        <v>56</v>
      </c>
      <c r="AG200" t="s">
        <v>56</v>
      </c>
      <c r="AH200" t="s">
        <v>56</v>
      </c>
      <c r="AI200" t="s">
        <v>56</v>
      </c>
      <c r="AJ200" t="s">
        <v>56</v>
      </c>
      <c r="AK200" t="s">
        <v>56</v>
      </c>
      <c r="AL200" t="s">
        <v>56</v>
      </c>
      <c r="AM200" t="s">
        <v>56</v>
      </c>
      <c r="AN200" s="19" t="s">
        <v>56</v>
      </c>
      <c r="AO200" t="s">
        <v>56</v>
      </c>
      <c r="AP200" t="s">
        <v>56</v>
      </c>
      <c r="AQ200" t="s">
        <v>56</v>
      </c>
      <c r="AR200" t="s">
        <v>56</v>
      </c>
      <c r="AS200" t="s">
        <v>56</v>
      </c>
      <c r="AT200" t="s">
        <v>56</v>
      </c>
      <c r="AU200" t="s">
        <v>56</v>
      </c>
      <c r="AV200" t="s">
        <v>56</v>
      </c>
      <c r="AW200" t="s">
        <v>56</v>
      </c>
      <c r="AX200" t="s">
        <v>56</v>
      </c>
      <c r="AY200" t="s">
        <v>56</v>
      </c>
      <c r="AZ200" t="s">
        <v>56</v>
      </c>
      <c r="BA200" t="s">
        <v>56</v>
      </c>
      <c r="BB200" t="s">
        <v>56</v>
      </c>
      <c r="BC200" t="s">
        <v>56</v>
      </c>
      <c r="BD200" t="s">
        <v>56</v>
      </c>
      <c r="BE200" t="s">
        <v>56</v>
      </c>
      <c r="BF200" t="s">
        <v>56</v>
      </c>
      <c r="BG200" t="s">
        <v>56</v>
      </c>
      <c r="BH200" s="6" t="s">
        <v>56</v>
      </c>
      <c r="BI200" t="s">
        <v>56</v>
      </c>
      <c r="BJ200" t="s">
        <v>56</v>
      </c>
      <c r="BK200" t="s">
        <v>56</v>
      </c>
      <c r="BL200" t="s">
        <v>56</v>
      </c>
      <c r="BM200" t="s">
        <v>56</v>
      </c>
      <c r="BN200" t="s">
        <v>56</v>
      </c>
      <c r="BO200" t="s">
        <v>56</v>
      </c>
      <c r="BP200" t="s">
        <v>56</v>
      </c>
      <c r="BQ200" t="s">
        <v>56</v>
      </c>
      <c r="BR200" t="s">
        <v>56</v>
      </c>
      <c r="BS200" t="s">
        <v>56</v>
      </c>
      <c r="BT200" t="s">
        <v>56</v>
      </c>
      <c r="BU200" t="s">
        <v>56</v>
      </c>
      <c r="BV200" t="s">
        <v>56</v>
      </c>
      <c r="BW200" t="s">
        <v>56</v>
      </c>
      <c r="BX200" t="str">
        <f>HYPERLINK(".\links\PREV-RHOD-CDS\TI_asb-331-PREV-RHOD-CDS.txt","Contig8147_1")</f>
        <v>Contig8147_1</v>
      </c>
      <c r="BY200" s="6">
        <v>1.8</v>
      </c>
      <c r="BZ200" t="s">
        <v>2072</v>
      </c>
      <c r="CA200">
        <v>30.2</v>
      </c>
      <c r="CB200">
        <v>14</v>
      </c>
      <c r="CC200">
        <v>69</v>
      </c>
      <c r="CD200">
        <v>100</v>
      </c>
      <c r="CE200">
        <v>22</v>
      </c>
      <c r="CF200">
        <v>0</v>
      </c>
      <c r="CG200">
        <v>0</v>
      </c>
      <c r="CH200">
        <v>37</v>
      </c>
      <c r="CI200">
        <v>19</v>
      </c>
      <c r="CJ200">
        <v>1</v>
      </c>
      <c r="CK200" t="s">
        <v>54</v>
      </c>
      <c r="CL200" t="s">
        <v>56</v>
      </c>
      <c r="CM200" t="s">
        <v>56</v>
      </c>
      <c r="CN200" t="s">
        <v>56</v>
      </c>
      <c r="CO200" t="s">
        <v>56</v>
      </c>
      <c r="CP200" t="s">
        <v>56</v>
      </c>
      <c r="CQ200" t="s">
        <v>56</v>
      </c>
      <c r="CR200" s="6" t="s">
        <v>56</v>
      </c>
      <c r="CS200" t="s">
        <v>56</v>
      </c>
      <c r="CT200" t="s">
        <v>56</v>
      </c>
      <c r="CU200" t="s">
        <v>56</v>
      </c>
      <c r="CV200" t="s">
        <v>56</v>
      </c>
      <c r="CW200" s="6" t="s">
        <v>56</v>
      </c>
      <c r="CX200" t="s">
        <v>56</v>
      </c>
      <c r="CY200" t="s">
        <v>56</v>
      </c>
      <c r="CZ200" t="s">
        <v>56</v>
      </c>
      <c r="DA200" t="s">
        <v>56</v>
      </c>
      <c r="DB200" s="6" t="s">
        <v>56</v>
      </c>
      <c r="DC200" t="s">
        <v>56</v>
      </c>
      <c r="DD200" t="s">
        <v>56</v>
      </c>
      <c r="DE200" t="s">
        <v>56</v>
      </c>
      <c r="DF200" t="s">
        <v>56</v>
      </c>
      <c r="DG200" t="s">
        <v>56</v>
      </c>
      <c r="DH200" t="s">
        <v>56</v>
      </c>
      <c r="DI200" s="6" t="s">
        <v>56</v>
      </c>
      <c r="DJ200" s="6" t="s">
        <v>56</v>
      </c>
      <c r="DN200" t="s">
        <v>56</v>
      </c>
      <c r="DO200" t="s">
        <v>56</v>
      </c>
      <c r="DP200" s="3" t="str">
        <f>HYPERLINK(".\links\RRNA\TI_asb-331-RRNA.txt","Amblyomma americanum 18S rRNA sequence")</f>
        <v>Amblyomma americanum 18S rRNA sequence</v>
      </c>
      <c r="DQ200" s="3" t="str">
        <f>HYPERLINK("http://www.ncbi.nlm.nih.gov/entrez/viewer.fcgi?db=nucleotide&amp;val=173606","3E-006")</f>
        <v>3E-006</v>
      </c>
      <c r="DR200" s="3" t="str">
        <f>HYPERLINK("http://www.ncbi.nlm.nih.gov/entrez/viewer.fcgi?db=nucleotide&amp;val=173606","gi|173606")</f>
        <v>gi|173606</v>
      </c>
      <c r="DS200" s="3">
        <v>46.1</v>
      </c>
      <c r="DT200" s="3">
        <v>26</v>
      </c>
      <c r="DU200" s="3">
        <v>1441</v>
      </c>
      <c r="DV200" s="3">
        <v>96</v>
      </c>
      <c r="DW200" s="3">
        <v>2</v>
      </c>
      <c r="DX200" s="3">
        <v>1</v>
      </c>
      <c r="DY200" s="3">
        <v>0</v>
      </c>
      <c r="DZ200" s="3">
        <v>968</v>
      </c>
      <c r="EA200" s="3">
        <v>1</v>
      </c>
      <c r="EB200" s="3">
        <v>1</v>
      </c>
      <c r="EC200" s="3" t="s">
        <v>54</v>
      </c>
      <c r="ED200" s="3" t="s">
        <v>56</v>
      </c>
    </row>
    <row r="201" spans="1:134">
      <c r="A201" t="str">
        <f>HYPERLINK(".\links\seq\TI_asb-332-seq.txt","TI_asb-332")</f>
        <v>TI_asb-332</v>
      </c>
      <c r="B201">
        <v>332</v>
      </c>
      <c r="C201" t="str">
        <f>HYPERLINK(".\links\tsa\TI_asb-332-tsa.txt","1")</f>
        <v>1</v>
      </c>
      <c r="D201">
        <v>1</v>
      </c>
      <c r="E201">
        <v>675</v>
      </c>
      <c r="F201">
        <v>652</v>
      </c>
      <c r="G201" t="str">
        <f>HYPERLINK(".\links\qual\TI_asb-332-qual.txt","39")</f>
        <v>39</v>
      </c>
      <c r="H201">
        <v>1</v>
      </c>
      <c r="I201">
        <v>0</v>
      </c>
      <c r="J201">
        <f t="shared" si="10"/>
        <v>1</v>
      </c>
      <c r="K201" s="6">
        <f t="shared" si="11"/>
        <v>1</v>
      </c>
      <c r="L201" s="6" t="s">
        <v>4015</v>
      </c>
      <c r="M201" s="6" t="s">
        <v>3912</v>
      </c>
      <c r="N201" s="6" t="s">
        <v>3884</v>
      </c>
      <c r="O201" s="7">
        <v>1.9999999999999999E-81</v>
      </c>
      <c r="P201" s="6">
        <v>97.9</v>
      </c>
      <c r="Q201" s="3">
        <v>675</v>
      </c>
      <c r="R201" s="3">
        <v>471</v>
      </c>
      <c r="S201" s="3" t="s">
        <v>3680</v>
      </c>
      <c r="T201" s="3">
        <v>2</v>
      </c>
      <c r="U201" t="str">
        <f>HYPERLINK(".\links\NR-LIGHT\TI_asb-332-NR-LIGHT.txt","effete")</f>
        <v>effete</v>
      </c>
      <c r="V201" t="str">
        <f>HYPERLINK("http://www.ncbi.nlm.nih.gov/sutils/blink.cgi?pid=24646906","3E-080")</f>
        <v>3E-080</v>
      </c>
      <c r="W201" t="str">
        <f>HYPERLINK(".\links\NR-LIGHT\TI_asb-332-NR-LIGHT.txt"," 10")</f>
        <v xml:space="preserve"> 10</v>
      </c>
      <c r="X201" t="str">
        <f>HYPERLINK("http://www.ncbi.nlm.nih.gov/protein/24646906","gi|24646906")</f>
        <v>gi|24646906</v>
      </c>
      <c r="Y201">
        <v>300</v>
      </c>
      <c r="Z201">
        <v>144</v>
      </c>
      <c r="AA201">
        <v>147</v>
      </c>
      <c r="AB201">
        <v>97</v>
      </c>
      <c r="AC201">
        <v>98</v>
      </c>
      <c r="AD201">
        <v>3</v>
      </c>
      <c r="AE201">
        <v>0</v>
      </c>
      <c r="AF201">
        <v>4</v>
      </c>
      <c r="AG201">
        <v>92</v>
      </c>
      <c r="AH201">
        <v>1</v>
      </c>
      <c r="AI201">
        <v>2</v>
      </c>
      <c r="AJ201" t="s">
        <v>53</v>
      </c>
      <c r="AK201" t="s">
        <v>54</v>
      </c>
      <c r="AL201" t="s">
        <v>4266</v>
      </c>
      <c r="AM201" t="str">
        <f>HYPERLINK(".\links\SWISSP\TI_asb-332-SWISSP.txt","Ubiquitin-conjugating enzyme E2-17 kDa OS=Drosophila melanogaster GN=eff PE=1")</f>
        <v>Ubiquitin-conjugating enzyme E2-17 kDa OS=Drosophila melanogaster GN=eff PE=1</v>
      </c>
      <c r="AN201" s="19" t="str">
        <f>HYPERLINK("http://www.uniprot.org/uniprot/P25867","7E-081")</f>
        <v>7E-081</v>
      </c>
      <c r="AO201" t="str">
        <f>HYPERLINK(".\links\SWISSP\TI_asb-332-SWISSP.txt"," 10")</f>
        <v xml:space="preserve"> 10</v>
      </c>
      <c r="AP201" t="s">
        <v>2073</v>
      </c>
      <c r="AQ201">
        <v>300</v>
      </c>
      <c r="AR201">
        <v>144</v>
      </c>
      <c r="AS201">
        <v>147</v>
      </c>
      <c r="AT201">
        <v>97</v>
      </c>
      <c r="AU201">
        <v>98</v>
      </c>
      <c r="AV201">
        <v>3</v>
      </c>
      <c r="AW201">
        <v>0</v>
      </c>
      <c r="AX201">
        <v>4</v>
      </c>
      <c r="AY201">
        <v>92</v>
      </c>
      <c r="AZ201">
        <v>1</v>
      </c>
      <c r="BA201">
        <v>2</v>
      </c>
      <c r="BB201" t="s">
        <v>53</v>
      </c>
      <c r="BC201" t="s">
        <v>54</v>
      </c>
      <c r="BD201" t="s">
        <v>143</v>
      </c>
      <c r="BE201" t="s">
        <v>2074</v>
      </c>
      <c r="BF201" t="s">
        <v>2075</v>
      </c>
      <c r="BG201" t="str">
        <f>HYPERLINK(".\links\PREV-RHOD-PEP\TI_asb-332-PREV-RHOD-PEP.txt","Contig18002_12")</f>
        <v>Contig18002_12</v>
      </c>
      <c r="BH201" s="7">
        <v>4.9999999999999998E-82</v>
      </c>
      <c r="BI201" t="str">
        <f>HYPERLINK(".\links\PREV-RHOD-PEP\TI_asb-332-PREV-RHOD-PEP.txt"," 10")</f>
        <v xml:space="preserve"> 10</v>
      </c>
      <c r="BJ201" t="s">
        <v>2076</v>
      </c>
      <c r="BK201">
        <v>300</v>
      </c>
      <c r="BL201">
        <v>144</v>
      </c>
      <c r="BM201">
        <v>147</v>
      </c>
      <c r="BN201">
        <v>97</v>
      </c>
      <c r="BO201">
        <v>98</v>
      </c>
      <c r="BP201">
        <v>3</v>
      </c>
      <c r="BQ201">
        <v>0</v>
      </c>
      <c r="BR201">
        <v>4</v>
      </c>
      <c r="BS201">
        <v>92</v>
      </c>
      <c r="BT201">
        <v>1</v>
      </c>
      <c r="BU201" t="s">
        <v>54</v>
      </c>
      <c r="BV201" t="s">
        <v>2077</v>
      </c>
      <c r="BW201" t="s">
        <v>56</v>
      </c>
      <c r="BX201" t="str">
        <f>HYPERLINK(".\links\PREV-RHOD-CDS\TI_asb-332-PREV-RHOD-CDS.txt","Contig18002_12")</f>
        <v>Contig18002_12</v>
      </c>
      <c r="BY201" s="6">
        <v>0</v>
      </c>
      <c r="BZ201" t="s">
        <v>2076</v>
      </c>
      <c r="CA201">
        <v>728</v>
      </c>
      <c r="CB201">
        <v>434</v>
      </c>
      <c r="CC201">
        <v>444</v>
      </c>
      <c r="CD201">
        <v>96</v>
      </c>
      <c r="CE201">
        <v>98</v>
      </c>
      <c r="CF201">
        <v>17</v>
      </c>
      <c r="CG201">
        <v>0</v>
      </c>
      <c r="CH201">
        <v>10</v>
      </c>
      <c r="CI201">
        <v>92</v>
      </c>
      <c r="CJ201">
        <v>1</v>
      </c>
      <c r="CK201" t="s">
        <v>54</v>
      </c>
      <c r="CL201" t="s">
        <v>2078</v>
      </c>
      <c r="CM201">
        <f>HYPERLINK(".\links\GO\TI_asb-332-GO.txt",2E-81)</f>
        <v>1.9999999999999999E-81</v>
      </c>
      <c r="CN201" t="s">
        <v>56</v>
      </c>
      <c r="CO201" t="s">
        <v>56</v>
      </c>
      <c r="CP201" t="s">
        <v>56</v>
      </c>
      <c r="CQ201" t="s">
        <v>56</v>
      </c>
      <c r="CR201" s="6" t="s">
        <v>56</v>
      </c>
      <c r="CS201" t="s">
        <v>60</v>
      </c>
      <c r="CT201" t="s">
        <v>60</v>
      </c>
      <c r="CV201" t="s">
        <v>61</v>
      </c>
      <c r="CW201" s="7">
        <v>3.0000000000000002E-76</v>
      </c>
      <c r="CX201" t="s">
        <v>56</v>
      </c>
      <c r="CY201" t="s">
        <v>56</v>
      </c>
      <c r="CZ201" t="s">
        <v>56</v>
      </c>
      <c r="DA201" t="s">
        <v>56</v>
      </c>
      <c r="DB201" s="6" t="s">
        <v>56</v>
      </c>
      <c r="DC201" t="str">
        <f>HYPERLINK(".\links\CDD\TI_asb-332-CDD.txt","UQ_con")</f>
        <v>UQ_con</v>
      </c>
      <c r="DD201" t="str">
        <f>HYPERLINK("http://www.ncbi.nlm.nih.gov/Structure/cdd/cddsrv.cgi?uid=pfam00179&amp;version=v4.0","5E-061")</f>
        <v>5E-061</v>
      </c>
      <c r="DE201" t="s">
        <v>2079</v>
      </c>
      <c r="DF201" t="str">
        <f>HYPERLINK(".\links\PFAM\TI_asb-332-PFAM.txt","UQ_con")</f>
        <v>UQ_con</v>
      </c>
      <c r="DG201" t="str">
        <f>HYPERLINK("http://pfam.sanger.ac.uk/family?acc=PF00179","1E-061")</f>
        <v>1E-061</v>
      </c>
      <c r="DH201" t="str">
        <f>HYPERLINK(".\links\PRK\TI_asb-332-PRK.txt","ubiquitin conjugating enzyme")</f>
        <v>ubiquitin conjugating enzyme</v>
      </c>
      <c r="DI201" s="7">
        <v>7.9999999999999994E-65</v>
      </c>
      <c r="DJ201" s="6" t="str">
        <f>HYPERLINK(".\links\KOG\TI_asb-332-KOG.txt","Ubiquitin-protein ligase")</f>
        <v>Ubiquitin-protein ligase</v>
      </c>
      <c r="DK201" s="6" t="str">
        <f>HYPERLINK("http://www.ncbi.nlm.nih.gov/COG/grace/shokog.cgi?KOG0417","1E-077")</f>
        <v>1E-077</v>
      </c>
      <c r="DL201" s="6" t="s">
        <v>4340</v>
      </c>
      <c r="DM201" s="6" t="str">
        <f>HYPERLINK(".\links\KOG\TI_asb-332-KOG.txt","KOG0417")</f>
        <v>KOG0417</v>
      </c>
      <c r="DN201" t="str">
        <f>HYPERLINK(".\links\SMART\TI_asb-332-SMART.txt","UBCc")</f>
        <v>UBCc</v>
      </c>
      <c r="DO201" t="str">
        <f>HYPERLINK("http://smart.embl-heidelberg.de/smart/do_annotation.pl?DOMAIN=UBCc&amp;BLAST=DUMMY","2E-061")</f>
        <v>2E-061</v>
      </c>
      <c r="DP201" s="3" t="s">
        <v>56</v>
      </c>
      <c r="ED201" s="3" t="s">
        <v>56</v>
      </c>
    </row>
    <row r="202" spans="1:134">
      <c r="A202" t="str">
        <f>HYPERLINK(".\links\seq\TI_asb-334-seq.txt","TI_asb-334")</f>
        <v>TI_asb-334</v>
      </c>
      <c r="B202">
        <v>334</v>
      </c>
      <c r="C202" t="str">
        <f>HYPERLINK(".\links\tsa\TI_asb-334-tsa.txt","1")</f>
        <v>1</v>
      </c>
      <c r="D202">
        <v>1</v>
      </c>
      <c r="E202">
        <v>498</v>
      </c>
      <c r="G202" t="str">
        <f>HYPERLINK(".\links\qual\TI_asb-334-qual.txt","50")</f>
        <v>50</v>
      </c>
      <c r="H202">
        <v>1</v>
      </c>
      <c r="I202">
        <v>0</v>
      </c>
      <c r="J202">
        <f t="shared" si="10"/>
        <v>1</v>
      </c>
      <c r="K202" s="6">
        <f t="shared" si="11"/>
        <v>1</v>
      </c>
      <c r="L202" s="6" t="s">
        <v>3868</v>
      </c>
      <c r="M202" s="6" t="s">
        <v>3869</v>
      </c>
      <c r="N202" s="6"/>
      <c r="O202" s="6"/>
      <c r="P202" s="6"/>
      <c r="Q202" s="3">
        <v>498</v>
      </c>
      <c r="R202" s="3">
        <v>318</v>
      </c>
      <c r="S202" s="3" t="s">
        <v>3681</v>
      </c>
      <c r="T202" s="3">
        <v>3</v>
      </c>
      <c r="U202" t="str">
        <f>HYPERLINK(".\links\NR-LIGHT\TI_asb-334-NR-LIGHT.txt","Lian-Aa1 retrotransposon protein")</f>
        <v>Lian-Aa1 retrotransposon protein</v>
      </c>
      <c r="V202" t="str">
        <f>HYPERLINK("http://www.ncbi.nlm.nih.gov/sutils/blink.cgi?pid=2290213","1E-004")</f>
        <v>1E-004</v>
      </c>
      <c r="W202" t="str">
        <f>HYPERLINK(".\links\NR-LIGHT\TI_asb-334-NR-LIGHT.txt"," 10")</f>
        <v xml:space="preserve"> 10</v>
      </c>
      <c r="X202" t="str">
        <f>HYPERLINK("http://www.ncbi.nlm.nih.gov/protein/2290213","gi|2290213")</f>
        <v>gi|2290213</v>
      </c>
      <c r="Y202">
        <v>48.1</v>
      </c>
      <c r="Z202">
        <v>81</v>
      </c>
      <c r="AA202">
        <v>1189</v>
      </c>
      <c r="AB202">
        <v>32</v>
      </c>
      <c r="AC202">
        <v>7</v>
      </c>
      <c r="AD202">
        <v>55</v>
      </c>
      <c r="AE202">
        <v>0</v>
      </c>
      <c r="AF202">
        <v>1107</v>
      </c>
      <c r="AG202">
        <v>57</v>
      </c>
      <c r="AH202">
        <v>1</v>
      </c>
      <c r="AI202">
        <v>3</v>
      </c>
      <c r="AJ202" t="s">
        <v>53</v>
      </c>
      <c r="AK202" t="s">
        <v>54</v>
      </c>
      <c r="AL202" t="s">
        <v>120</v>
      </c>
      <c r="AM202" t="str">
        <f>HYPERLINK(".\links\SWISSP\TI_asb-334-SWISSP.txt","Immunoglobulin G-binding protein A OS=Staphylococcus aureus (strain NCTC 8325)")</f>
        <v>Immunoglobulin G-binding protein A OS=Staphylococcus aureus (strain NCTC 8325)</v>
      </c>
      <c r="AN202" s="19" t="str">
        <f>HYPERLINK("http://www.uniprot.org/uniprot/P02976","1.5")</f>
        <v>1.5</v>
      </c>
      <c r="AO202" t="str">
        <f>HYPERLINK(".\links\SWISSP\TI_asb-334-SWISSP.txt"," 10")</f>
        <v xml:space="preserve"> 10</v>
      </c>
      <c r="AP202" t="s">
        <v>2080</v>
      </c>
      <c r="AQ202">
        <v>32.299999999999997</v>
      </c>
      <c r="AR202">
        <v>32</v>
      </c>
      <c r="AS202">
        <v>516</v>
      </c>
      <c r="AT202">
        <v>43</v>
      </c>
      <c r="AU202">
        <v>6</v>
      </c>
      <c r="AV202">
        <v>18</v>
      </c>
      <c r="AW202">
        <v>0</v>
      </c>
      <c r="AX202">
        <v>328</v>
      </c>
      <c r="AY202">
        <v>267</v>
      </c>
      <c r="AZ202">
        <v>3</v>
      </c>
      <c r="BA202">
        <v>-2</v>
      </c>
      <c r="BB202" t="s">
        <v>53</v>
      </c>
      <c r="BC202" t="s">
        <v>64</v>
      </c>
      <c r="BD202" t="s">
        <v>2081</v>
      </c>
      <c r="BE202" t="s">
        <v>2082</v>
      </c>
      <c r="BF202" t="s">
        <v>2083</v>
      </c>
      <c r="BG202" t="str">
        <f>HYPERLINK(".\links\PREV-RHOD-PEP\TI_asb-334-PREV-RHOD-PEP.txt","Contig17927_21")</f>
        <v>Contig17927_21</v>
      </c>
      <c r="BH202" s="7">
        <v>4.9999999999999999E-13</v>
      </c>
      <c r="BI202" t="str">
        <f>HYPERLINK(".\links\PREV-RHOD-PEP\TI_asb-334-PREV-RHOD-PEP.txt"," 10")</f>
        <v xml:space="preserve"> 10</v>
      </c>
      <c r="BJ202" t="s">
        <v>2084</v>
      </c>
      <c r="BK202">
        <v>70.099999999999994</v>
      </c>
      <c r="BL202">
        <v>88</v>
      </c>
      <c r="BM202">
        <v>278</v>
      </c>
      <c r="BN202">
        <v>37</v>
      </c>
      <c r="BO202">
        <v>32</v>
      </c>
      <c r="BP202">
        <v>55</v>
      </c>
      <c r="BQ202">
        <v>0</v>
      </c>
      <c r="BR202">
        <v>191</v>
      </c>
      <c r="BS202">
        <v>51</v>
      </c>
      <c r="BT202">
        <v>1</v>
      </c>
      <c r="BU202" t="s">
        <v>54</v>
      </c>
      <c r="BV202" t="s">
        <v>2085</v>
      </c>
      <c r="BW202" t="s">
        <v>56</v>
      </c>
      <c r="BX202" t="str">
        <f>HYPERLINK(".\links\PREV-RHOD-CDS\TI_asb-334-PREV-RHOD-CDS.txt","Contig18035_43")</f>
        <v>Contig18035_43</v>
      </c>
      <c r="BY202" s="6">
        <v>6.2E-2</v>
      </c>
      <c r="BZ202" t="s">
        <v>2086</v>
      </c>
      <c r="CA202">
        <v>38.200000000000003</v>
      </c>
      <c r="CB202">
        <v>18</v>
      </c>
      <c r="CC202">
        <v>3480</v>
      </c>
      <c r="CD202">
        <v>100</v>
      </c>
      <c r="CE202">
        <v>1</v>
      </c>
      <c r="CF202">
        <v>0</v>
      </c>
      <c r="CG202">
        <v>0</v>
      </c>
      <c r="CH202">
        <v>2758</v>
      </c>
      <c r="CI202">
        <v>420</v>
      </c>
      <c r="CJ202">
        <v>1</v>
      </c>
      <c r="CK202" t="s">
        <v>54</v>
      </c>
      <c r="CL202" t="s">
        <v>2087</v>
      </c>
      <c r="CM202">
        <f>HYPERLINK(".\links\GO\TI_asb-334-GO.txt",0.58)</f>
        <v>0.57999999999999996</v>
      </c>
      <c r="CN202" t="s">
        <v>208</v>
      </c>
      <c r="CO202" t="s">
        <v>185</v>
      </c>
      <c r="CP202" t="s">
        <v>186</v>
      </c>
      <c r="CQ202" t="s">
        <v>209</v>
      </c>
      <c r="CR202" s="6">
        <v>1.7</v>
      </c>
      <c r="CS202" t="s">
        <v>2088</v>
      </c>
      <c r="CT202" t="s">
        <v>75</v>
      </c>
      <c r="CU202" t="s">
        <v>92</v>
      </c>
      <c r="CV202" t="s">
        <v>2089</v>
      </c>
      <c r="CW202" s="6">
        <v>1.7</v>
      </c>
      <c r="CX202" t="s">
        <v>2090</v>
      </c>
      <c r="CY202" t="s">
        <v>185</v>
      </c>
      <c r="CZ202" t="s">
        <v>186</v>
      </c>
      <c r="DA202" t="s">
        <v>2091</v>
      </c>
      <c r="DB202" s="6">
        <v>1.7</v>
      </c>
      <c r="DC202" t="str">
        <f>HYPERLINK(".\links\CDD\TI_asb-334-CDD.txt","GT1_Glycogen_Ph")</f>
        <v>GT1_Glycogen_Ph</v>
      </c>
      <c r="DD202" t="str">
        <f>HYPERLINK("http://www.ncbi.nlm.nih.gov/Structure/cdd/cddsrv.cgi?uid=cd04299&amp;version=v4.0","0.078")</f>
        <v>0.078</v>
      </c>
      <c r="DE202" t="s">
        <v>2092</v>
      </c>
      <c r="DF202" t="str">
        <f>HYPERLINK(".\links\PFAM\TI_asb-334-PFAM.txt","DUF1277")</f>
        <v>DUF1277</v>
      </c>
      <c r="DG202" t="str">
        <f>HYPERLINK("http://pfam.sanger.ac.uk/family?acc=PF06914","0.061")</f>
        <v>0.061</v>
      </c>
      <c r="DH202" t="s">
        <v>56</v>
      </c>
      <c r="DI202" s="6" t="s">
        <v>56</v>
      </c>
      <c r="DJ202" s="6" t="s">
        <v>56</v>
      </c>
      <c r="DN202" t="s">
        <v>56</v>
      </c>
      <c r="DO202" t="s">
        <v>56</v>
      </c>
      <c r="DP202" s="3" t="s">
        <v>56</v>
      </c>
      <c r="ED202" s="3" t="s">
        <v>56</v>
      </c>
    </row>
    <row r="203" spans="1:134">
      <c r="A203" t="str">
        <f>HYPERLINK(".\links\seq\TI_asb-335-seq.txt","TI_asb-335")</f>
        <v>TI_asb-335</v>
      </c>
      <c r="B203">
        <v>335</v>
      </c>
      <c r="C203" t="str">
        <f>HYPERLINK(".\links\tsa\TI_asb-335-tsa.txt","1")</f>
        <v>1</v>
      </c>
      <c r="D203">
        <v>1</v>
      </c>
      <c r="E203">
        <v>565</v>
      </c>
      <c r="F203">
        <v>438</v>
      </c>
      <c r="G203" t="str">
        <f>HYPERLINK(".\links\qual\TI_asb-335-qual.txt","38")</f>
        <v>38</v>
      </c>
      <c r="H203">
        <v>1</v>
      </c>
      <c r="I203">
        <v>0</v>
      </c>
      <c r="J203">
        <f t="shared" si="10"/>
        <v>1</v>
      </c>
      <c r="K203" s="6">
        <f t="shared" si="11"/>
        <v>1</v>
      </c>
      <c r="L203" s="6" t="s">
        <v>4016</v>
      </c>
      <c r="M203" s="6" t="s">
        <v>3874</v>
      </c>
      <c r="N203" s="6" t="s">
        <v>3909</v>
      </c>
      <c r="O203" s="7">
        <v>7.9999999999999998E-28</v>
      </c>
      <c r="P203" s="6">
        <v>39.200000000000003</v>
      </c>
      <c r="Q203" s="3">
        <v>565</v>
      </c>
      <c r="R203" s="3">
        <v>384</v>
      </c>
      <c r="S203" s="3" t="s">
        <v>3682</v>
      </c>
      <c r="T203" s="3">
        <v>2</v>
      </c>
      <c r="U203" t="str">
        <f>HYPERLINK(".\links\NR-LIGHT\TI_asb-335-NR-LIGHT.txt","hypothetical protein TcasGA2_TC000236")</f>
        <v>hypothetical protein TcasGA2_TC000236</v>
      </c>
      <c r="V203" t="str">
        <f>HYPERLINK("http://www.ncbi.nlm.nih.gov/sutils/blink.cgi?pid=270001417","4E-021")</f>
        <v>4E-021</v>
      </c>
      <c r="W203" t="str">
        <f>HYPERLINK(".\links\NR-LIGHT\TI_asb-335-NR-LIGHT.txt"," 10")</f>
        <v xml:space="preserve"> 10</v>
      </c>
      <c r="X203" t="str">
        <f>HYPERLINK("http://www.ncbi.nlm.nih.gov/protein/270001417","gi|270001417")</f>
        <v>gi|270001417</v>
      </c>
      <c r="Y203">
        <v>103</v>
      </c>
      <c r="Z203">
        <v>110</v>
      </c>
      <c r="AA203">
        <v>304</v>
      </c>
      <c r="AB203">
        <v>47</v>
      </c>
      <c r="AC203">
        <v>36</v>
      </c>
      <c r="AD203">
        <v>58</v>
      </c>
      <c r="AE203">
        <v>1</v>
      </c>
      <c r="AF203">
        <v>198</v>
      </c>
      <c r="AG203">
        <v>35</v>
      </c>
      <c r="AH203">
        <v>1</v>
      </c>
      <c r="AI203">
        <v>2</v>
      </c>
      <c r="AJ203" t="s">
        <v>53</v>
      </c>
      <c r="AK203" t="s">
        <v>54</v>
      </c>
      <c r="AL203" t="s">
        <v>79</v>
      </c>
      <c r="AM203" t="str">
        <f>HYPERLINK(".\links\SWISSP\TI_asb-335-SWISSP.txt","Pancreatic triacylglycerol lipase OS=Cavia porcellus GN=PNLIP PE=2 SV=1")</f>
        <v>Pancreatic triacylglycerol lipase OS=Cavia porcellus GN=PNLIP PE=2 SV=1</v>
      </c>
      <c r="AN203" s="19" t="str">
        <f>HYPERLINK("http://www.uniprot.org/uniprot/P50903","1E-009")</f>
        <v>1E-009</v>
      </c>
      <c r="AO203" t="str">
        <f>HYPERLINK(".\links\SWISSP\TI_asb-335-SWISSP.txt"," 10")</f>
        <v xml:space="preserve"> 10</v>
      </c>
      <c r="AP203" t="s">
        <v>2093</v>
      </c>
      <c r="AQ203">
        <v>63.2</v>
      </c>
      <c r="AR203">
        <v>139</v>
      </c>
      <c r="AS203">
        <v>465</v>
      </c>
      <c r="AT203">
        <v>31</v>
      </c>
      <c r="AU203">
        <v>30</v>
      </c>
      <c r="AV203">
        <v>95</v>
      </c>
      <c r="AW203">
        <v>32</v>
      </c>
      <c r="AX203">
        <v>217</v>
      </c>
      <c r="AY203">
        <v>35</v>
      </c>
      <c r="AZ203">
        <v>1</v>
      </c>
      <c r="BA203">
        <v>2</v>
      </c>
      <c r="BB203" t="s">
        <v>53</v>
      </c>
      <c r="BC203" t="s">
        <v>54</v>
      </c>
      <c r="BD203" t="s">
        <v>2094</v>
      </c>
      <c r="BE203" t="s">
        <v>2095</v>
      </c>
      <c r="BF203" t="s">
        <v>2096</v>
      </c>
      <c r="BG203" t="str">
        <f>HYPERLINK(".\links\PREV-RHOD-PEP\TI_asb-335-PREV-RHOD-PEP.txt","Contig15864_4")</f>
        <v>Contig15864_4</v>
      </c>
      <c r="BH203" s="7">
        <v>9.9999999999999997E-49</v>
      </c>
      <c r="BI203" t="str">
        <f>HYPERLINK(".\links\PREV-RHOD-PEP\TI_asb-335-PREV-RHOD-PEP.txt"," 10")</f>
        <v xml:space="preserve"> 10</v>
      </c>
      <c r="BJ203" t="s">
        <v>2097</v>
      </c>
      <c r="BK203">
        <v>188</v>
      </c>
      <c r="BL203">
        <v>113</v>
      </c>
      <c r="BM203">
        <v>907</v>
      </c>
      <c r="BN203">
        <v>75</v>
      </c>
      <c r="BO203">
        <v>12</v>
      </c>
      <c r="BP203">
        <v>28</v>
      </c>
      <c r="BQ203">
        <v>0</v>
      </c>
      <c r="BR203">
        <v>164</v>
      </c>
      <c r="BS203">
        <v>35</v>
      </c>
      <c r="BT203">
        <v>3</v>
      </c>
      <c r="BU203" t="s">
        <v>54</v>
      </c>
      <c r="BV203" t="s">
        <v>2098</v>
      </c>
      <c r="BW203" t="s">
        <v>56</v>
      </c>
      <c r="BX203" t="str">
        <f>HYPERLINK(".\links\PREV-RHOD-CDS\TI_asb-335-PREV-RHOD-CDS.txt","Contig15864_4")</f>
        <v>Contig15864_4</v>
      </c>
      <c r="BY203" s="7">
        <v>1E-25</v>
      </c>
      <c r="BZ203" t="s">
        <v>2097</v>
      </c>
      <c r="CA203">
        <v>117</v>
      </c>
      <c r="CB203">
        <v>166</v>
      </c>
      <c r="CC203">
        <v>2724</v>
      </c>
      <c r="CD203">
        <v>83</v>
      </c>
      <c r="CE203">
        <v>6</v>
      </c>
      <c r="CF203">
        <v>27</v>
      </c>
      <c r="CG203">
        <v>0</v>
      </c>
      <c r="CH203">
        <v>2425</v>
      </c>
      <c r="CI203">
        <v>80</v>
      </c>
      <c r="CJ203">
        <v>1</v>
      </c>
      <c r="CK203" t="s">
        <v>54</v>
      </c>
      <c r="CL203" t="s">
        <v>2099</v>
      </c>
      <c r="CM203">
        <f>HYPERLINK(".\links\GO\TI_asb-335-GO.txt",3E-20)</f>
        <v>3.0000000000000003E-20</v>
      </c>
      <c r="CN203" t="s">
        <v>2100</v>
      </c>
      <c r="CO203" t="s">
        <v>129</v>
      </c>
      <c r="CP203" t="s">
        <v>166</v>
      </c>
      <c r="CQ203" t="s">
        <v>2101</v>
      </c>
      <c r="CR203" s="6">
        <v>5.0000000000000003E-10</v>
      </c>
      <c r="CS203" t="s">
        <v>540</v>
      </c>
      <c r="CT203" t="s">
        <v>540</v>
      </c>
      <c r="CV203" t="s">
        <v>541</v>
      </c>
      <c r="CW203" s="6">
        <v>5.0000000000000003E-10</v>
      </c>
      <c r="CX203" t="s">
        <v>2102</v>
      </c>
      <c r="CY203" t="s">
        <v>129</v>
      </c>
      <c r="CZ203" t="s">
        <v>166</v>
      </c>
      <c r="DA203" t="s">
        <v>2103</v>
      </c>
      <c r="DB203" s="6">
        <v>5.0000000000000003E-10</v>
      </c>
      <c r="DC203" t="str">
        <f>HYPERLINK(".\links\CDD\TI_asb-335-CDD.txt","Pancreat_lipase")</f>
        <v>Pancreat_lipase</v>
      </c>
      <c r="DD203" t="str">
        <f>HYPERLINK("http://www.ncbi.nlm.nih.gov/Structure/cdd/cddsrv.cgi?uid=cd00707&amp;version=v4.0","8E-028")</f>
        <v>8E-028</v>
      </c>
      <c r="DE203" t="s">
        <v>2104</v>
      </c>
      <c r="DF203" t="str">
        <f>HYPERLINK(".\links\PFAM\TI_asb-335-PFAM.txt","Lipase")</f>
        <v>Lipase</v>
      </c>
      <c r="DG203" t="str">
        <f>HYPERLINK("http://pfam.sanger.ac.uk/family?acc=PF00151","3E-021")</f>
        <v>3E-021</v>
      </c>
      <c r="DH203" t="str">
        <f>HYPERLINK(".\links\PRK\TI_asb-335-PRK.txt","C/D box methylation guide ribonucleoprotein complex aNOP56 subunit")</f>
        <v>C/D box methylation guide ribonucleoprotein complex aNOP56 subunit</v>
      </c>
      <c r="DI203" s="7">
        <v>8.0000000000000002E-8</v>
      </c>
      <c r="DJ203" s="6" t="str">
        <f>HYPERLINK(".\links\KOG\TI_asb-335-KOG.txt","Ribosome biogenesis protein - Nop58p/Nop5p")</f>
        <v>Ribosome biogenesis protein - Nop58p/Nop5p</v>
      </c>
      <c r="DK203" s="6" t="str">
        <f>HYPERLINK("http://www.ncbi.nlm.nih.gov/COG/grace/shokog.cgi?KOG2572","4E-004")</f>
        <v>4E-004</v>
      </c>
      <c r="DL203" s="6" t="s">
        <v>4351</v>
      </c>
      <c r="DM203" s="6" t="str">
        <f>HYPERLINK(".\links\KOG\TI_asb-335-KOG.txt","KOG2572")</f>
        <v>KOG2572</v>
      </c>
      <c r="DN203" t="str">
        <f>HYPERLINK(".\links\SMART\TI_asb-335-SMART.txt","PSN")</f>
        <v>PSN</v>
      </c>
      <c r="DO203" t="str">
        <f>HYPERLINK("http://smart.embl-heidelberg.de/smart/do_annotation.pl?DOMAIN=PSN&amp;BLAST=DUMMY","7E-004")</f>
        <v>7E-004</v>
      </c>
      <c r="DP203" s="3" t="s">
        <v>56</v>
      </c>
      <c r="ED203" s="3" t="s">
        <v>56</v>
      </c>
    </row>
    <row r="204" spans="1:134">
      <c r="A204" t="str">
        <f>HYPERLINK(".\links\seq\TI_asb-336-seq.txt","TI_asb-336")</f>
        <v>TI_asb-336</v>
      </c>
      <c r="B204">
        <v>336</v>
      </c>
      <c r="C204" t="str">
        <f>HYPERLINK(".\links\tsa\TI_asb-336-tsa.txt","1")</f>
        <v>1</v>
      </c>
      <c r="D204">
        <v>1</v>
      </c>
      <c r="E204">
        <v>600</v>
      </c>
      <c r="G204" t="str">
        <f>HYPERLINK(".\links\qual\TI_asb-336-qual.txt","56")</f>
        <v>56</v>
      </c>
      <c r="H204">
        <v>0</v>
      </c>
      <c r="I204">
        <v>1</v>
      </c>
      <c r="J204">
        <f t="shared" si="10"/>
        <v>1</v>
      </c>
      <c r="K204" s="6">
        <f t="shared" si="11"/>
        <v>-1</v>
      </c>
      <c r="L204" s="6" t="s">
        <v>4017</v>
      </c>
      <c r="M204" s="6" t="s">
        <v>3866</v>
      </c>
      <c r="N204" s="6" t="s">
        <v>3872</v>
      </c>
      <c r="O204" s="7">
        <v>7.0000000000000004E-86</v>
      </c>
      <c r="P204" s="6">
        <v>72.3</v>
      </c>
      <c r="Q204" s="3">
        <v>600</v>
      </c>
      <c r="R204" s="3">
        <v>453</v>
      </c>
      <c r="S204" s="3" t="s">
        <v>3683</v>
      </c>
      <c r="T204" s="3">
        <v>2</v>
      </c>
      <c r="U204" t="str">
        <f>HYPERLINK(".\links\NR-LIGHT\TI_asb-336-NR-LIGHT.txt","ribosomal protein L5")</f>
        <v>ribosomal protein L5</v>
      </c>
      <c r="V204" t="str">
        <f>HYPERLINK("http://www.ncbi.nlm.nih.gov/sutils/blink.cgi?pid=307095210","9E-094")</f>
        <v>9E-094</v>
      </c>
      <c r="W204" t="str">
        <f>HYPERLINK(".\links\NR-LIGHT\TI_asb-336-NR-LIGHT.txt"," 10")</f>
        <v xml:space="preserve"> 10</v>
      </c>
      <c r="X204" t="str">
        <f>HYPERLINK("http://www.ncbi.nlm.nih.gov/protein/307095210","gi|307095210")</f>
        <v>gi|307095210</v>
      </c>
      <c r="Y204">
        <v>344</v>
      </c>
      <c r="Z204">
        <v>191</v>
      </c>
      <c r="AA204">
        <v>288</v>
      </c>
      <c r="AB204">
        <v>89</v>
      </c>
      <c r="AC204">
        <v>66</v>
      </c>
      <c r="AD204">
        <v>20</v>
      </c>
      <c r="AE204">
        <v>0</v>
      </c>
      <c r="AF204">
        <v>1</v>
      </c>
      <c r="AG204">
        <v>26</v>
      </c>
      <c r="AH204">
        <v>1</v>
      </c>
      <c r="AI204">
        <v>2</v>
      </c>
      <c r="AJ204" t="s">
        <v>53</v>
      </c>
      <c r="AK204" t="s">
        <v>54</v>
      </c>
      <c r="AL204" t="s">
        <v>258</v>
      </c>
      <c r="AM204" t="str">
        <f>HYPERLINK(".\links\SWISSP\TI_asb-336-SWISSP.txt","60S ribosomal protein L5 OS=Bombyx mori GN=RpL5 PE=2 SV=1")</f>
        <v>60S ribosomal protein L5 OS=Bombyx mori GN=RpL5 PE=2 SV=1</v>
      </c>
      <c r="AN204" s="19" t="str">
        <f>HYPERLINK("http://www.uniprot.org/uniprot/O76190","5E-087")</f>
        <v>5E-087</v>
      </c>
      <c r="AO204" t="str">
        <f>HYPERLINK(".\links\SWISSP\TI_asb-336-SWISSP.txt"," 10")</f>
        <v xml:space="preserve"> 10</v>
      </c>
      <c r="AP204" t="s">
        <v>2105</v>
      </c>
      <c r="AQ204">
        <v>320</v>
      </c>
      <c r="AR204">
        <v>191</v>
      </c>
      <c r="AS204">
        <v>299</v>
      </c>
      <c r="AT204">
        <v>80</v>
      </c>
      <c r="AU204">
        <v>64</v>
      </c>
      <c r="AV204">
        <v>38</v>
      </c>
      <c r="AW204">
        <v>0</v>
      </c>
      <c r="AX204">
        <v>1</v>
      </c>
      <c r="AY204">
        <v>26</v>
      </c>
      <c r="AZ204">
        <v>1</v>
      </c>
      <c r="BA204">
        <v>2</v>
      </c>
      <c r="BB204" t="s">
        <v>53</v>
      </c>
      <c r="BC204" t="s">
        <v>54</v>
      </c>
      <c r="BD204" t="s">
        <v>279</v>
      </c>
      <c r="BE204" t="s">
        <v>2106</v>
      </c>
      <c r="BF204" t="s">
        <v>2107</v>
      </c>
      <c r="BG204" t="str">
        <f>HYPERLINK(".\links\PREV-RHOD-PEP\TI_asb-336-PREV-RHOD-PEP.txt","Contig17959_111")</f>
        <v>Contig17959_111</v>
      </c>
      <c r="BH204" s="7">
        <v>4.9999999999999999E-96</v>
      </c>
      <c r="BI204" t="str">
        <f>HYPERLINK(".\links\PREV-RHOD-PEP\TI_asb-336-PREV-RHOD-PEP.txt"," 3")</f>
        <v xml:space="preserve"> 3</v>
      </c>
      <c r="BJ204" t="s">
        <v>2108</v>
      </c>
      <c r="BK204">
        <v>346</v>
      </c>
      <c r="BL204">
        <v>190</v>
      </c>
      <c r="BM204">
        <v>662</v>
      </c>
      <c r="BN204">
        <v>90</v>
      </c>
      <c r="BO204">
        <v>29</v>
      </c>
      <c r="BP204">
        <v>19</v>
      </c>
      <c r="BQ204">
        <v>0</v>
      </c>
      <c r="BR204">
        <v>416</v>
      </c>
      <c r="BS204">
        <v>29</v>
      </c>
      <c r="BT204">
        <v>1</v>
      </c>
      <c r="BU204" t="s">
        <v>54</v>
      </c>
      <c r="BV204" t="s">
        <v>2109</v>
      </c>
      <c r="BW204" t="s">
        <v>56</v>
      </c>
      <c r="BX204" t="str">
        <f>HYPERLINK(".\links\PREV-RHOD-CDS\TI_asb-336-PREV-RHOD-CDS.txt","Contig17959_111")</f>
        <v>Contig17959_111</v>
      </c>
      <c r="BY204" s="7">
        <v>1E-155</v>
      </c>
      <c r="BZ204" t="s">
        <v>2108</v>
      </c>
      <c r="CA204">
        <v>547</v>
      </c>
      <c r="CB204">
        <v>571</v>
      </c>
      <c r="CC204">
        <v>1989</v>
      </c>
      <c r="CD204">
        <v>87</v>
      </c>
      <c r="CE204">
        <v>29</v>
      </c>
      <c r="CF204">
        <v>74</v>
      </c>
      <c r="CG204">
        <v>0</v>
      </c>
      <c r="CH204">
        <v>1246</v>
      </c>
      <c r="CI204">
        <v>29</v>
      </c>
      <c r="CJ204">
        <v>1</v>
      </c>
      <c r="CK204" t="s">
        <v>54</v>
      </c>
      <c r="CL204" t="s">
        <v>2110</v>
      </c>
      <c r="CM204">
        <f>HYPERLINK(".\links\GO\TI_asb-336-GO.txt",9E-83)</f>
        <v>8.9999999999999999E-83</v>
      </c>
      <c r="CN204" t="s">
        <v>702</v>
      </c>
      <c r="CO204" t="s">
        <v>703</v>
      </c>
      <c r="CP204" t="s">
        <v>704</v>
      </c>
      <c r="CQ204" t="s">
        <v>705</v>
      </c>
      <c r="CR204" s="7">
        <v>8.9999999999999999E-83</v>
      </c>
      <c r="CS204" t="s">
        <v>706</v>
      </c>
      <c r="CT204" t="s">
        <v>75</v>
      </c>
      <c r="CU204" t="s">
        <v>76</v>
      </c>
      <c r="CV204" t="s">
        <v>707</v>
      </c>
      <c r="CW204" s="7">
        <v>8.9999999999999999E-83</v>
      </c>
      <c r="CX204" t="s">
        <v>708</v>
      </c>
      <c r="CY204" t="s">
        <v>703</v>
      </c>
      <c r="CZ204" t="s">
        <v>704</v>
      </c>
      <c r="DA204" t="s">
        <v>709</v>
      </c>
      <c r="DB204" s="7">
        <v>8.9999999999999999E-83</v>
      </c>
      <c r="DC204" t="str">
        <f>HYPERLINK(".\links\CDD\TI_asb-336-CDD.txt","PTZ00069")</f>
        <v>PTZ00069</v>
      </c>
      <c r="DD204" t="str">
        <f>HYPERLINK("http://www.ncbi.nlm.nih.gov/Structure/cdd/cddsrv.cgi?uid=PTZ00069&amp;version=v4.0","3E-098")</f>
        <v>3E-098</v>
      </c>
      <c r="DE204" t="s">
        <v>2111</v>
      </c>
      <c r="DF204" t="str">
        <f>HYPERLINK(".\links\PFAM\TI_asb-336-PFAM.txt","Ribosomal_L18p")</f>
        <v>Ribosomal_L18p</v>
      </c>
      <c r="DG204" t="str">
        <f>HYPERLINK("http://pfam.sanger.ac.uk/family?acc=PF00861","7E-037")</f>
        <v>7E-037</v>
      </c>
      <c r="DH204" t="str">
        <f>HYPERLINK(".\links\PRK\TI_asb-336-PRK.txt","60S ribosomal protein L5")</f>
        <v>60S ribosomal protein L5</v>
      </c>
      <c r="DI204" s="7">
        <v>9.9999999999999993E-103</v>
      </c>
      <c r="DJ204" s="6" t="str">
        <f>HYPERLINK(".\links\KOG\TI_asb-336-KOG.txt","60S ribosomal protein L5")</f>
        <v>60S ribosomal protein L5</v>
      </c>
      <c r="DK204" s="6" t="str">
        <f>HYPERLINK("http://www.ncbi.nlm.nih.gov/COG/grace/shokog.cgi?KOG0875","7E-086")</f>
        <v>7E-086</v>
      </c>
      <c r="DL204" s="6" t="s">
        <v>4333</v>
      </c>
      <c r="DM204" s="6" t="str">
        <f>HYPERLINK(".\links\KOG\TI_asb-336-KOG.txt","KOG0875")</f>
        <v>KOG0875</v>
      </c>
      <c r="DN204" t="s">
        <v>56</v>
      </c>
      <c r="DO204" t="s">
        <v>56</v>
      </c>
      <c r="DP204" s="3" t="s">
        <v>56</v>
      </c>
      <c r="ED204" s="3" t="s">
        <v>56</v>
      </c>
    </row>
    <row r="205" spans="1:134">
      <c r="A205" t="str">
        <f>HYPERLINK(".\links\seq\TI_asb-338-seq.txt","TI_asb-338")</f>
        <v>TI_asb-338</v>
      </c>
      <c r="B205">
        <v>338</v>
      </c>
      <c r="C205" t="str">
        <f>HYPERLINK(".\links\tsa\TI_asb-338-tsa.txt","1")</f>
        <v>1</v>
      </c>
      <c r="D205">
        <v>1</v>
      </c>
      <c r="E205">
        <v>1017</v>
      </c>
      <c r="G205" t="str">
        <f>HYPERLINK(".\links\qual\TI_asb-338-qual.txt","30")</f>
        <v>30</v>
      </c>
      <c r="H205">
        <v>1</v>
      </c>
      <c r="I205">
        <v>0</v>
      </c>
      <c r="J205">
        <f t="shared" si="10"/>
        <v>1</v>
      </c>
      <c r="K205" s="6">
        <f t="shared" si="11"/>
        <v>1</v>
      </c>
      <c r="L205" s="6" t="s">
        <v>4018</v>
      </c>
      <c r="M205" s="6" t="s">
        <v>3912</v>
      </c>
      <c r="N205" s="6" t="s">
        <v>3864</v>
      </c>
      <c r="O205" s="7">
        <v>1.9999999999999998E-71</v>
      </c>
      <c r="P205" s="6">
        <v>44.8</v>
      </c>
      <c r="Q205" s="3">
        <v>1017</v>
      </c>
      <c r="R205" s="3">
        <v>552</v>
      </c>
      <c r="S205" s="3" t="s">
        <v>3684</v>
      </c>
      <c r="T205" s="3">
        <v>2</v>
      </c>
      <c r="U205" t="str">
        <f>HYPERLINK(".\links\NR-LIGHT\TI_asb-338-NR-LIGHT.txt","Nuclear hormone receptor FTZ-F1, putative")</f>
        <v>Nuclear hormone receptor FTZ-F1, putative</v>
      </c>
      <c r="V205" t="str">
        <f>HYPERLINK("http://www.ncbi.nlm.nih.gov/sutils/blink.cgi?pid=242019865","2E-071")</f>
        <v>2E-071</v>
      </c>
      <c r="W205" t="str">
        <f>HYPERLINK(".\links\NR-LIGHT\TI_asb-338-NR-LIGHT.txt"," 10")</f>
        <v xml:space="preserve"> 10</v>
      </c>
      <c r="X205" t="str">
        <f>HYPERLINK("http://www.ncbi.nlm.nih.gov/protein/242019865","gi|242019865")</f>
        <v>gi|242019865</v>
      </c>
      <c r="Y205">
        <v>271</v>
      </c>
      <c r="Z205">
        <v>182</v>
      </c>
      <c r="AA205">
        <v>406</v>
      </c>
      <c r="AB205">
        <v>71</v>
      </c>
      <c r="AC205">
        <v>45</v>
      </c>
      <c r="AD205">
        <v>51</v>
      </c>
      <c r="AE205">
        <v>0</v>
      </c>
      <c r="AF205">
        <v>225</v>
      </c>
      <c r="AG205">
        <v>8</v>
      </c>
      <c r="AH205">
        <v>1</v>
      </c>
      <c r="AI205">
        <v>2</v>
      </c>
      <c r="AJ205" t="s">
        <v>53</v>
      </c>
      <c r="AK205" t="s">
        <v>54</v>
      </c>
      <c r="AL205" t="s">
        <v>141</v>
      </c>
      <c r="AM205" t="str">
        <f>HYPERLINK(".\links\SWISSP\TI_asb-338-SWISSP.txt","Nuclear hormone receptor FTZ-F1 OS=Bombyx mori GN=FTZ-F1 PE=1 SV=2")</f>
        <v>Nuclear hormone receptor FTZ-F1 OS=Bombyx mori GN=FTZ-F1 PE=1 SV=2</v>
      </c>
      <c r="AN205" s="19" t="str">
        <f>HYPERLINK("http://www.uniprot.org/uniprot/P49867","8E-063")</f>
        <v>8E-063</v>
      </c>
      <c r="AO205" t="str">
        <f>HYPERLINK(".\links\SWISSP\TI_asb-338-SWISSP.txt"," 10")</f>
        <v xml:space="preserve"> 10</v>
      </c>
      <c r="AP205" t="s">
        <v>2112</v>
      </c>
      <c r="AQ205">
        <v>241</v>
      </c>
      <c r="AR205">
        <v>182</v>
      </c>
      <c r="AS205">
        <v>534</v>
      </c>
      <c r="AT205">
        <v>63</v>
      </c>
      <c r="AU205">
        <v>34</v>
      </c>
      <c r="AV205">
        <v>67</v>
      </c>
      <c r="AW205">
        <v>0</v>
      </c>
      <c r="AX205">
        <v>352</v>
      </c>
      <c r="AY205">
        <v>8</v>
      </c>
      <c r="AZ205">
        <v>1</v>
      </c>
      <c r="BA205">
        <v>2</v>
      </c>
      <c r="BB205" t="s">
        <v>53</v>
      </c>
      <c r="BC205" t="s">
        <v>54</v>
      </c>
      <c r="BD205" t="s">
        <v>279</v>
      </c>
      <c r="BE205" t="s">
        <v>2113</v>
      </c>
      <c r="BF205" t="s">
        <v>2114</v>
      </c>
      <c r="BG205" t="str">
        <f>HYPERLINK(".\links\PREV-RHOD-PEP\TI_asb-338-PREV-RHOD-PEP.txt","Contig17978_37")</f>
        <v>Contig17978_37</v>
      </c>
      <c r="BH205" s="7">
        <v>2.9999999999999999E-82</v>
      </c>
      <c r="BI205" t="str">
        <f>HYPERLINK(".\links\PREV-RHOD-PEP\TI_asb-338-PREV-RHOD-PEP.txt"," 10")</f>
        <v xml:space="preserve"> 10</v>
      </c>
      <c r="BJ205" t="s">
        <v>2115</v>
      </c>
      <c r="BK205">
        <v>301</v>
      </c>
      <c r="BL205">
        <v>168</v>
      </c>
      <c r="BM205">
        <v>234</v>
      </c>
      <c r="BN205">
        <v>86</v>
      </c>
      <c r="BO205">
        <v>72</v>
      </c>
      <c r="BP205">
        <v>22</v>
      </c>
      <c r="BQ205">
        <v>0</v>
      </c>
      <c r="BR205">
        <v>67</v>
      </c>
      <c r="BS205">
        <v>50</v>
      </c>
      <c r="BT205">
        <v>1</v>
      </c>
      <c r="BU205" t="s">
        <v>54</v>
      </c>
      <c r="BV205" t="s">
        <v>2116</v>
      </c>
      <c r="BW205" t="s">
        <v>56</v>
      </c>
      <c r="BX205" t="str">
        <f>HYPERLINK(".\links\PREV-RHOD-CDS\TI_asb-338-PREV-RHOD-CDS.txt","Contig17978_37")</f>
        <v>Contig17978_37</v>
      </c>
      <c r="BY205" s="7">
        <v>9.9999999999999995E-179</v>
      </c>
      <c r="BZ205" t="s">
        <v>2115</v>
      </c>
      <c r="CA205">
        <v>624</v>
      </c>
      <c r="CB205">
        <v>496</v>
      </c>
      <c r="CC205">
        <v>705</v>
      </c>
      <c r="CD205">
        <v>90</v>
      </c>
      <c r="CE205">
        <v>70</v>
      </c>
      <c r="CF205">
        <v>46</v>
      </c>
      <c r="CG205">
        <v>0</v>
      </c>
      <c r="CH205">
        <v>209</v>
      </c>
      <c r="CI205">
        <v>60</v>
      </c>
      <c r="CJ205">
        <v>1</v>
      </c>
      <c r="CK205" t="s">
        <v>54</v>
      </c>
      <c r="CL205" t="s">
        <v>2117</v>
      </c>
      <c r="CM205">
        <f>HYPERLINK(".\links\GO\TI_asb-338-GO.txt",1E-60)</f>
        <v>9.9999999999999997E-61</v>
      </c>
      <c r="CN205" t="s">
        <v>221</v>
      </c>
      <c r="CO205" t="s">
        <v>185</v>
      </c>
      <c r="CP205" t="s">
        <v>222</v>
      </c>
      <c r="CQ205" t="s">
        <v>223</v>
      </c>
      <c r="CR205" s="7">
        <v>9.9999999999999997E-61</v>
      </c>
      <c r="CS205" t="s">
        <v>224</v>
      </c>
      <c r="CT205" t="s">
        <v>75</v>
      </c>
      <c r="CU205" t="s">
        <v>76</v>
      </c>
      <c r="CV205" t="s">
        <v>225</v>
      </c>
      <c r="CW205" s="7">
        <v>9.9999999999999997E-61</v>
      </c>
      <c r="CX205" t="s">
        <v>2118</v>
      </c>
      <c r="CY205" t="s">
        <v>185</v>
      </c>
      <c r="CZ205" t="s">
        <v>222</v>
      </c>
      <c r="DA205" t="s">
        <v>2119</v>
      </c>
      <c r="DB205" s="7">
        <v>9.9999999999999997E-61</v>
      </c>
      <c r="DC205" t="str">
        <f>HYPERLINK(".\links\CDD\TI_asb-338-CDD.txt","Hormone_recep")</f>
        <v>Hormone_recep</v>
      </c>
      <c r="DD205" t="str">
        <f>HYPERLINK("http://www.ncbi.nlm.nih.gov/Structure/cdd/cddsrv.cgi?uid=pfam00104&amp;version=v4.0","2E-025")</f>
        <v>2E-025</v>
      </c>
      <c r="DE205" t="s">
        <v>2120</v>
      </c>
      <c r="DF205" t="str">
        <f>HYPERLINK(".\links\PFAM\TI_asb-338-PFAM.txt","Hormone_recep")</f>
        <v>Hormone_recep</v>
      </c>
      <c r="DG205" t="str">
        <f>HYPERLINK("http://pfam.sanger.ac.uk/family?acc=PF00104","1E-028")</f>
        <v>1E-028</v>
      </c>
      <c r="DH205" t="str">
        <f>HYPERLINK(".\links\PRK\TI_asb-338-PRK.txt","NADH dehydrogenase subunit 5")</f>
        <v>NADH dehydrogenase subunit 5</v>
      </c>
      <c r="DI205" s="7">
        <v>2.9999999999999997E-8</v>
      </c>
      <c r="DJ205" s="6" t="str">
        <f>HYPERLINK(".\links\KOG\TI_asb-338-KOG.txt","Nuclear hormone receptor betaFTZ-F1")</f>
        <v>Nuclear hormone receptor betaFTZ-F1</v>
      </c>
      <c r="DK205" s="6" t="str">
        <f>HYPERLINK("http://www.ncbi.nlm.nih.gov/COG/grace/shokog.cgi?KOG4218","1E-034")</f>
        <v>1E-034</v>
      </c>
      <c r="DL205" s="6" t="s">
        <v>4343</v>
      </c>
      <c r="DM205" s="6" t="str">
        <f>HYPERLINK(".\links\KOG\TI_asb-338-KOG.txt","KOG4218")</f>
        <v>KOG4218</v>
      </c>
      <c r="DN205" t="str">
        <f>HYPERLINK(".\links\SMART\TI_asb-338-SMART.txt","HOLI")</f>
        <v>HOLI</v>
      </c>
      <c r="DO205" t="str">
        <f>HYPERLINK("http://smart.embl-heidelberg.de/smart/do_annotation.pl?DOMAIN=HOLI&amp;BLAST=DUMMY","1E-022")</f>
        <v>1E-022</v>
      </c>
      <c r="DP205" s="3" t="s">
        <v>56</v>
      </c>
      <c r="ED205" s="3" t="s">
        <v>56</v>
      </c>
    </row>
    <row r="206" spans="1:134">
      <c r="A206" t="str">
        <f>HYPERLINK(".\links\seq\TI_asb-339-seq.txt","TI_asb-339")</f>
        <v>TI_asb-339</v>
      </c>
      <c r="B206">
        <v>339</v>
      </c>
      <c r="C206" t="str">
        <f>HYPERLINK(".\links\tsa\TI_asb-339-tsa.txt","1")</f>
        <v>1</v>
      </c>
      <c r="D206">
        <v>1</v>
      </c>
      <c r="E206">
        <v>640</v>
      </c>
      <c r="F206">
        <v>619</v>
      </c>
      <c r="G206" t="str">
        <f>HYPERLINK(".\links\qual\TI_asb-339-qual.txt","47")</f>
        <v>47</v>
      </c>
      <c r="H206">
        <v>0</v>
      </c>
      <c r="I206">
        <v>1</v>
      </c>
      <c r="J206">
        <f t="shared" si="10"/>
        <v>1</v>
      </c>
      <c r="K206" s="6">
        <f t="shared" si="11"/>
        <v>-1</v>
      </c>
      <c r="L206" s="6" t="s">
        <v>3990</v>
      </c>
      <c r="M206" s="6" t="s">
        <v>3966</v>
      </c>
      <c r="N206" s="6" t="s">
        <v>3864</v>
      </c>
      <c r="O206" s="7">
        <v>3.9999999999999999E-47</v>
      </c>
      <c r="P206" s="6">
        <v>60.9</v>
      </c>
      <c r="Q206" s="3">
        <v>640</v>
      </c>
      <c r="R206" s="3">
        <v>639</v>
      </c>
      <c r="S206" s="3" t="s">
        <v>3685</v>
      </c>
      <c r="T206" s="3">
        <v>1</v>
      </c>
      <c r="U206" t="str">
        <f>HYPERLINK(".\links\NR-LIGHT\TI_asb-339-NR-LIGHT.txt","truncated histone H1")</f>
        <v>truncated histone H1</v>
      </c>
      <c r="V206" t="str">
        <f>HYPERLINK("http://www.ncbi.nlm.nih.gov/sutils/blink.cgi?pid=149689210","4E-047")</f>
        <v>4E-047</v>
      </c>
      <c r="W206" t="str">
        <f>HYPERLINK(".\links\NR-LIGHT\TI_asb-339-NR-LIGHT.txt"," 10")</f>
        <v xml:space="preserve"> 10</v>
      </c>
      <c r="X206" t="str">
        <f>HYPERLINK("http://www.ncbi.nlm.nih.gov/protein/149689210","gi|149689210")</f>
        <v>gi|149689210</v>
      </c>
      <c r="Y206">
        <v>189</v>
      </c>
      <c r="Z206">
        <v>120</v>
      </c>
      <c r="AA206">
        <v>197</v>
      </c>
      <c r="AB206">
        <v>84</v>
      </c>
      <c r="AC206">
        <v>61</v>
      </c>
      <c r="AD206">
        <v>19</v>
      </c>
      <c r="AE206">
        <v>0</v>
      </c>
      <c r="AF206">
        <v>1</v>
      </c>
      <c r="AG206">
        <v>16</v>
      </c>
      <c r="AH206">
        <v>1</v>
      </c>
      <c r="AI206">
        <v>1</v>
      </c>
      <c r="AJ206" t="s">
        <v>53</v>
      </c>
      <c r="AK206" t="s">
        <v>54</v>
      </c>
      <c r="AL206" t="s">
        <v>55</v>
      </c>
      <c r="AM206" t="str">
        <f>HYPERLINK(".\links\SWISSP\TI_asb-339-SWISSP.txt","Histone H1.3 OS=Drosophila virilis GN=His1.3 PE=3 SV=1")</f>
        <v>Histone H1.3 OS=Drosophila virilis GN=His1.3 PE=3 SV=1</v>
      </c>
      <c r="AN206" s="19" t="str">
        <f>HYPERLINK("http://www.uniprot.org/uniprot/Q94972","2E-024")</f>
        <v>2E-024</v>
      </c>
      <c r="AO206" t="str">
        <f>HYPERLINK(".\links\SWISSP\TI_asb-339-SWISSP.txt"," 10")</f>
        <v xml:space="preserve"> 10</v>
      </c>
      <c r="AP206" t="s">
        <v>2121</v>
      </c>
      <c r="AQ206">
        <v>112</v>
      </c>
      <c r="AR206">
        <v>107</v>
      </c>
      <c r="AS206">
        <v>250</v>
      </c>
      <c r="AT206">
        <v>54</v>
      </c>
      <c r="AU206">
        <v>43</v>
      </c>
      <c r="AV206">
        <v>49</v>
      </c>
      <c r="AW206">
        <v>0</v>
      </c>
      <c r="AX206">
        <v>25</v>
      </c>
      <c r="AY206">
        <v>37</v>
      </c>
      <c r="AZ206">
        <v>1</v>
      </c>
      <c r="BA206">
        <v>1</v>
      </c>
      <c r="BB206" t="s">
        <v>53</v>
      </c>
      <c r="BC206" t="s">
        <v>54</v>
      </c>
      <c r="BD206" t="s">
        <v>887</v>
      </c>
      <c r="BE206" t="s">
        <v>2122</v>
      </c>
      <c r="BF206" t="s">
        <v>2123</v>
      </c>
      <c r="BG206" t="str">
        <f>HYPERLINK(".\links\PREV-RHOD-PEP\TI_asb-339-PREV-RHOD-PEP.txt","Contig18070_21")</f>
        <v>Contig18070_21</v>
      </c>
      <c r="BH206" s="7">
        <v>1.0000000000000001E-43</v>
      </c>
      <c r="BI206" t="str">
        <f>HYPERLINK(".\links\PREV-RHOD-PEP\TI_asb-339-PREV-RHOD-PEP.txt"," 10")</f>
        <v xml:space="preserve"> 10</v>
      </c>
      <c r="BJ206" t="s">
        <v>290</v>
      </c>
      <c r="BK206">
        <v>172</v>
      </c>
      <c r="BL206">
        <v>121</v>
      </c>
      <c r="BM206">
        <v>208</v>
      </c>
      <c r="BN206">
        <v>76</v>
      </c>
      <c r="BO206">
        <v>58</v>
      </c>
      <c r="BP206">
        <v>28</v>
      </c>
      <c r="BQ206">
        <v>1</v>
      </c>
      <c r="BR206">
        <v>1</v>
      </c>
      <c r="BS206">
        <v>16</v>
      </c>
      <c r="BT206">
        <v>1</v>
      </c>
      <c r="BU206" t="s">
        <v>54</v>
      </c>
      <c r="BV206" t="s">
        <v>2124</v>
      </c>
      <c r="BW206" t="s">
        <v>56</v>
      </c>
      <c r="BX206" t="str">
        <f>HYPERLINK(".\links\PREV-RHOD-CDS\TI_asb-339-PREV-RHOD-CDS.txt","Contig17651_7")</f>
        <v>Contig17651_7</v>
      </c>
      <c r="BY206" s="7">
        <v>2.9999999999999999E-38</v>
      </c>
      <c r="BZ206" t="s">
        <v>1190</v>
      </c>
      <c r="CA206">
        <v>159</v>
      </c>
      <c r="CB206">
        <v>223</v>
      </c>
      <c r="CC206">
        <v>632</v>
      </c>
      <c r="CD206">
        <v>83</v>
      </c>
      <c r="CE206">
        <v>35</v>
      </c>
      <c r="CF206">
        <v>36</v>
      </c>
      <c r="CG206">
        <v>0</v>
      </c>
      <c r="CH206">
        <v>115</v>
      </c>
      <c r="CI206">
        <v>133</v>
      </c>
      <c r="CJ206">
        <v>1</v>
      </c>
      <c r="CK206" t="s">
        <v>54</v>
      </c>
      <c r="CL206" t="s">
        <v>1427</v>
      </c>
      <c r="CM206">
        <f>HYPERLINK(".\links\GO\TI_asb-339-GO.txt",1E-24)</f>
        <v>9.9999999999999992E-25</v>
      </c>
      <c r="CN206" t="s">
        <v>221</v>
      </c>
      <c r="CO206" t="s">
        <v>185</v>
      </c>
      <c r="CP206" t="s">
        <v>222</v>
      </c>
      <c r="CQ206" t="s">
        <v>223</v>
      </c>
      <c r="CR206" s="7">
        <v>9.9999999999999992E-25</v>
      </c>
      <c r="CS206" t="s">
        <v>224</v>
      </c>
      <c r="CT206" t="s">
        <v>75</v>
      </c>
      <c r="CU206" t="s">
        <v>76</v>
      </c>
      <c r="CV206" t="s">
        <v>225</v>
      </c>
      <c r="CW206" s="7">
        <v>9.9999999999999992E-25</v>
      </c>
      <c r="CX206" t="s">
        <v>1428</v>
      </c>
      <c r="CY206" t="s">
        <v>185</v>
      </c>
      <c r="CZ206" t="s">
        <v>222</v>
      </c>
      <c r="DA206" t="s">
        <v>1429</v>
      </c>
      <c r="DB206" s="7">
        <v>9.9999999999999992E-25</v>
      </c>
      <c r="DC206" t="str">
        <f>HYPERLINK(".\links\CDD\TI_asb-339-CDD.txt","H15")</f>
        <v>H15</v>
      </c>
      <c r="DD206" t="str">
        <f>HYPERLINK("http://www.ncbi.nlm.nih.gov/Structure/cdd/cddsrv.cgi?uid=cd00073&amp;version=v4.0","2E-028")</f>
        <v>2E-028</v>
      </c>
      <c r="DE206" t="s">
        <v>2125</v>
      </c>
      <c r="DF206" t="str">
        <f>HYPERLINK(".\links\PFAM\TI_asb-339-PFAM.txt","Linker_histone")</f>
        <v>Linker_histone</v>
      </c>
      <c r="DG206" t="str">
        <f>HYPERLINK("http://pfam.sanger.ac.uk/family?acc=PF00538","4E-026")</f>
        <v>4E-026</v>
      </c>
      <c r="DH206" t="str">
        <f>HYPERLINK(".\links\PRK\TI_asb-339-PRK.txt","adenylate kinase")</f>
        <v>adenylate kinase</v>
      </c>
      <c r="DI206" s="7">
        <v>2.9999999999999998E-13</v>
      </c>
      <c r="DJ206" s="6" t="str">
        <f>HYPERLINK(".\links\KOG\TI_asb-339-KOG.txt","Nuclear protein, contains WD40 repeats")</f>
        <v>Nuclear protein, contains WD40 repeats</v>
      </c>
      <c r="DK206" s="6" t="str">
        <f>HYPERLINK("http://www.ncbi.nlm.nih.gov/COG/grace/shokog.cgi?KOG1916","0.0")</f>
        <v>0.0</v>
      </c>
      <c r="DL206" s="6" t="s">
        <v>4337</v>
      </c>
      <c r="DM206" s="6" t="str">
        <f>HYPERLINK(".\links\KOG\TI_asb-339-KOG.txt","KOG1916")</f>
        <v>KOG1916</v>
      </c>
      <c r="DN206" t="str">
        <f>HYPERLINK(".\links\SMART\TI_asb-339-SMART.txt","H15")</f>
        <v>H15</v>
      </c>
      <c r="DO206" t="str">
        <f>HYPERLINK("http://smart.embl-heidelberg.de/smart/do_annotation.pl?DOMAIN=H15&amp;BLAST=DUMMY","2E-024")</f>
        <v>2E-024</v>
      </c>
      <c r="DP206" s="3" t="s">
        <v>56</v>
      </c>
      <c r="ED206" s="3" t="s">
        <v>56</v>
      </c>
    </row>
    <row r="207" spans="1:134">
      <c r="A207" t="str">
        <f>HYPERLINK(".\links\seq\TI_asb-344-seq.txt","TI_asb-344")</f>
        <v>TI_asb-344</v>
      </c>
      <c r="B207">
        <v>344</v>
      </c>
      <c r="C207" t="str">
        <f>HYPERLINK(".\links\tsa\TI_asb-344-tsa.txt","1")</f>
        <v>1</v>
      </c>
      <c r="D207">
        <v>1</v>
      </c>
      <c r="E207">
        <v>636</v>
      </c>
      <c r="F207">
        <v>614</v>
      </c>
      <c r="G207" t="str">
        <f>HYPERLINK(".\links\qual\TI_asb-344-qual.txt","41")</f>
        <v>41</v>
      </c>
      <c r="H207">
        <v>1</v>
      </c>
      <c r="I207">
        <v>0</v>
      </c>
      <c r="J207">
        <f t="shared" si="10"/>
        <v>1</v>
      </c>
      <c r="K207" s="6">
        <f t="shared" si="11"/>
        <v>1</v>
      </c>
      <c r="L207" s="6" t="s">
        <v>3868</v>
      </c>
      <c r="M207" s="6" t="s">
        <v>3869</v>
      </c>
      <c r="N207" s="6"/>
      <c r="O207" s="6"/>
      <c r="P207" s="6"/>
      <c r="Q207" s="3">
        <v>636</v>
      </c>
      <c r="R207" s="3">
        <v>339</v>
      </c>
      <c r="S207" s="6" t="s">
        <v>3686</v>
      </c>
      <c r="T207" s="3">
        <v>3</v>
      </c>
      <c r="U207" t="str">
        <f>HYPERLINK(".\links\NR-LIGHT\TI_asb-344-NR-LIGHT.txt","conserved Plasmodium protein, unknown function")</f>
        <v>conserved Plasmodium protein, unknown function</v>
      </c>
      <c r="V207" t="str">
        <f>HYPERLINK("http://www.ncbi.nlm.nih.gov/sutils/blink.cgi?pid=296004983","1.7")</f>
        <v>1.7</v>
      </c>
      <c r="W207" t="str">
        <f>HYPERLINK(".\links\NR-LIGHT\TI_asb-344-NR-LIGHT.txt"," 7")</f>
        <v xml:space="preserve"> 7</v>
      </c>
      <c r="X207" t="str">
        <f>HYPERLINK("http://www.ncbi.nlm.nih.gov/protein/296004983","gi|296004983")</f>
        <v>gi|296004983</v>
      </c>
      <c r="Y207">
        <v>35</v>
      </c>
      <c r="Z207">
        <v>80</v>
      </c>
      <c r="AA207">
        <v>1297</v>
      </c>
      <c r="AB207">
        <v>33</v>
      </c>
      <c r="AC207">
        <v>6</v>
      </c>
      <c r="AD207">
        <v>53</v>
      </c>
      <c r="AE207">
        <v>9</v>
      </c>
      <c r="AF207">
        <v>949</v>
      </c>
      <c r="AG207">
        <v>270</v>
      </c>
      <c r="AH207">
        <v>1</v>
      </c>
      <c r="AI207">
        <v>-2</v>
      </c>
      <c r="AJ207" t="s">
        <v>53</v>
      </c>
      <c r="AK207" t="s">
        <v>64</v>
      </c>
      <c r="AL207" t="s">
        <v>294</v>
      </c>
      <c r="AM207" t="str">
        <f>HYPERLINK(".\links\SWISSP\TI_asb-344-SWISSP.txt","Undecaprenyl-phosphate 4-deoxy-4-formamido-L-arabinose transferase")</f>
        <v>Undecaprenyl-phosphate 4-deoxy-4-formamido-L-arabinose transferase</v>
      </c>
      <c r="AN207" s="19" t="str">
        <f>HYPERLINK("http://www.uniprot.org/uniprot/Q8D342","0.67")</f>
        <v>0.67</v>
      </c>
      <c r="AO207" t="str">
        <f>HYPERLINK(".\links\SWISSP\TI_asb-344-SWISSP.txt"," 9")</f>
        <v xml:space="preserve"> 9</v>
      </c>
      <c r="AP207" t="s">
        <v>2128</v>
      </c>
      <c r="AQ207">
        <v>34.299999999999997</v>
      </c>
      <c r="AR207">
        <v>76</v>
      </c>
      <c r="AS207">
        <v>323</v>
      </c>
      <c r="AT207">
        <v>28</v>
      </c>
      <c r="AU207">
        <v>24</v>
      </c>
      <c r="AV207">
        <v>54</v>
      </c>
      <c r="AW207">
        <v>0</v>
      </c>
      <c r="AX207">
        <v>201</v>
      </c>
      <c r="AY207">
        <v>86</v>
      </c>
      <c r="AZ207">
        <v>1</v>
      </c>
      <c r="BA207">
        <v>2</v>
      </c>
      <c r="BB207" t="s">
        <v>53</v>
      </c>
      <c r="BC207" t="s">
        <v>54</v>
      </c>
      <c r="BD207" t="s">
        <v>2129</v>
      </c>
      <c r="BE207" t="s">
        <v>2130</v>
      </c>
      <c r="BF207" t="s">
        <v>2131</v>
      </c>
      <c r="BG207" t="str">
        <f>HYPERLINK(".\links\PREV-RHOD-PEP\TI_asb-344-PREV-RHOD-PEP.txt","Contig17962_118")</f>
        <v>Contig17962_118</v>
      </c>
      <c r="BH207" s="6">
        <v>0.28000000000000003</v>
      </c>
      <c r="BI207" t="str">
        <f>HYPERLINK(".\links\PREV-RHOD-PEP\TI_asb-344-PREV-RHOD-PEP.txt"," 10")</f>
        <v xml:space="preserve"> 10</v>
      </c>
      <c r="BJ207" t="s">
        <v>2132</v>
      </c>
      <c r="BK207">
        <v>31.6</v>
      </c>
      <c r="BL207">
        <v>53</v>
      </c>
      <c r="BM207">
        <v>313</v>
      </c>
      <c r="BN207">
        <v>37</v>
      </c>
      <c r="BO207">
        <v>17</v>
      </c>
      <c r="BP207">
        <v>33</v>
      </c>
      <c r="BQ207">
        <v>4</v>
      </c>
      <c r="BR207">
        <v>210</v>
      </c>
      <c r="BS207">
        <v>315</v>
      </c>
      <c r="BT207">
        <v>1</v>
      </c>
      <c r="BU207" t="s">
        <v>54</v>
      </c>
      <c r="BV207" t="s">
        <v>2133</v>
      </c>
      <c r="BW207" t="s">
        <v>56</v>
      </c>
      <c r="BX207" t="str">
        <f>HYPERLINK(".\links\PREV-RHOD-CDS\TI_asb-344-PREV-RHOD-CDS.txt","Contig18003_17")</f>
        <v>Contig18003_17</v>
      </c>
      <c r="BY207" s="6">
        <v>7.9000000000000001E-2</v>
      </c>
      <c r="BZ207" t="s">
        <v>2134</v>
      </c>
      <c r="CA207">
        <v>38.200000000000003</v>
      </c>
      <c r="CB207">
        <v>22</v>
      </c>
      <c r="CC207">
        <v>894</v>
      </c>
      <c r="CD207">
        <v>95</v>
      </c>
      <c r="CE207">
        <v>3</v>
      </c>
      <c r="CF207">
        <v>1</v>
      </c>
      <c r="CG207">
        <v>0</v>
      </c>
      <c r="CH207">
        <v>283</v>
      </c>
      <c r="CI207">
        <v>270</v>
      </c>
      <c r="CJ207">
        <v>1</v>
      </c>
      <c r="CK207" t="s">
        <v>64</v>
      </c>
      <c r="CL207" t="s">
        <v>2135</v>
      </c>
      <c r="CM207">
        <f>HYPERLINK(".\links\GO\TI_asb-344-GO.txt",1.3)</f>
        <v>1.3</v>
      </c>
      <c r="CN207" t="s">
        <v>2136</v>
      </c>
      <c r="CO207" t="s">
        <v>129</v>
      </c>
      <c r="CP207" t="s">
        <v>151</v>
      </c>
      <c r="CQ207" t="s">
        <v>2137</v>
      </c>
      <c r="CR207" s="6">
        <v>1.3</v>
      </c>
      <c r="CS207" t="s">
        <v>499</v>
      </c>
      <c r="CT207" t="s">
        <v>75</v>
      </c>
      <c r="CU207" t="s">
        <v>92</v>
      </c>
      <c r="CV207" t="s">
        <v>500</v>
      </c>
      <c r="CW207" s="6">
        <v>1.3</v>
      </c>
      <c r="CX207" t="s">
        <v>2138</v>
      </c>
      <c r="CY207" t="s">
        <v>129</v>
      </c>
      <c r="CZ207" t="s">
        <v>151</v>
      </c>
      <c r="DA207" t="s">
        <v>2139</v>
      </c>
      <c r="DB207" s="6">
        <v>1.3</v>
      </c>
      <c r="DC207" t="str">
        <f>HYPERLINK(".\links\CDD\TI_asb-344-CDD.txt","7TMR-DISM_7TM")</f>
        <v>7TMR-DISM_7TM</v>
      </c>
      <c r="DD207" t="str">
        <f>HYPERLINK("http://www.ncbi.nlm.nih.gov/Structure/cdd/cddsrv.cgi?uid=pfam07695&amp;version=v4.0","0.012")</f>
        <v>0.012</v>
      </c>
      <c r="DE207" t="s">
        <v>2140</v>
      </c>
      <c r="DF207" t="str">
        <f>HYPERLINK(".\links\PFAM\TI_asb-344-PFAM.txt","SNARE_assoc")</f>
        <v>SNARE_assoc</v>
      </c>
      <c r="DG207" t="str">
        <f>HYPERLINK("http://pfam.sanger.ac.uk/family?acc=PF09335","0.011")</f>
        <v>0.011</v>
      </c>
      <c r="DH207" t="s">
        <v>56</v>
      </c>
      <c r="DI207" s="6" t="s">
        <v>56</v>
      </c>
      <c r="DJ207" s="6" t="s">
        <v>56</v>
      </c>
      <c r="DN207" t="str">
        <f>HYPERLINK(".\links\SMART\TI_asb-344-SMART.txt","CYCc")</f>
        <v>CYCc</v>
      </c>
      <c r="DO207" t="str">
        <f>HYPERLINK("http://smart.embl-heidelberg.de/smart/do_annotation.pl?DOMAIN=CYCc&amp;BLAST=DUMMY","0.039")</f>
        <v>0.039</v>
      </c>
      <c r="DP207" s="3" t="s">
        <v>56</v>
      </c>
      <c r="ED207" s="3" t="s">
        <v>56</v>
      </c>
    </row>
    <row r="208" spans="1:134">
      <c r="A208" t="str">
        <f>HYPERLINK(".\links\seq\TI_asb-346-seq.txt","TI_asb-346")</f>
        <v>TI_asb-346</v>
      </c>
      <c r="B208">
        <v>346</v>
      </c>
      <c r="C208" t="str">
        <f>HYPERLINK(".\links\tsa\TI_asb-346-tsa.txt","2")</f>
        <v>2</v>
      </c>
      <c r="D208">
        <v>2</v>
      </c>
      <c r="E208">
        <v>641</v>
      </c>
      <c r="F208">
        <v>553</v>
      </c>
      <c r="G208" t="str">
        <f>HYPERLINK(".\links\qual\TI_asb-346-qual.txt","76")</f>
        <v>76</v>
      </c>
      <c r="H208">
        <v>0</v>
      </c>
      <c r="I208">
        <v>2</v>
      </c>
      <c r="J208">
        <f t="shared" si="10"/>
        <v>2</v>
      </c>
      <c r="K208" s="6">
        <f t="shared" si="11"/>
        <v>-2</v>
      </c>
      <c r="L208" s="6" t="s">
        <v>3932</v>
      </c>
      <c r="M208" s="6" t="s">
        <v>3912</v>
      </c>
      <c r="N208" s="6" t="str">
        <f>HYPERLINK(".\links\PFAM\TI_asb-346-PFAM.txt","PFAM")</f>
        <v>PFAM</v>
      </c>
      <c r="O208" s="6">
        <v>3.9999999999999998E-7</v>
      </c>
      <c r="P208" s="6">
        <v>69.099999999999994</v>
      </c>
      <c r="Q208" s="3">
        <v>641</v>
      </c>
      <c r="R208" s="3">
        <v>231</v>
      </c>
      <c r="S208" s="3" t="s">
        <v>3687</v>
      </c>
      <c r="T208" s="3">
        <v>6</v>
      </c>
      <c r="U208" t="str">
        <f>HYPERLINK(".\links\NR-LIGHT\TI_asb-346-NR-LIGHT.txt","similar to Tubulin alpha-6 chain (Alpha-tubulin 6) (Alpha-tubulin isotype")</f>
        <v>similar to Tubulin alpha-6 chain (Alpha-tubulin 6) (Alpha-tubulin isotype</v>
      </c>
      <c r="V208" t="str">
        <f>HYPERLINK("http://www.ncbi.nlm.nih.gov/sutils/blink.cgi?pid=110763493","0.008")</f>
        <v>0.008</v>
      </c>
      <c r="W208" t="str">
        <f>HYPERLINK(".\links\NR-LIGHT\TI_asb-346-NR-LIGHT.txt"," 7")</f>
        <v xml:space="preserve"> 7</v>
      </c>
      <c r="X208" t="str">
        <f>HYPERLINK("http://www.ncbi.nlm.nih.gov/protein/110763493","gi|110763493")</f>
        <v>gi|110763493</v>
      </c>
      <c r="Y208">
        <v>42.7</v>
      </c>
      <c r="Z208">
        <v>78</v>
      </c>
      <c r="AA208">
        <v>542</v>
      </c>
      <c r="AB208">
        <v>34</v>
      </c>
      <c r="AC208">
        <v>14</v>
      </c>
      <c r="AD208">
        <v>51</v>
      </c>
      <c r="AE208">
        <v>0</v>
      </c>
      <c r="AF208">
        <v>455</v>
      </c>
      <c r="AG208">
        <v>37</v>
      </c>
      <c r="AH208">
        <v>1</v>
      </c>
      <c r="AI208">
        <v>1</v>
      </c>
      <c r="AJ208" t="s">
        <v>53</v>
      </c>
      <c r="AK208" t="s">
        <v>54</v>
      </c>
      <c r="AL208" t="s">
        <v>344</v>
      </c>
      <c r="AM208" t="str">
        <f>HYPERLINK(".\links\SWISSP\TI_asb-346-SWISSP.txt","Sensitive to high expression protein 9 homolog, mitochondrial OS=Debaryomyces")</f>
        <v>Sensitive to high expression protein 9 homolog, mitochondrial OS=Debaryomyces</v>
      </c>
      <c r="AN208" s="19" t="str">
        <f>HYPERLINK("http://www.uniprot.org/uniprot/Q6BJ94","2.0")</f>
        <v>2.0</v>
      </c>
      <c r="AO208" t="str">
        <f>HYPERLINK(".\links\SWISSP\TI_asb-346-SWISSP.txt"," 3")</f>
        <v xml:space="preserve"> 3</v>
      </c>
      <c r="AP208" t="s">
        <v>2143</v>
      </c>
      <c r="AQ208">
        <v>32.700000000000003</v>
      </c>
      <c r="AR208">
        <v>68</v>
      </c>
      <c r="AS208">
        <v>462</v>
      </c>
      <c r="AT208">
        <v>36</v>
      </c>
      <c r="AU208">
        <v>15</v>
      </c>
      <c r="AV208">
        <v>43</v>
      </c>
      <c r="AW208">
        <v>7</v>
      </c>
      <c r="AX208">
        <v>12</v>
      </c>
      <c r="AY208">
        <v>73</v>
      </c>
      <c r="AZ208">
        <v>1</v>
      </c>
      <c r="BA208">
        <v>-3</v>
      </c>
      <c r="BB208" t="s">
        <v>53</v>
      </c>
      <c r="BC208" t="s">
        <v>64</v>
      </c>
      <c r="BD208" t="s">
        <v>2144</v>
      </c>
      <c r="BE208" t="s">
        <v>2145</v>
      </c>
      <c r="BF208" t="s">
        <v>2146</v>
      </c>
      <c r="BG208" t="str">
        <f>HYPERLINK(".\links\PREV-RHOD-PEP\TI_asb-346-PREV-RHOD-PEP.txt","Contig18015_32")</f>
        <v>Contig18015_32</v>
      </c>
      <c r="BH208" s="7">
        <v>3.9999999999999998E-23</v>
      </c>
      <c r="BI208" t="str">
        <f>HYPERLINK(".\links\PREV-RHOD-PEP\TI_asb-346-PREV-RHOD-PEP.txt"," 4")</f>
        <v xml:space="preserve"> 4</v>
      </c>
      <c r="BJ208" t="s">
        <v>2147</v>
      </c>
      <c r="BK208">
        <v>103</v>
      </c>
      <c r="BL208">
        <v>67</v>
      </c>
      <c r="BM208">
        <v>285</v>
      </c>
      <c r="BN208">
        <v>70</v>
      </c>
      <c r="BO208">
        <v>24</v>
      </c>
      <c r="BP208">
        <v>20</v>
      </c>
      <c r="BQ208">
        <v>0</v>
      </c>
      <c r="BR208">
        <v>215</v>
      </c>
      <c r="BS208">
        <v>79</v>
      </c>
      <c r="BT208">
        <v>1</v>
      </c>
      <c r="BU208" t="s">
        <v>54</v>
      </c>
      <c r="BV208" t="s">
        <v>2148</v>
      </c>
      <c r="BW208" t="s">
        <v>56</v>
      </c>
      <c r="BX208" t="str">
        <f>HYPERLINK(".\links\PREV-RHOD-CDS\TI_asb-346-PREV-RHOD-CDS.txt","Contig18015_32")</f>
        <v>Contig18015_32</v>
      </c>
      <c r="BY208" s="7">
        <v>4.0000000000000001E-10</v>
      </c>
      <c r="BZ208" t="s">
        <v>2147</v>
      </c>
      <c r="CA208">
        <v>65.900000000000006</v>
      </c>
      <c r="CB208">
        <v>68</v>
      </c>
      <c r="CC208">
        <v>858</v>
      </c>
      <c r="CD208">
        <v>86</v>
      </c>
      <c r="CE208">
        <v>8</v>
      </c>
      <c r="CF208">
        <v>9</v>
      </c>
      <c r="CG208">
        <v>0</v>
      </c>
      <c r="CH208">
        <v>658</v>
      </c>
      <c r="CI208">
        <v>94</v>
      </c>
      <c r="CJ208">
        <v>1</v>
      </c>
      <c r="CK208" t="s">
        <v>54</v>
      </c>
      <c r="CL208" t="s">
        <v>2149</v>
      </c>
      <c r="CM208">
        <f>HYPERLINK(".\links\GO\TI_asb-346-GO.txt",2.9)</f>
        <v>2.9</v>
      </c>
      <c r="CN208" t="s">
        <v>702</v>
      </c>
      <c r="CO208" t="s">
        <v>703</v>
      </c>
      <c r="CP208" t="s">
        <v>704</v>
      </c>
      <c r="CQ208" t="s">
        <v>705</v>
      </c>
      <c r="CR208" s="6">
        <v>2.9</v>
      </c>
      <c r="CS208" t="s">
        <v>241</v>
      </c>
      <c r="CT208" t="s">
        <v>75</v>
      </c>
      <c r="CU208" t="s">
        <v>76</v>
      </c>
      <c r="CV208" t="s">
        <v>242</v>
      </c>
      <c r="CW208" s="6">
        <v>2.9</v>
      </c>
      <c r="CX208" t="s">
        <v>2150</v>
      </c>
      <c r="CY208" t="s">
        <v>703</v>
      </c>
      <c r="CZ208" t="s">
        <v>704</v>
      </c>
      <c r="DA208" t="s">
        <v>2151</v>
      </c>
      <c r="DB208" s="6">
        <v>2.9</v>
      </c>
      <c r="DC208" t="str">
        <f>HYPERLINK(".\links\CDD\TI_asb-346-CDD.txt","RNA_polI_A34")</f>
        <v>RNA_polI_A34</v>
      </c>
      <c r="DD208" t="str">
        <f>HYPERLINK("http://www.ncbi.nlm.nih.gov/Structure/cdd/cddsrv.cgi?uid=pfam08208&amp;version=v4.0","2E-005")</f>
        <v>2E-005</v>
      </c>
      <c r="DE208" t="s">
        <v>2152</v>
      </c>
      <c r="DF208" t="str">
        <f>HYPERLINK(".\links\PFAM\TI_asb-346-PFAM.txt","7TM_GPCR_Srz")</f>
        <v>7TM_GPCR_Srz</v>
      </c>
      <c r="DG208" t="str">
        <f>HYPERLINK("http://pfam.sanger.ac.uk/family?acc=PF10325","4E-007")</f>
        <v>4E-007</v>
      </c>
      <c r="DH208" t="str">
        <f>HYPERLINK(".\links\PRK\TI_asb-346-PRK.txt","NADH dehydrogenase subunit 5")</f>
        <v>NADH dehydrogenase subunit 5</v>
      </c>
      <c r="DI208" s="7">
        <v>2.0000000000000001E-9</v>
      </c>
      <c r="DJ208" s="6" t="str">
        <f>HYPERLINK(".\links\KOG\TI_asb-346-KOG.txt","CBF1-interacting corepressor CIR and related proteins")</f>
        <v>CBF1-interacting corepressor CIR and related proteins</v>
      </c>
      <c r="DK208" s="6" t="str">
        <f>HYPERLINK("http://www.ncbi.nlm.nih.gov/COG/grace/shokog.cgi?KOG3794","2E-005")</f>
        <v>2E-005</v>
      </c>
      <c r="DL208" s="6" t="s">
        <v>4343</v>
      </c>
      <c r="DM208" s="6" t="str">
        <f>HYPERLINK(".\links\KOG\TI_asb-346-KOG.txt","KOG3794")</f>
        <v>KOG3794</v>
      </c>
      <c r="DN208" t="str">
        <f>HYPERLINK(".\links\SMART\TI_asb-346-SMART.txt","PSN")</f>
        <v>PSN</v>
      </c>
      <c r="DO208" t="str">
        <f>HYPERLINK("http://smart.embl-heidelberg.de/smart/do_annotation.pl?DOMAIN=PSN&amp;BLAST=DUMMY","2E-004")</f>
        <v>2E-004</v>
      </c>
      <c r="DP208" s="3" t="s">
        <v>56</v>
      </c>
      <c r="ED208" s="3" t="s">
        <v>56</v>
      </c>
    </row>
    <row r="209" spans="1:147">
      <c r="A209" t="str">
        <f>HYPERLINK(".\links\seq\TI_asb-347-seq.txt","TI_asb-347")</f>
        <v>TI_asb-347</v>
      </c>
      <c r="B209">
        <v>347</v>
      </c>
      <c r="C209" t="str">
        <f>HYPERLINK(".\links\tsa\TI_asb-347-tsa.txt","1")</f>
        <v>1</v>
      </c>
      <c r="D209">
        <v>1</v>
      </c>
      <c r="E209">
        <v>770</v>
      </c>
      <c r="G209" t="str">
        <f>HYPERLINK(".\links\qual\TI_asb-347-qual.txt","36")</f>
        <v>36</v>
      </c>
      <c r="H209">
        <v>1</v>
      </c>
      <c r="I209">
        <v>0</v>
      </c>
      <c r="J209">
        <f t="shared" si="10"/>
        <v>1</v>
      </c>
      <c r="K209" s="6">
        <f t="shared" si="11"/>
        <v>1</v>
      </c>
      <c r="L209" s="6" t="s">
        <v>3868</v>
      </c>
      <c r="M209" s="6" t="s">
        <v>3869</v>
      </c>
      <c r="N209" s="6"/>
      <c r="O209" s="6"/>
      <c r="P209" s="6"/>
      <c r="Q209" s="3">
        <v>770</v>
      </c>
      <c r="R209" s="3">
        <v>198</v>
      </c>
      <c r="S209" s="6" t="s">
        <v>3688</v>
      </c>
      <c r="T209" s="3">
        <v>5</v>
      </c>
      <c r="U209" t="str">
        <f>HYPERLINK(".\links\NR-LIGHT\TI_asb-347-NR-LIGHT.txt","putative polygalacuronase isoenzyme 1 beta subunit")</f>
        <v>putative polygalacuronase isoenzyme 1 beta subunit</v>
      </c>
      <c r="V209" t="str">
        <f>HYPERLINK("http://www.ncbi.nlm.nih.gov/sutils/blink.cgi?pid=110735746","4.2")</f>
        <v>4.2</v>
      </c>
      <c r="W209" t="str">
        <f>HYPERLINK(".\links\NR-LIGHT\TI_asb-347-NR-LIGHT.txt"," 3")</f>
        <v xml:space="preserve"> 3</v>
      </c>
      <c r="X209" t="str">
        <f>HYPERLINK("http://www.ncbi.nlm.nih.gov/protein/110735746","gi|110735746")</f>
        <v>gi|110735746</v>
      </c>
      <c r="Y209">
        <v>34.299999999999997</v>
      </c>
      <c r="Z209">
        <v>47</v>
      </c>
      <c r="AA209">
        <v>622</v>
      </c>
      <c r="AB209">
        <v>42</v>
      </c>
      <c r="AC209">
        <v>8</v>
      </c>
      <c r="AD209">
        <v>27</v>
      </c>
      <c r="AE209">
        <v>1</v>
      </c>
      <c r="AF209">
        <v>387</v>
      </c>
      <c r="AG209">
        <v>600</v>
      </c>
      <c r="AH209">
        <v>1</v>
      </c>
      <c r="AI209">
        <v>3</v>
      </c>
      <c r="AJ209" t="s">
        <v>53</v>
      </c>
      <c r="AK209" t="s">
        <v>54</v>
      </c>
      <c r="AL209" t="s">
        <v>274</v>
      </c>
      <c r="AM209" t="str">
        <f>HYPERLINK(".\links\SWISSP\TI_asb-347-SWISSP.txt","Probable polygalacturonase non-catalytic subunit JP630 OS=Arabidopsis thaliana")</f>
        <v>Probable polygalacturonase non-catalytic subunit JP630 OS=Arabidopsis thaliana</v>
      </c>
      <c r="AN209" s="19" t="str">
        <f>HYPERLINK("http://www.uniprot.org/uniprot/P92982","0.94")</f>
        <v>0.94</v>
      </c>
      <c r="AO209" t="str">
        <f>HYPERLINK(".\links\SWISSP\TI_asb-347-SWISSP.txt"," 2")</f>
        <v xml:space="preserve"> 2</v>
      </c>
      <c r="AP209" t="s">
        <v>2153</v>
      </c>
      <c r="AQ209">
        <v>34.299999999999997</v>
      </c>
      <c r="AR209">
        <v>47</v>
      </c>
      <c r="AS209">
        <v>622</v>
      </c>
      <c r="AT209">
        <v>42</v>
      </c>
      <c r="AU209">
        <v>8</v>
      </c>
      <c r="AV209">
        <v>27</v>
      </c>
      <c r="AW209">
        <v>1</v>
      </c>
      <c r="AX209">
        <v>387</v>
      </c>
      <c r="AY209">
        <v>600</v>
      </c>
      <c r="AZ209">
        <v>1</v>
      </c>
      <c r="BA209">
        <v>3</v>
      </c>
      <c r="BB209" t="s">
        <v>53</v>
      </c>
      <c r="BC209" t="s">
        <v>54</v>
      </c>
      <c r="BD209" t="s">
        <v>274</v>
      </c>
      <c r="BE209" t="s">
        <v>2154</v>
      </c>
      <c r="BF209" t="s">
        <v>2155</v>
      </c>
      <c r="BG209" t="s">
        <v>56</v>
      </c>
      <c r="BH209" s="6" t="s">
        <v>56</v>
      </c>
      <c r="BI209" t="s">
        <v>56</v>
      </c>
      <c r="BJ209" t="s">
        <v>56</v>
      </c>
      <c r="BK209" t="s">
        <v>56</v>
      </c>
      <c r="BL209" t="s">
        <v>56</v>
      </c>
      <c r="BM209" t="s">
        <v>56</v>
      </c>
      <c r="BN209" t="s">
        <v>56</v>
      </c>
      <c r="BO209" t="s">
        <v>56</v>
      </c>
      <c r="BP209" t="s">
        <v>56</v>
      </c>
      <c r="BQ209" t="s">
        <v>56</v>
      </c>
      <c r="BR209" t="s">
        <v>56</v>
      </c>
      <c r="BS209" t="s">
        <v>56</v>
      </c>
      <c r="BT209" t="s">
        <v>56</v>
      </c>
      <c r="BU209" t="s">
        <v>56</v>
      </c>
      <c r="BV209" t="s">
        <v>56</v>
      </c>
      <c r="BW209" t="s">
        <v>56</v>
      </c>
      <c r="BX209" t="str">
        <f>HYPERLINK(".\links\PREV-RHOD-CDS\TI_asb-347-PREV-RHOD-CDS.txt","Contig7606_3")</f>
        <v>Contig7606_3</v>
      </c>
      <c r="BY209" s="6">
        <v>9.7000000000000003E-2</v>
      </c>
      <c r="BZ209" t="s">
        <v>2156</v>
      </c>
      <c r="CA209">
        <v>38.200000000000003</v>
      </c>
      <c r="CB209">
        <v>18</v>
      </c>
      <c r="CC209">
        <v>2418</v>
      </c>
      <c r="CD209">
        <v>100</v>
      </c>
      <c r="CE209">
        <v>1</v>
      </c>
      <c r="CF209">
        <v>0</v>
      </c>
      <c r="CG209">
        <v>0</v>
      </c>
      <c r="CH209">
        <v>961</v>
      </c>
      <c r="CI209">
        <v>398</v>
      </c>
      <c r="CJ209">
        <v>1</v>
      </c>
      <c r="CK209" t="s">
        <v>54</v>
      </c>
      <c r="CL209" t="s">
        <v>56</v>
      </c>
      <c r="CM209" t="s">
        <v>56</v>
      </c>
      <c r="CN209" t="s">
        <v>56</v>
      </c>
      <c r="CO209" t="s">
        <v>56</v>
      </c>
      <c r="CP209" t="s">
        <v>56</v>
      </c>
      <c r="CQ209" t="s">
        <v>56</v>
      </c>
      <c r="CR209" s="6" t="s">
        <v>56</v>
      </c>
      <c r="CS209" t="s">
        <v>56</v>
      </c>
      <c r="CT209" t="s">
        <v>56</v>
      </c>
      <c r="CU209" t="s">
        <v>56</v>
      </c>
      <c r="CV209" t="s">
        <v>56</v>
      </c>
      <c r="CW209" s="6" t="s">
        <v>56</v>
      </c>
      <c r="CX209" t="s">
        <v>56</v>
      </c>
      <c r="CY209" t="s">
        <v>56</v>
      </c>
      <c r="CZ209" t="s">
        <v>56</v>
      </c>
      <c r="DA209" t="s">
        <v>56</v>
      </c>
      <c r="DB209" s="6" t="s">
        <v>56</v>
      </c>
      <c r="DC209" t="s">
        <v>56</v>
      </c>
      <c r="DD209" t="s">
        <v>56</v>
      </c>
      <c r="DE209" t="s">
        <v>56</v>
      </c>
      <c r="DF209" t="s">
        <v>56</v>
      </c>
      <c r="DG209" t="s">
        <v>56</v>
      </c>
      <c r="DH209" t="s">
        <v>56</v>
      </c>
      <c r="DI209" s="6" t="s">
        <v>56</v>
      </c>
      <c r="DJ209" s="6" t="s">
        <v>56</v>
      </c>
      <c r="DN209" t="s">
        <v>56</v>
      </c>
      <c r="DO209" t="s">
        <v>56</v>
      </c>
      <c r="DP209" s="3" t="s">
        <v>56</v>
      </c>
      <c r="ED209" s="3" t="s">
        <v>56</v>
      </c>
    </row>
    <row r="210" spans="1:147">
      <c r="A210" t="str">
        <f>HYPERLINK(".\links\seq\TI_asb-348-seq.txt","TI_asb-348")</f>
        <v>TI_asb-348</v>
      </c>
      <c r="B210">
        <v>348</v>
      </c>
      <c r="C210" t="str">
        <f>HYPERLINK(".\links\tsa\TI_asb-348-tsa.txt","1")</f>
        <v>1</v>
      </c>
      <c r="D210">
        <v>1</v>
      </c>
      <c r="E210">
        <v>501</v>
      </c>
      <c r="G210" t="str">
        <f>HYPERLINK(".\links\qual\TI_asb-348-qual.txt","50")</f>
        <v>50</v>
      </c>
      <c r="H210">
        <v>0</v>
      </c>
      <c r="I210">
        <v>1</v>
      </c>
      <c r="J210">
        <f t="shared" si="10"/>
        <v>1</v>
      </c>
      <c r="K210" s="6">
        <f t="shared" si="11"/>
        <v>-1</v>
      </c>
      <c r="L210" s="6" t="s">
        <v>3868</v>
      </c>
      <c r="M210" s="6" t="s">
        <v>3869</v>
      </c>
      <c r="N210" s="6"/>
      <c r="O210" s="6"/>
      <c r="P210" s="6"/>
      <c r="Q210" s="3">
        <v>501</v>
      </c>
      <c r="R210" s="3">
        <v>138</v>
      </c>
      <c r="S210" s="6" t="s">
        <v>3689</v>
      </c>
      <c r="T210" s="3">
        <v>6</v>
      </c>
      <c r="U210" t="s">
        <v>56</v>
      </c>
      <c r="V210" t="s">
        <v>56</v>
      </c>
      <c r="W210" t="s">
        <v>56</v>
      </c>
      <c r="X210" t="s">
        <v>56</v>
      </c>
      <c r="Y210" t="s">
        <v>56</v>
      </c>
      <c r="Z210" t="s">
        <v>56</v>
      </c>
      <c r="AA210" t="s">
        <v>56</v>
      </c>
      <c r="AB210" t="s">
        <v>56</v>
      </c>
      <c r="AC210" t="s">
        <v>56</v>
      </c>
      <c r="AD210" t="s">
        <v>56</v>
      </c>
      <c r="AE210" t="s">
        <v>56</v>
      </c>
      <c r="AF210" t="s">
        <v>56</v>
      </c>
      <c r="AG210" t="s">
        <v>56</v>
      </c>
      <c r="AH210" t="s">
        <v>56</v>
      </c>
      <c r="AI210" t="s">
        <v>56</v>
      </c>
      <c r="AJ210" t="s">
        <v>56</v>
      </c>
      <c r="AK210" t="s">
        <v>56</v>
      </c>
      <c r="AL210" t="s">
        <v>56</v>
      </c>
      <c r="AM210" t="s">
        <v>56</v>
      </c>
      <c r="AN210" s="19" t="s">
        <v>56</v>
      </c>
      <c r="AO210" t="s">
        <v>56</v>
      </c>
      <c r="AP210" t="s">
        <v>56</v>
      </c>
      <c r="AQ210" t="s">
        <v>56</v>
      </c>
      <c r="AR210" t="s">
        <v>56</v>
      </c>
      <c r="AS210" t="s">
        <v>56</v>
      </c>
      <c r="AT210" t="s">
        <v>56</v>
      </c>
      <c r="AU210" t="s">
        <v>56</v>
      </c>
      <c r="AV210" t="s">
        <v>56</v>
      </c>
      <c r="AW210" t="s">
        <v>56</v>
      </c>
      <c r="AX210" t="s">
        <v>56</v>
      </c>
      <c r="AY210" t="s">
        <v>56</v>
      </c>
      <c r="AZ210" t="s">
        <v>56</v>
      </c>
      <c r="BA210" t="s">
        <v>56</v>
      </c>
      <c r="BB210" t="s">
        <v>56</v>
      </c>
      <c r="BC210" t="s">
        <v>56</v>
      </c>
      <c r="BD210" t="s">
        <v>56</v>
      </c>
      <c r="BE210" t="s">
        <v>56</v>
      </c>
      <c r="BF210" t="s">
        <v>56</v>
      </c>
      <c r="BG210" t="str">
        <f>HYPERLINK(".\links\PREV-RHOD-PEP\TI_asb-348-PREV-RHOD-PEP.txt","Contig17821_87")</f>
        <v>Contig17821_87</v>
      </c>
      <c r="BH210" s="6">
        <v>9.9</v>
      </c>
      <c r="BI210" t="str">
        <f>HYPERLINK(".\links\PREV-RHOD-PEP\TI_asb-348-PREV-RHOD-PEP.txt"," 2")</f>
        <v xml:space="preserve"> 2</v>
      </c>
      <c r="BJ210" t="s">
        <v>2157</v>
      </c>
      <c r="BK210">
        <v>25.8</v>
      </c>
      <c r="BL210">
        <v>42</v>
      </c>
      <c r="BM210">
        <v>994</v>
      </c>
      <c r="BN210">
        <v>35</v>
      </c>
      <c r="BO210">
        <v>4</v>
      </c>
      <c r="BP210">
        <v>27</v>
      </c>
      <c r="BQ210">
        <v>0</v>
      </c>
      <c r="BR210">
        <v>453</v>
      </c>
      <c r="BS210">
        <v>45</v>
      </c>
      <c r="BT210">
        <v>1</v>
      </c>
      <c r="BU210" t="s">
        <v>54</v>
      </c>
      <c r="BV210" t="s">
        <v>2158</v>
      </c>
      <c r="BW210" t="s">
        <v>56</v>
      </c>
      <c r="BX210" t="str">
        <f>HYPERLINK(".\links\PREV-RHOD-CDS\TI_asb-348-PREV-RHOD-CDS.txt","Contig17607_32")</f>
        <v>Contig17607_32</v>
      </c>
      <c r="BY210" s="6">
        <v>1.6E-2</v>
      </c>
      <c r="BZ210" t="s">
        <v>2159</v>
      </c>
      <c r="CA210">
        <v>40.1</v>
      </c>
      <c r="CB210">
        <v>23</v>
      </c>
      <c r="CC210">
        <v>312</v>
      </c>
      <c r="CD210">
        <v>95</v>
      </c>
      <c r="CE210">
        <v>8</v>
      </c>
      <c r="CF210">
        <v>1</v>
      </c>
      <c r="CG210">
        <v>0</v>
      </c>
      <c r="CH210">
        <v>230</v>
      </c>
      <c r="CI210">
        <v>461</v>
      </c>
      <c r="CJ210">
        <v>1</v>
      </c>
      <c r="CK210" t="s">
        <v>54</v>
      </c>
      <c r="CL210" t="s">
        <v>2160</v>
      </c>
      <c r="CM210">
        <f>HYPERLINK(".\links\GO\TI_asb-348-GO.txt",8.7)</f>
        <v>8.6999999999999993</v>
      </c>
      <c r="CN210" t="s">
        <v>58</v>
      </c>
      <c r="CO210" t="s">
        <v>58</v>
      </c>
      <c r="CQ210" t="s">
        <v>59</v>
      </c>
      <c r="CR210" s="6">
        <v>8.6999999999999993</v>
      </c>
      <c r="CS210" t="s">
        <v>60</v>
      </c>
      <c r="CT210" t="s">
        <v>60</v>
      </c>
      <c r="CV210" t="s">
        <v>61</v>
      </c>
      <c r="CW210" s="6">
        <v>8.6999999999999993</v>
      </c>
      <c r="CX210" t="s">
        <v>2161</v>
      </c>
      <c r="CY210" t="s">
        <v>58</v>
      </c>
      <c r="DA210" t="s">
        <v>2162</v>
      </c>
      <c r="DB210" s="6">
        <v>8.6999999999999993</v>
      </c>
      <c r="DC210" t="s">
        <v>56</v>
      </c>
      <c r="DD210" t="s">
        <v>56</v>
      </c>
      <c r="DE210" t="s">
        <v>56</v>
      </c>
      <c r="DF210" t="str">
        <f>HYPERLINK(".\links\PFAM\TI_asb-348-PFAM.txt","Borrelia_orfA")</f>
        <v>Borrelia_orfA</v>
      </c>
      <c r="DG210" t="str">
        <f>HYPERLINK("http://pfam.sanger.ac.uk/family?acc=PF02414","0.062")</f>
        <v>0.062</v>
      </c>
      <c r="DH210" t="s">
        <v>56</v>
      </c>
      <c r="DI210" s="6" t="s">
        <v>56</v>
      </c>
      <c r="DJ210" s="6" t="s">
        <v>56</v>
      </c>
      <c r="DN210" t="s">
        <v>56</v>
      </c>
      <c r="DO210" t="s">
        <v>56</v>
      </c>
      <c r="DP210" s="3" t="s">
        <v>56</v>
      </c>
      <c r="ED210" s="3" t="s">
        <v>56</v>
      </c>
    </row>
    <row r="211" spans="1:147">
      <c r="A211" t="str">
        <f>HYPERLINK(".\links\seq\TI_asb-349-seq.txt","TI_asb-349")</f>
        <v>TI_asb-349</v>
      </c>
      <c r="B211">
        <v>349</v>
      </c>
      <c r="C211" t="str">
        <f>HYPERLINK(".\links\tsa\TI_asb-349-tsa.txt","1")</f>
        <v>1</v>
      </c>
      <c r="D211">
        <v>1</v>
      </c>
      <c r="E211">
        <v>963</v>
      </c>
      <c r="F211">
        <v>875</v>
      </c>
      <c r="G211" t="str">
        <f>HYPERLINK(".\links\qual\TI_asb-349-qual.txt","21")</f>
        <v>21</v>
      </c>
      <c r="H211">
        <v>0</v>
      </c>
      <c r="I211">
        <v>1</v>
      </c>
      <c r="J211">
        <f t="shared" si="10"/>
        <v>1</v>
      </c>
      <c r="K211" s="6">
        <f t="shared" si="11"/>
        <v>-1</v>
      </c>
      <c r="L211" s="6" t="s">
        <v>3868</v>
      </c>
      <c r="M211" s="6" t="s">
        <v>3869</v>
      </c>
      <c r="N211" s="6"/>
      <c r="O211" s="6"/>
      <c r="P211" s="6"/>
      <c r="Q211" s="3">
        <v>963</v>
      </c>
      <c r="R211" s="3">
        <v>279</v>
      </c>
      <c r="S211" s="3" t="s">
        <v>3690</v>
      </c>
      <c r="T211" s="3">
        <v>6</v>
      </c>
      <c r="U211" t="s">
        <v>56</v>
      </c>
      <c r="V211" t="s">
        <v>56</v>
      </c>
      <c r="W211" t="s">
        <v>56</v>
      </c>
      <c r="X211" t="s">
        <v>56</v>
      </c>
      <c r="Y211" t="s">
        <v>56</v>
      </c>
      <c r="Z211" t="s">
        <v>56</v>
      </c>
      <c r="AA211" t="s">
        <v>56</v>
      </c>
      <c r="AB211" t="s">
        <v>56</v>
      </c>
      <c r="AC211" t="s">
        <v>56</v>
      </c>
      <c r="AD211" t="s">
        <v>56</v>
      </c>
      <c r="AE211" t="s">
        <v>56</v>
      </c>
      <c r="AF211" t="s">
        <v>56</v>
      </c>
      <c r="AG211" t="s">
        <v>56</v>
      </c>
      <c r="AH211" t="s">
        <v>56</v>
      </c>
      <c r="AI211" t="s">
        <v>56</v>
      </c>
      <c r="AJ211" t="s">
        <v>56</v>
      </c>
      <c r="AK211" t="s">
        <v>56</v>
      </c>
      <c r="AL211" t="s">
        <v>56</v>
      </c>
      <c r="AM211" t="s">
        <v>56</v>
      </c>
      <c r="AN211" s="19" t="s">
        <v>56</v>
      </c>
      <c r="AO211" t="s">
        <v>56</v>
      </c>
      <c r="AP211" t="s">
        <v>56</v>
      </c>
      <c r="AQ211" t="s">
        <v>56</v>
      </c>
      <c r="AR211" t="s">
        <v>56</v>
      </c>
      <c r="AS211" t="s">
        <v>56</v>
      </c>
      <c r="AT211" t="s">
        <v>56</v>
      </c>
      <c r="AU211" t="s">
        <v>56</v>
      </c>
      <c r="AV211" t="s">
        <v>56</v>
      </c>
      <c r="AW211" t="s">
        <v>56</v>
      </c>
      <c r="AX211" t="s">
        <v>56</v>
      </c>
      <c r="AY211" t="s">
        <v>56</v>
      </c>
      <c r="AZ211" t="s">
        <v>56</v>
      </c>
      <c r="BA211" t="s">
        <v>56</v>
      </c>
      <c r="BB211" t="s">
        <v>56</v>
      </c>
      <c r="BC211" t="s">
        <v>56</v>
      </c>
      <c r="BD211" t="s">
        <v>56</v>
      </c>
      <c r="BE211" t="s">
        <v>56</v>
      </c>
      <c r="BF211" t="s">
        <v>56</v>
      </c>
      <c r="BG211" t="s">
        <v>56</v>
      </c>
      <c r="BH211" s="6" t="s">
        <v>56</v>
      </c>
      <c r="BI211" t="s">
        <v>56</v>
      </c>
      <c r="BJ211" t="s">
        <v>56</v>
      </c>
      <c r="BK211" t="s">
        <v>56</v>
      </c>
      <c r="BL211" t="s">
        <v>56</v>
      </c>
      <c r="BM211" t="s">
        <v>56</v>
      </c>
      <c r="BN211" t="s">
        <v>56</v>
      </c>
      <c r="BO211" t="s">
        <v>56</v>
      </c>
      <c r="BP211" t="s">
        <v>56</v>
      </c>
      <c r="BQ211" t="s">
        <v>56</v>
      </c>
      <c r="BR211" t="s">
        <v>56</v>
      </c>
      <c r="BS211" t="s">
        <v>56</v>
      </c>
      <c r="BT211" t="s">
        <v>56</v>
      </c>
      <c r="BU211" t="s">
        <v>56</v>
      </c>
      <c r="BV211" t="s">
        <v>56</v>
      </c>
      <c r="BW211" t="s">
        <v>56</v>
      </c>
      <c r="BX211" t="str">
        <f>HYPERLINK(".\links\PREV-RHOD-CDS\TI_asb-349-PREV-RHOD-CDS.txt","Contig17968_87")</f>
        <v>Contig17968_87</v>
      </c>
      <c r="BY211" s="6">
        <v>0.48</v>
      </c>
      <c r="BZ211" t="s">
        <v>2163</v>
      </c>
      <c r="CA211">
        <v>36.200000000000003</v>
      </c>
      <c r="CB211">
        <v>21</v>
      </c>
      <c r="CC211">
        <v>1815</v>
      </c>
      <c r="CD211">
        <v>95</v>
      </c>
      <c r="CE211">
        <v>1</v>
      </c>
      <c r="CF211">
        <v>1</v>
      </c>
      <c r="CG211">
        <v>0</v>
      </c>
      <c r="CH211">
        <v>1531</v>
      </c>
      <c r="CI211">
        <v>111</v>
      </c>
      <c r="CJ211">
        <v>1</v>
      </c>
      <c r="CK211" t="s">
        <v>64</v>
      </c>
      <c r="CL211" t="s">
        <v>56</v>
      </c>
      <c r="CM211" t="s">
        <v>56</v>
      </c>
      <c r="CN211" t="s">
        <v>56</v>
      </c>
      <c r="CO211" t="s">
        <v>56</v>
      </c>
      <c r="CP211" t="s">
        <v>56</v>
      </c>
      <c r="CQ211" t="s">
        <v>56</v>
      </c>
      <c r="CR211" s="6" t="s">
        <v>56</v>
      </c>
      <c r="CS211" t="s">
        <v>56</v>
      </c>
      <c r="CT211" t="s">
        <v>56</v>
      </c>
      <c r="CU211" t="s">
        <v>56</v>
      </c>
      <c r="CV211" t="s">
        <v>56</v>
      </c>
      <c r="CW211" s="6" t="s">
        <v>56</v>
      </c>
      <c r="CX211" t="s">
        <v>56</v>
      </c>
      <c r="CY211" t="s">
        <v>56</v>
      </c>
      <c r="CZ211" t="s">
        <v>56</v>
      </c>
      <c r="DA211" t="s">
        <v>56</v>
      </c>
      <c r="DB211" s="6" t="s">
        <v>56</v>
      </c>
      <c r="DC211" t="str">
        <f>HYPERLINK(".\links\CDD\TI_asb-349-CDD.txt","MopB_Res-Cmplx1")</f>
        <v>MopB_Res-Cmplx1</v>
      </c>
      <c r="DD211" t="str">
        <f>HYPERLINK("http://www.ncbi.nlm.nih.gov/Structure/cdd/cddsrv.cgi?uid=cd02774&amp;version=v4.0","0.003")</f>
        <v>0.003</v>
      </c>
      <c r="DE211" t="s">
        <v>2164</v>
      </c>
      <c r="DF211" t="str">
        <f>HYPERLINK(".\links\PFAM\TI_asb-349-PFAM.txt","IncFII_repA")</f>
        <v>IncFII_repA</v>
      </c>
      <c r="DG211" t="str">
        <f>HYPERLINK("http://pfam.sanger.ac.uk/family?acc=PF02387","1E-004")</f>
        <v>1E-004</v>
      </c>
      <c r="DH211" t="str">
        <f>HYPERLINK(".\links\PRK\TI_asb-349-PRK.txt","NADH dehydrogenase subunit 5")</f>
        <v>NADH dehydrogenase subunit 5</v>
      </c>
      <c r="DI211" s="7">
        <v>5.0000000000000004E-6</v>
      </c>
      <c r="DJ211" s="6" t="str">
        <f>HYPERLINK(".\links\KOG\TI_asb-349-KOG.txt","Alpha-1,2 glucosyltransferase/transcriptional activator")</f>
        <v>Alpha-1,2 glucosyltransferase/transcriptional activator</v>
      </c>
      <c r="DK211" s="6" t="str">
        <f>HYPERLINK("http://www.ncbi.nlm.nih.gov/COG/grace/shokog.cgi?KOG2642","0.079")</f>
        <v>0.079</v>
      </c>
      <c r="DL211" s="6" t="s">
        <v>4335</v>
      </c>
      <c r="DM211" s="6" t="str">
        <f>HYPERLINK(".\links\KOG\TI_asb-349-KOG.txt","KOG2642")</f>
        <v>KOG2642</v>
      </c>
      <c r="DN211" t="str">
        <f>HYPERLINK(".\links\SMART\TI_asb-349-SMART.txt","AgrB")</f>
        <v>AgrB</v>
      </c>
      <c r="DO211" t="str">
        <f>HYPERLINK("http://smart.embl-heidelberg.de/smart/do_annotation.pl?DOMAIN=AgrB&amp;BLAST=DUMMY","0.025")</f>
        <v>0.025</v>
      </c>
      <c r="DP211" s="3" t="s">
        <v>56</v>
      </c>
      <c r="ED211" s="3" t="str">
        <f>HYPERLINK(".\links\MIT-PLA\TI_asb-349-MIT-PLA.txt","Triatoma dimidiata mitochondrial DNA, complete genome")</f>
        <v>Triatoma dimidiata mitochondrial DNA, complete genome</v>
      </c>
      <c r="EE211" s="3" t="str">
        <f>HYPERLINK("http://www.ncbi.nlm.nih.gov/entrez/viewer.fcgi?db=nucleotide&amp;val=11139100","1E-010")</f>
        <v>1E-010</v>
      </c>
      <c r="EF211" s="3" t="str">
        <f>HYPERLINK("http://www.ncbi.nlm.nih.gov/entrez/viewer.fcgi?db=nucleotide&amp;val=11139100","gi|11139100")</f>
        <v>gi|11139100</v>
      </c>
      <c r="EG211" s="3">
        <v>67.900000000000006</v>
      </c>
      <c r="EH211" s="3">
        <v>182</v>
      </c>
      <c r="EI211" s="3">
        <v>17019</v>
      </c>
      <c r="EJ211" s="3">
        <v>83</v>
      </c>
      <c r="EK211" s="3">
        <v>1</v>
      </c>
      <c r="EL211" s="3">
        <v>14</v>
      </c>
      <c r="EM211" s="3">
        <v>0</v>
      </c>
      <c r="EN211" s="3">
        <v>13717</v>
      </c>
      <c r="EO211" s="3">
        <v>92</v>
      </c>
      <c r="EP211" s="3">
        <v>2</v>
      </c>
      <c r="EQ211" s="3" t="s">
        <v>64</v>
      </c>
    </row>
    <row r="212" spans="1:147">
      <c r="A212" t="str">
        <f>HYPERLINK(".\links\seq\TI_asb-350-seq.txt","TI_asb-350")</f>
        <v>TI_asb-350</v>
      </c>
      <c r="B212">
        <v>350</v>
      </c>
      <c r="C212" t="str">
        <f>HYPERLINK(".\links\tsa\TI_asb-350-tsa.txt","1")</f>
        <v>1</v>
      </c>
      <c r="D212">
        <v>1</v>
      </c>
      <c r="E212">
        <v>549</v>
      </c>
      <c r="G212" t="str">
        <f>HYPERLINK(".\links\qual\TI_asb-350-qual.txt","55")</f>
        <v>55</v>
      </c>
      <c r="H212">
        <v>0</v>
      </c>
      <c r="I212">
        <v>1</v>
      </c>
      <c r="J212">
        <f t="shared" si="10"/>
        <v>1</v>
      </c>
      <c r="K212" s="6">
        <f t="shared" si="11"/>
        <v>-1</v>
      </c>
      <c r="L212" s="6" t="s">
        <v>4019</v>
      </c>
      <c r="M212" s="6" t="s">
        <v>3881</v>
      </c>
      <c r="N212" s="6" t="s">
        <v>3875</v>
      </c>
      <c r="O212" s="7">
        <v>2.0000000000000001E-42</v>
      </c>
      <c r="P212" s="6">
        <v>18.3</v>
      </c>
      <c r="Q212" s="3">
        <v>549</v>
      </c>
      <c r="R212" s="3">
        <v>357</v>
      </c>
      <c r="S212" s="3" t="s">
        <v>3691</v>
      </c>
      <c r="T212" s="3">
        <v>1</v>
      </c>
      <c r="U212" t="str">
        <f>HYPERLINK(".\links\NR-LIGHT\TI_asb-350-NR-LIGHT.txt","hypothetical protein DAPPUDRAFT_256736")</f>
        <v>hypothetical protein DAPPUDRAFT_256736</v>
      </c>
      <c r="V212" t="str">
        <f>HYPERLINK("http://www.ncbi.nlm.nih.gov/sutils/blink.cgi?pid=321459623","1E-030")</f>
        <v>1E-030</v>
      </c>
      <c r="W212" t="str">
        <f>HYPERLINK(".\links\NR-LIGHT\TI_asb-350-NR-LIGHT.txt"," 10")</f>
        <v xml:space="preserve"> 10</v>
      </c>
      <c r="X212" t="str">
        <f>HYPERLINK("http://www.ncbi.nlm.nih.gov/protein/321459623","gi|321459623")</f>
        <v>gi|321459623</v>
      </c>
      <c r="Y212">
        <v>134</v>
      </c>
      <c r="Z212">
        <v>77</v>
      </c>
      <c r="AA212">
        <v>664</v>
      </c>
      <c r="AB212">
        <v>79</v>
      </c>
      <c r="AC212">
        <v>12</v>
      </c>
      <c r="AD212">
        <v>16</v>
      </c>
      <c r="AE212">
        <v>0</v>
      </c>
      <c r="AF212">
        <v>552</v>
      </c>
      <c r="AG212">
        <v>4</v>
      </c>
      <c r="AH212">
        <v>1</v>
      </c>
      <c r="AI212">
        <v>1</v>
      </c>
      <c r="AJ212" t="s">
        <v>53</v>
      </c>
      <c r="AK212" t="s">
        <v>54</v>
      </c>
      <c r="AL212" t="s">
        <v>193</v>
      </c>
      <c r="AM212" t="str">
        <f>HYPERLINK(".\links\SWISSP\TI_asb-350-SWISSP.txt","Heat shock 70 kDa protein cognate 4 OS=Manduca sexta PE=2 SV=1")</f>
        <v>Heat shock 70 kDa protein cognate 4 OS=Manduca sexta PE=2 SV=1</v>
      </c>
      <c r="AN212" s="19" t="str">
        <f>HYPERLINK("http://www.uniprot.org/uniprot/Q9U639","1E-030")</f>
        <v>1E-030</v>
      </c>
      <c r="AO212" t="str">
        <f>HYPERLINK(".\links\SWISSP\TI_asb-350-SWISSP.txt"," 10")</f>
        <v xml:space="preserve"> 10</v>
      </c>
      <c r="AP212" t="s">
        <v>2165</v>
      </c>
      <c r="AQ212">
        <v>132</v>
      </c>
      <c r="AR212">
        <v>77</v>
      </c>
      <c r="AS212">
        <v>652</v>
      </c>
      <c r="AT212">
        <v>80</v>
      </c>
      <c r="AU212">
        <v>12</v>
      </c>
      <c r="AV212">
        <v>15</v>
      </c>
      <c r="AW212">
        <v>0</v>
      </c>
      <c r="AX212">
        <v>536</v>
      </c>
      <c r="AY212">
        <v>4</v>
      </c>
      <c r="AZ212">
        <v>1</v>
      </c>
      <c r="BA212">
        <v>1</v>
      </c>
      <c r="BB212" t="s">
        <v>53</v>
      </c>
      <c r="BC212" t="s">
        <v>54</v>
      </c>
      <c r="BD212" t="s">
        <v>2166</v>
      </c>
      <c r="BE212" t="s">
        <v>2167</v>
      </c>
      <c r="BF212" t="s">
        <v>2168</v>
      </c>
      <c r="BG212" t="str">
        <f>HYPERLINK(".\links\PREV-RHOD-PEP\TI_asb-350-PREV-RHOD-PEP.txt","Contig17326_44")</f>
        <v>Contig17326_44</v>
      </c>
      <c r="BH212" s="7">
        <v>5.0000000000000003E-38</v>
      </c>
      <c r="BI212" t="str">
        <f>HYPERLINK(".\links\PREV-RHOD-PEP\TI_asb-350-PREV-RHOD-PEP.txt"," 10")</f>
        <v xml:space="preserve"> 10</v>
      </c>
      <c r="BJ212" t="s">
        <v>2169</v>
      </c>
      <c r="BK212">
        <v>153</v>
      </c>
      <c r="BL212">
        <v>79</v>
      </c>
      <c r="BM212">
        <v>652</v>
      </c>
      <c r="BN212">
        <v>96</v>
      </c>
      <c r="BO212">
        <v>12</v>
      </c>
      <c r="BP212">
        <v>3</v>
      </c>
      <c r="BQ212">
        <v>0</v>
      </c>
      <c r="BR212">
        <v>535</v>
      </c>
      <c r="BS212">
        <v>1</v>
      </c>
      <c r="BT212">
        <v>1</v>
      </c>
      <c r="BU212" t="s">
        <v>54</v>
      </c>
      <c r="BV212" t="s">
        <v>2170</v>
      </c>
      <c r="BW212" t="s">
        <v>56</v>
      </c>
      <c r="BX212" t="str">
        <f>HYPERLINK(".\links\PREV-RHOD-CDS\TI_asb-350-PREV-RHOD-CDS.txt","Contig17326_44")</f>
        <v>Contig17326_44</v>
      </c>
      <c r="BY212" s="7">
        <v>1.0000000000000001E-111</v>
      </c>
      <c r="BZ212" t="s">
        <v>2169</v>
      </c>
      <c r="CA212">
        <v>400</v>
      </c>
      <c r="CB212">
        <v>356</v>
      </c>
      <c r="CC212">
        <v>1959</v>
      </c>
      <c r="CD212">
        <v>89</v>
      </c>
      <c r="CE212">
        <v>18</v>
      </c>
      <c r="CF212">
        <v>39</v>
      </c>
      <c r="CG212">
        <v>3</v>
      </c>
      <c r="CH212">
        <v>1603</v>
      </c>
      <c r="CI212">
        <v>1</v>
      </c>
      <c r="CJ212">
        <v>1</v>
      </c>
      <c r="CK212" t="s">
        <v>54</v>
      </c>
      <c r="CL212" t="s">
        <v>2171</v>
      </c>
      <c r="CM212">
        <f>HYPERLINK(".\links\GO\TI_asb-350-GO.txt",3E-28)</f>
        <v>3E-28</v>
      </c>
      <c r="CN212" t="s">
        <v>364</v>
      </c>
      <c r="CO212" t="s">
        <v>129</v>
      </c>
      <c r="CP212" t="s">
        <v>166</v>
      </c>
      <c r="CQ212" t="s">
        <v>365</v>
      </c>
      <c r="CR212" s="7">
        <v>6.9999999999999999E-28</v>
      </c>
      <c r="CS212" t="s">
        <v>224</v>
      </c>
      <c r="CT212" t="s">
        <v>75</v>
      </c>
      <c r="CU212" t="s">
        <v>76</v>
      </c>
      <c r="CV212" t="s">
        <v>225</v>
      </c>
      <c r="CW212" s="7">
        <v>6.9999999999999999E-28</v>
      </c>
      <c r="CX212" t="s">
        <v>2172</v>
      </c>
      <c r="CY212" t="s">
        <v>129</v>
      </c>
      <c r="CZ212" t="s">
        <v>166</v>
      </c>
      <c r="DA212" t="s">
        <v>2173</v>
      </c>
      <c r="DB212" s="7">
        <v>6.9999999999999999E-28</v>
      </c>
      <c r="DC212" t="str">
        <f>HYPERLINK(".\links\CDD\TI_asb-350-CDD.txt","HSP70")</f>
        <v>HSP70</v>
      </c>
      <c r="DD212" t="str">
        <f>HYPERLINK("http://www.ncbi.nlm.nih.gov/Structure/cdd/cddsrv.cgi?uid=pfam00012&amp;version=v4.0","3E-010")</f>
        <v>3E-010</v>
      </c>
      <c r="DE212" t="s">
        <v>2174</v>
      </c>
      <c r="DF212" t="str">
        <f>HYPERLINK(".\links\PFAM\TI_asb-350-PFAM.txt","HSP70")</f>
        <v>HSP70</v>
      </c>
      <c r="DG212" t="str">
        <f>HYPERLINK("http://pfam.sanger.ac.uk/family?acc=PF00012","1E-012")</f>
        <v>1E-012</v>
      </c>
      <c r="DH212" t="str">
        <f>HYPERLINK(".\links\PRK\TI_asb-350-PRK.txt","heat shock 70 kDa protein")</f>
        <v>heat shock 70 kDa protein</v>
      </c>
      <c r="DI212" s="7">
        <v>2.0000000000000001E-42</v>
      </c>
      <c r="DJ212" s="6" t="str">
        <f>HYPERLINK(".\links\KOG\TI_asb-350-KOG.txt","Molecular chaperones HSP70/HSC70, HSP70 superfamily")</f>
        <v>Molecular chaperones HSP70/HSC70, HSP70 superfamily</v>
      </c>
      <c r="DK212" s="6" t="str">
        <f>HYPERLINK("http://www.ncbi.nlm.nih.gov/COG/grace/shokog.cgi?KOG0101","7E-025")</f>
        <v>7E-025</v>
      </c>
      <c r="DL212" s="6" t="s">
        <v>4340</v>
      </c>
      <c r="DM212" s="6" t="str">
        <f>HYPERLINK(".\links\KOG\TI_asb-350-KOG.txt","KOG0101")</f>
        <v>KOG0101</v>
      </c>
      <c r="DN212" t="str">
        <f>HYPERLINK(".\links\SMART\TI_asb-350-SMART.txt","PRP")</f>
        <v>PRP</v>
      </c>
      <c r="DO212" t="str">
        <f>HYPERLINK("http://smart.embl-heidelberg.de/smart/do_annotation.pl?DOMAIN=PRP&amp;BLAST=DUMMY","0.045")</f>
        <v>0.045</v>
      </c>
      <c r="DP212" s="3" t="s">
        <v>56</v>
      </c>
      <c r="ED212" s="3" t="s">
        <v>56</v>
      </c>
    </row>
    <row r="213" spans="1:147">
      <c r="A213" t="str">
        <f>HYPERLINK(".\links\seq\TI_asb-353-seq.txt","TI_asb-353")</f>
        <v>TI_asb-353</v>
      </c>
      <c r="B213">
        <v>353</v>
      </c>
      <c r="C213" t="str">
        <f>HYPERLINK(".\links\tsa\TI_asb-353-tsa.txt","1")</f>
        <v>1</v>
      </c>
      <c r="D213">
        <v>1</v>
      </c>
      <c r="E213">
        <v>401</v>
      </c>
      <c r="G213" t="str">
        <f>HYPERLINK(".\links\qual\TI_asb-353-qual.txt","34")</f>
        <v>34</v>
      </c>
      <c r="H213">
        <v>1</v>
      </c>
      <c r="I213">
        <v>0</v>
      </c>
      <c r="J213">
        <f t="shared" si="10"/>
        <v>1</v>
      </c>
      <c r="K213" s="6">
        <f t="shared" si="11"/>
        <v>1</v>
      </c>
      <c r="L213" s="6" t="s">
        <v>3868</v>
      </c>
      <c r="M213" s="6" t="s">
        <v>3869</v>
      </c>
      <c r="N213" s="6"/>
      <c r="O213" s="6"/>
      <c r="P213" s="6"/>
      <c r="Q213" s="3">
        <v>401</v>
      </c>
      <c r="R213" s="3">
        <v>144</v>
      </c>
      <c r="S213" s="3" t="s">
        <v>3692</v>
      </c>
      <c r="T213" s="3">
        <v>1</v>
      </c>
      <c r="U213" t="str">
        <f>HYPERLINK(".\links\NR-LIGHT\TI_asb-353-NR-LIGHT.txt","hypothetical protein")</f>
        <v>hypothetical protein</v>
      </c>
      <c r="V213" t="str">
        <f>HYPERLINK("http://www.ncbi.nlm.nih.gov/sutils/blink.cgi?pid=156097045","2.0")</f>
        <v>2.0</v>
      </c>
      <c r="W213" t="str">
        <f>HYPERLINK(".\links\NR-LIGHT\TI_asb-353-NR-LIGHT.txt"," 2")</f>
        <v xml:space="preserve"> 2</v>
      </c>
      <c r="X213" t="str">
        <f>HYPERLINK("http://www.ncbi.nlm.nih.gov/protein/156097045","gi|156097045")</f>
        <v>gi|156097045</v>
      </c>
      <c r="Y213">
        <v>33.5</v>
      </c>
      <c r="Z213">
        <v>63</v>
      </c>
      <c r="AA213">
        <v>1112</v>
      </c>
      <c r="AB213">
        <v>34</v>
      </c>
      <c r="AC213">
        <v>6</v>
      </c>
      <c r="AD213">
        <v>41</v>
      </c>
      <c r="AE213">
        <v>4</v>
      </c>
      <c r="AF213">
        <v>238</v>
      </c>
      <c r="AG213">
        <v>59</v>
      </c>
      <c r="AH213">
        <v>1</v>
      </c>
      <c r="AI213">
        <v>-2</v>
      </c>
      <c r="AJ213" t="s">
        <v>53</v>
      </c>
      <c r="AK213" t="s">
        <v>64</v>
      </c>
      <c r="AL213" t="s">
        <v>1151</v>
      </c>
      <c r="AM213" t="s">
        <v>56</v>
      </c>
      <c r="AN213" s="19" t="s">
        <v>56</v>
      </c>
      <c r="AO213" t="s">
        <v>56</v>
      </c>
      <c r="AP213" t="s">
        <v>56</v>
      </c>
      <c r="AQ213" t="s">
        <v>56</v>
      </c>
      <c r="AR213" t="s">
        <v>56</v>
      </c>
      <c r="AS213" t="s">
        <v>56</v>
      </c>
      <c r="AT213" t="s">
        <v>56</v>
      </c>
      <c r="AU213" t="s">
        <v>56</v>
      </c>
      <c r="AV213" t="s">
        <v>56</v>
      </c>
      <c r="AW213" t="s">
        <v>56</v>
      </c>
      <c r="AX213" t="s">
        <v>56</v>
      </c>
      <c r="AY213" t="s">
        <v>56</v>
      </c>
      <c r="AZ213" t="s">
        <v>56</v>
      </c>
      <c r="BA213" t="s">
        <v>56</v>
      </c>
      <c r="BB213" t="s">
        <v>56</v>
      </c>
      <c r="BC213" t="s">
        <v>56</v>
      </c>
      <c r="BD213" t="s">
        <v>56</v>
      </c>
      <c r="BE213" t="s">
        <v>56</v>
      </c>
      <c r="BF213" t="s">
        <v>56</v>
      </c>
      <c r="BG213" t="str">
        <f>HYPERLINK(".\links\PREV-RHOD-PEP\TI_asb-353-PREV-RHOD-PEP.txt","Contig17930_65")</f>
        <v>Contig17930_65</v>
      </c>
      <c r="BH213" s="6">
        <v>0.34</v>
      </c>
      <c r="BI213" t="str">
        <f>HYPERLINK(".\links\PREV-RHOD-PEP\TI_asb-353-PREV-RHOD-PEP.txt"," 5")</f>
        <v xml:space="preserve"> 5</v>
      </c>
      <c r="BJ213" t="s">
        <v>2175</v>
      </c>
      <c r="BK213">
        <v>30</v>
      </c>
      <c r="BL213">
        <v>17</v>
      </c>
      <c r="BM213">
        <v>1291</v>
      </c>
      <c r="BN213">
        <v>76</v>
      </c>
      <c r="BO213">
        <v>1</v>
      </c>
      <c r="BP213">
        <v>4</v>
      </c>
      <c r="BQ213">
        <v>0</v>
      </c>
      <c r="BR213">
        <v>1</v>
      </c>
      <c r="BS213">
        <v>351</v>
      </c>
      <c r="BT213">
        <v>1</v>
      </c>
      <c r="BU213" t="s">
        <v>54</v>
      </c>
      <c r="BV213" t="s">
        <v>2176</v>
      </c>
      <c r="BW213" t="s">
        <v>56</v>
      </c>
      <c r="BX213" t="str">
        <f>HYPERLINK(".\links\PREV-RHOD-CDS\TI_asb-353-PREV-RHOD-CDS.txt","Contig17906_86")</f>
        <v>Contig17906_86</v>
      </c>
      <c r="BY213" s="6">
        <v>0.2</v>
      </c>
      <c r="BZ213" t="s">
        <v>2177</v>
      </c>
      <c r="CA213">
        <v>36.200000000000003</v>
      </c>
      <c r="CB213">
        <v>21</v>
      </c>
      <c r="CC213">
        <v>1413</v>
      </c>
      <c r="CD213">
        <v>95</v>
      </c>
      <c r="CE213">
        <v>2</v>
      </c>
      <c r="CF213">
        <v>1</v>
      </c>
      <c r="CG213">
        <v>0</v>
      </c>
      <c r="CH213">
        <v>1305</v>
      </c>
      <c r="CI213">
        <v>164</v>
      </c>
      <c r="CJ213">
        <v>1</v>
      </c>
      <c r="CK213" t="s">
        <v>54</v>
      </c>
      <c r="CL213" t="s">
        <v>56</v>
      </c>
      <c r="CM213" t="s">
        <v>56</v>
      </c>
      <c r="CN213" t="s">
        <v>56</v>
      </c>
      <c r="CO213" t="s">
        <v>56</v>
      </c>
      <c r="CP213" t="s">
        <v>56</v>
      </c>
      <c r="CQ213" t="s">
        <v>56</v>
      </c>
      <c r="CR213" s="6" t="s">
        <v>56</v>
      </c>
      <c r="CS213" t="s">
        <v>56</v>
      </c>
      <c r="CT213" t="s">
        <v>56</v>
      </c>
      <c r="CU213" t="s">
        <v>56</v>
      </c>
      <c r="CV213" t="s">
        <v>56</v>
      </c>
      <c r="CW213" s="6" t="s">
        <v>56</v>
      </c>
      <c r="CX213" t="s">
        <v>56</v>
      </c>
      <c r="CY213" t="s">
        <v>56</v>
      </c>
      <c r="CZ213" t="s">
        <v>56</v>
      </c>
      <c r="DA213" t="s">
        <v>56</v>
      </c>
      <c r="DB213" s="6" t="s">
        <v>56</v>
      </c>
      <c r="DC213" t="str">
        <f>HYPERLINK(".\links\CDD\TI_asb-353-CDD.txt","ND4")</f>
        <v>ND4</v>
      </c>
      <c r="DD213" t="str">
        <f>HYPERLINK("http://www.ncbi.nlm.nih.gov/Structure/cdd/cddsrv.cgi?uid=MTH00163&amp;version=v4.0","0.041")</f>
        <v>0.041</v>
      </c>
      <c r="DE213" t="s">
        <v>2178</v>
      </c>
      <c r="DF213" t="s">
        <v>56</v>
      </c>
      <c r="DG213" t="s">
        <v>56</v>
      </c>
      <c r="DH213" t="str">
        <f>HYPERLINK(".\links\PRK\TI_asb-353-PRK.txt","NADH dehydrogenase subunit 4")</f>
        <v>NADH dehydrogenase subunit 4</v>
      </c>
      <c r="DI213" s="6">
        <v>2.4E-2</v>
      </c>
      <c r="DJ213" s="6" t="s">
        <v>56</v>
      </c>
      <c r="DN213" t="str">
        <f>HYPERLINK(".\links\SMART\TI_asb-353-SMART.txt","WIF")</f>
        <v>WIF</v>
      </c>
      <c r="DO213" t="str">
        <f>HYPERLINK("http://smart.embl-heidelberg.de/smart/do_annotation.pl?DOMAIN=WIF&amp;BLAST=DUMMY","0.052")</f>
        <v>0.052</v>
      </c>
      <c r="DP213" s="3" t="s">
        <v>56</v>
      </c>
      <c r="ED213" s="3" t="s">
        <v>56</v>
      </c>
    </row>
    <row r="214" spans="1:147">
      <c r="A214" t="str">
        <f>HYPERLINK(".\links\seq\TI_asb-354-seq.txt","TI_asb-354")</f>
        <v>TI_asb-354</v>
      </c>
      <c r="B214">
        <v>354</v>
      </c>
      <c r="C214" t="str">
        <f>HYPERLINK(".\links\tsa\TI_asb-354-tsa.txt","1")</f>
        <v>1</v>
      </c>
      <c r="D214">
        <v>1</v>
      </c>
      <c r="E214">
        <v>545</v>
      </c>
      <c r="G214" t="str">
        <f>HYPERLINK(".\links\qual\TI_asb-354-qual.txt","52")</f>
        <v>52</v>
      </c>
      <c r="H214">
        <v>0</v>
      </c>
      <c r="I214">
        <v>1</v>
      </c>
      <c r="J214">
        <f t="shared" si="10"/>
        <v>1</v>
      </c>
      <c r="K214" s="6">
        <f t="shared" si="11"/>
        <v>-1</v>
      </c>
      <c r="L214" s="6" t="s">
        <v>4020</v>
      </c>
      <c r="M214" s="6" t="s">
        <v>3912</v>
      </c>
      <c r="N214" s="6" t="s">
        <v>3872</v>
      </c>
      <c r="O214" s="7">
        <v>1.0000000000000001E-30</v>
      </c>
      <c r="P214" s="6">
        <v>27.6</v>
      </c>
      <c r="Q214" s="3">
        <v>545</v>
      </c>
      <c r="R214" s="3">
        <v>390</v>
      </c>
      <c r="S214" s="3" t="s">
        <v>3693</v>
      </c>
      <c r="T214" s="3">
        <v>1</v>
      </c>
      <c r="U214" t="str">
        <f>HYPERLINK(".\links\NR-LIGHT\TI_asb-354-NR-LIGHT.txt","conserved hypothetical protein")</f>
        <v>conserved hypothetical protein</v>
      </c>
      <c r="V214" t="str">
        <f>HYPERLINK("http://www.ncbi.nlm.nih.gov/sutils/blink.cgi?pid=242013531","6E-045")</f>
        <v>6E-045</v>
      </c>
      <c r="W214" t="str">
        <f>HYPERLINK(".\links\NR-LIGHT\TI_asb-354-NR-LIGHT.txt"," 10")</f>
        <v xml:space="preserve"> 10</v>
      </c>
      <c r="X214" t="str">
        <f>HYPERLINK("http://www.ncbi.nlm.nih.gov/protein/242013531","gi|242013531")</f>
        <v>gi|242013531</v>
      </c>
      <c r="Y214">
        <v>182</v>
      </c>
      <c r="Z214">
        <v>101</v>
      </c>
      <c r="AA214">
        <v>271</v>
      </c>
      <c r="AB214">
        <v>84</v>
      </c>
      <c r="AC214">
        <v>37</v>
      </c>
      <c r="AD214">
        <v>16</v>
      </c>
      <c r="AE214">
        <v>0</v>
      </c>
      <c r="AF214">
        <v>28</v>
      </c>
      <c r="AG214">
        <v>241</v>
      </c>
      <c r="AH214">
        <v>1</v>
      </c>
      <c r="AI214">
        <v>1</v>
      </c>
      <c r="AJ214" t="s">
        <v>53</v>
      </c>
      <c r="AK214" t="s">
        <v>54</v>
      </c>
      <c r="AL214" t="s">
        <v>141</v>
      </c>
      <c r="AM214" t="str">
        <f>HYPERLINK(".\links\SWISSP\TI_asb-354-SWISSP.txt","Malectin OS=Rattus norvegicus GN=Mlec PE=2 SV=1")</f>
        <v>Malectin OS=Rattus norvegicus GN=Mlec PE=2 SV=1</v>
      </c>
      <c r="AN214" s="19" t="str">
        <f>HYPERLINK("http://www.uniprot.org/uniprot/Q5FVQ4","5E-029")</f>
        <v>5E-029</v>
      </c>
      <c r="AO214" t="str">
        <f>HYPERLINK(".\links\SWISSP\TI_asb-354-SWISSP.txt"," 9")</f>
        <v xml:space="preserve"> 9</v>
      </c>
      <c r="AP214" t="s">
        <v>2179</v>
      </c>
      <c r="AQ214">
        <v>127</v>
      </c>
      <c r="AR214">
        <v>97</v>
      </c>
      <c r="AS214">
        <v>291</v>
      </c>
      <c r="AT214">
        <v>58</v>
      </c>
      <c r="AU214">
        <v>33</v>
      </c>
      <c r="AV214">
        <v>40</v>
      </c>
      <c r="AW214">
        <v>0</v>
      </c>
      <c r="AX214">
        <v>47</v>
      </c>
      <c r="AY214">
        <v>253</v>
      </c>
      <c r="AZ214">
        <v>1</v>
      </c>
      <c r="BA214">
        <v>1</v>
      </c>
      <c r="BB214" t="s">
        <v>53</v>
      </c>
      <c r="BC214" t="s">
        <v>54</v>
      </c>
      <c r="BD214" t="s">
        <v>122</v>
      </c>
      <c r="BE214" t="s">
        <v>2180</v>
      </c>
      <c r="BF214" t="s">
        <v>2181</v>
      </c>
      <c r="BG214" t="str">
        <f>HYPERLINK(".\links\PREV-RHOD-PEP\TI_asb-354-PREV-RHOD-PEP.txt","Contig17767_9")</f>
        <v>Contig17767_9</v>
      </c>
      <c r="BH214" s="7">
        <v>1E-59</v>
      </c>
      <c r="BI214" t="str">
        <f>HYPERLINK(".\links\PREV-RHOD-PEP\TI_asb-354-PREV-RHOD-PEP.txt"," 4")</f>
        <v xml:space="preserve"> 4</v>
      </c>
      <c r="BJ214" t="s">
        <v>2182</v>
      </c>
      <c r="BK214">
        <v>224</v>
      </c>
      <c r="BL214">
        <v>108</v>
      </c>
      <c r="BM214">
        <v>268</v>
      </c>
      <c r="BN214">
        <v>99</v>
      </c>
      <c r="BO214">
        <v>40</v>
      </c>
      <c r="BP214">
        <v>1</v>
      </c>
      <c r="BQ214">
        <v>0</v>
      </c>
      <c r="BR214">
        <v>19</v>
      </c>
      <c r="BS214">
        <v>220</v>
      </c>
      <c r="BT214">
        <v>1</v>
      </c>
      <c r="BU214" t="s">
        <v>54</v>
      </c>
      <c r="BV214" t="s">
        <v>2183</v>
      </c>
      <c r="BW214" t="s">
        <v>56</v>
      </c>
      <c r="BX214" t="str">
        <f>HYPERLINK(".\links\PREV-RHOD-CDS\TI_asb-354-PREV-RHOD-CDS.txt","Contig17767_9")</f>
        <v>Contig17767_9</v>
      </c>
      <c r="BY214" s="7">
        <v>1E-117</v>
      </c>
      <c r="BZ214" t="s">
        <v>2182</v>
      </c>
      <c r="CA214">
        <v>420</v>
      </c>
      <c r="CB214">
        <v>339</v>
      </c>
      <c r="CC214">
        <v>807</v>
      </c>
      <c r="CD214">
        <v>90</v>
      </c>
      <c r="CE214">
        <v>42</v>
      </c>
      <c r="CF214">
        <v>32</v>
      </c>
      <c r="CG214">
        <v>0</v>
      </c>
      <c r="CH214">
        <v>41</v>
      </c>
      <c r="CI214">
        <v>206</v>
      </c>
      <c r="CJ214">
        <v>1</v>
      </c>
      <c r="CK214" t="s">
        <v>54</v>
      </c>
      <c r="CL214" t="s">
        <v>2184</v>
      </c>
      <c r="CM214">
        <f>HYPERLINK(".\links\GO\TI_asb-354-GO.txt",2E-29)</f>
        <v>1.9999999999999999E-29</v>
      </c>
      <c r="CN214" t="s">
        <v>58</v>
      </c>
      <c r="CO214" t="s">
        <v>58</v>
      </c>
      <c r="CQ214" t="s">
        <v>59</v>
      </c>
      <c r="CR214" s="6">
        <v>1.2</v>
      </c>
      <c r="CS214" t="s">
        <v>2185</v>
      </c>
      <c r="CT214" t="s">
        <v>2186</v>
      </c>
      <c r="CU214" t="s">
        <v>2187</v>
      </c>
      <c r="CV214" t="s">
        <v>2188</v>
      </c>
      <c r="CW214" s="6">
        <v>1.2</v>
      </c>
      <c r="CX214" t="s">
        <v>62</v>
      </c>
      <c r="CY214" t="s">
        <v>58</v>
      </c>
      <c r="DA214" t="s">
        <v>63</v>
      </c>
      <c r="DB214" s="6">
        <v>1.2</v>
      </c>
      <c r="DC214" t="str">
        <f>HYPERLINK(".\links\CDD\TI_asb-354-CDD.txt","ND5")</f>
        <v>ND5</v>
      </c>
      <c r="DD214" t="str">
        <f>HYPERLINK("http://www.ncbi.nlm.nih.gov/Structure/cdd/cddsrv.cgi?uid=MTH00095&amp;version=v4.0","0.068")</f>
        <v>0.068</v>
      </c>
      <c r="DE214" t="s">
        <v>2189</v>
      </c>
      <c r="DF214" t="s">
        <v>56</v>
      </c>
      <c r="DG214" t="s">
        <v>56</v>
      </c>
      <c r="DH214" t="str">
        <f>HYPERLINK(".\links\PRK\TI_asb-354-PRK.txt","NADH dehydrogenase subunit 5")</f>
        <v>NADH dehydrogenase subunit 5</v>
      </c>
      <c r="DI214" s="6">
        <v>5.0999999999999997E-2</v>
      </c>
      <c r="DJ214" s="6" t="str">
        <f>HYPERLINK(".\links\KOG\TI_asb-354-KOG.txt","Predicted receptor-like serine/threonine kinase")</f>
        <v>Predicted receptor-like serine/threonine kinase</v>
      </c>
      <c r="DK214" s="6" t="str">
        <f>HYPERLINK("http://www.ncbi.nlm.nih.gov/COG/grace/shokog.cgi?KOG3593","1E-030")</f>
        <v>1E-030</v>
      </c>
      <c r="DL214" s="6" t="s">
        <v>4342</v>
      </c>
      <c r="DM214" s="6" t="str">
        <f>HYPERLINK(".\links\KOG\TI_asb-354-KOG.txt","KOG3593")</f>
        <v>KOG3593</v>
      </c>
      <c r="DN214" t="s">
        <v>56</v>
      </c>
      <c r="DO214" t="s">
        <v>56</v>
      </c>
      <c r="DP214" s="3" t="s">
        <v>56</v>
      </c>
      <c r="ED214" s="3" t="s">
        <v>56</v>
      </c>
    </row>
    <row r="215" spans="1:147">
      <c r="A215" t="str">
        <f>HYPERLINK(".\links\seq\TI_asb-357-seq.txt","TI_asb-357")</f>
        <v>TI_asb-357</v>
      </c>
      <c r="B215">
        <v>357</v>
      </c>
      <c r="C215" t="str">
        <f>HYPERLINK(".\links\tsa\TI_asb-357-tsa.txt","1")</f>
        <v>1</v>
      </c>
      <c r="D215">
        <v>1</v>
      </c>
      <c r="E215">
        <v>649</v>
      </c>
      <c r="F215">
        <v>1</v>
      </c>
      <c r="G215" t="str">
        <f>HYPERLINK(".\links\qual\TI_asb-357-qual.txt","20")</f>
        <v>20</v>
      </c>
      <c r="H215">
        <v>1</v>
      </c>
      <c r="I215">
        <v>0</v>
      </c>
      <c r="J215">
        <f t="shared" si="10"/>
        <v>1</v>
      </c>
      <c r="K215" s="6">
        <f t="shared" si="11"/>
        <v>1</v>
      </c>
      <c r="L215" s="6" t="s">
        <v>3905</v>
      </c>
      <c r="M215" s="6" t="s">
        <v>3906</v>
      </c>
      <c r="N215" s="6" t="s">
        <v>3867</v>
      </c>
      <c r="O215" s="6">
        <v>7.0000000000000004E-11</v>
      </c>
      <c r="P215" s="6">
        <v>21.8</v>
      </c>
      <c r="Q215" s="3">
        <v>649</v>
      </c>
      <c r="R215" s="3">
        <v>420</v>
      </c>
      <c r="S215" s="3" t="s">
        <v>3694</v>
      </c>
      <c r="T215" s="3">
        <v>2</v>
      </c>
      <c r="U215" t="str">
        <f>HYPERLINK(".\links\NR-LIGHT\TI_asb-357-NR-LIGHT.txt","hypothetical protein")</f>
        <v>hypothetical protein</v>
      </c>
      <c r="V215" t="str">
        <f>HYPERLINK("http://www.ncbi.nlm.nih.gov/sutils/blink.cgi?pid=172051224","0.001")</f>
        <v>0.001</v>
      </c>
      <c r="W215" t="str">
        <f>HYPERLINK(".\links\NR-LIGHT\TI_asb-357-NR-LIGHT.txt"," 10")</f>
        <v xml:space="preserve"> 10</v>
      </c>
      <c r="X215" t="str">
        <f>HYPERLINK("http://www.ncbi.nlm.nih.gov/protein/172051224","gi|172051224")</f>
        <v>gi|172051224</v>
      </c>
      <c r="Y215">
        <v>45.8</v>
      </c>
      <c r="Z215">
        <v>45</v>
      </c>
      <c r="AA215">
        <v>122</v>
      </c>
      <c r="AB215">
        <v>53</v>
      </c>
      <c r="AC215">
        <v>37</v>
      </c>
      <c r="AD215">
        <v>21</v>
      </c>
      <c r="AE215">
        <v>0</v>
      </c>
      <c r="AF215">
        <v>72</v>
      </c>
      <c r="AG215">
        <v>141</v>
      </c>
      <c r="AH215">
        <v>1</v>
      </c>
      <c r="AI215">
        <v>3</v>
      </c>
      <c r="AJ215" t="s">
        <v>53</v>
      </c>
      <c r="AK215" t="s">
        <v>54</v>
      </c>
      <c r="AL215" t="s">
        <v>871</v>
      </c>
      <c r="AM215" t="str">
        <f>HYPERLINK(".\links\SWISSP\TI_asb-357-SWISSP.txt","Translation initiation factor IF-2 OS=Streptomyces griseus subsp. griseus")</f>
        <v>Translation initiation factor IF-2 OS=Streptomyces griseus subsp. griseus</v>
      </c>
      <c r="AN215" s="19" t="str">
        <f>HYPERLINK("http://www.uniprot.org/uniprot/B1VYN5","0.007")</f>
        <v>0.007</v>
      </c>
      <c r="AO215" t="str">
        <f>HYPERLINK(".\links\SWISSP\TI_asb-357-SWISSP.txt"," 10")</f>
        <v xml:space="preserve"> 10</v>
      </c>
      <c r="AP215" t="s">
        <v>2190</v>
      </c>
      <c r="AQ215">
        <v>40.799999999999997</v>
      </c>
      <c r="AR215">
        <v>67</v>
      </c>
      <c r="AS215">
        <v>1038</v>
      </c>
      <c r="AT215">
        <v>37</v>
      </c>
      <c r="AU215">
        <v>6</v>
      </c>
      <c r="AV215">
        <v>42</v>
      </c>
      <c r="AW215">
        <v>0</v>
      </c>
      <c r="AX215">
        <v>267</v>
      </c>
      <c r="AY215">
        <v>129</v>
      </c>
      <c r="AZ215">
        <v>2</v>
      </c>
      <c r="BA215">
        <v>-3</v>
      </c>
      <c r="BB215" t="s">
        <v>53</v>
      </c>
      <c r="BC215" t="s">
        <v>64</v>
      </c>
      <c r="BD215" t="s">
        <v>2191</v>
      </c>
      <c r="BE215" t="s">
        <v>2192</v>
      </c>
      <c r="BF215" t="s">
        <v>2193</v>
      </c>
      <c r="BG215" t="str">
        <f>HYPERLINK(".\links\PREV-RHOD-PEP\TI_asb-357-PREV-RHOD-PEP.txt","Contig17947_2")</f>
        <v>Contig17947_2</v>
      </c>
      <c r="BH215" s="6">
        <v>8.9999999999999993E-3</v>
      </c>
      <c r="BI215" t="str">
        <f>HYPERLINK(".\links\PREV-RHOD-PEP\TI_asb-357-PREV-RHOD-PEP.txt"," 10")</f>
        <v xml:space="preserve"> 10</v>
      </c>
      <c r="BJ215" t="s">
        <v>2194</v>
      </c>
      <c r="BK215">
        <v>36.6</v>
      </c>
      <c r="BL215">
        <v>66</v>
      </c>
      <c r="BM215">
        <v>692</v>
      </c>
      <c r="BN215">
        <v>37</v>
      </c>
      <c r="BO215">
        <v>10</v>
      </c>
      <c r="BP215">
        <v>41</v>
      </c>
      <c r="BQ215">
        <v>0</v>
      </c>
      <c r="BR215">
        <v>129</v>
      </c>
      <c r="BS215">
        <v>135</v>
      </c>
      <c r="BT215">
        <v>1</v>
      </c>
      <c r="BU215" t="s">
        <v>64</v>
      </c>
      <c r="BV215" t="s">
        <v>2195</v>
      </c>
      <c r="BW215" t="s">
        <v>56</v>
      </c>
      <c r="BX215" t="s">
        <v>56</v>
      </c>
      <c r="BY215" s="6" t="s">
        <v>56</v>
      </c>
      <c r="BZ215" t="s">
        <v>56</v>
      </c>
      <c r="CA215" t="s">
        <v>56</v>
      </c>
      <c r="CB215" t="s">
        <v>56</v>
      </c>
      <c r="CC215" t="s">
        <v>56</v>
      </c>
      <c r="CD215" t="s">
        <v>56</v>
      </c>
      <c r="CE215" t="s">
        <v>56</v>
      </c>
      <c r="CF215" t="s">
        <v>56</v>
      </c>
      <c r="CG215" t="s">
        <v>56</v>
      </c>
      <c r="CH215" t="s">
        <v>56</v>
      </c>
      <c r="CI215" t="s">
        <v>56</v>
      </c>
      <c r="CJ215" t="s">
        <v>56</v>
      </c>
      <c r="CK215" t="s">
        <v>56</v>
      </c>
      <c r="CL215" t="s">
        <v>2196</v>
      </c>
      <c r="CM215">
        <f>HYPERLINK(".\links\GO\TI_asb-357-GO.txt",0.006)</f>
        <v>6.0000000000000001E-3</v>
      </c>
      <c r="CN215" t="s">
        <v>58</v>
      </c>
      <c r="CO215" t="s">
        <v>58</v>
      </c>
      <c r="CQ215" t="s">
        <v>59</v>
      </c>
      <c r="CR215" s="6">
        <v>6.0000000000000001E-3</v>
      </c>
      <c r="CS215" t="s">
        <v>60</v>
      </c>
      <c r="CT215" t="s">
        <v>60</v>
      </c>
      <c r="CV215" t="s">
        <v>61</v>
      </c>
      <c r="CW215" s="6">
        <v>6.0000000000000001E-3</v>
      </c>
      <c r="CX215" t="s">
        <v>62</v>
      </c>
      <c r="CY215" t="s">
        <v>58</v>
      </c>
      <c r="DA215" t="s">
        <v>63</v>
      </c>
      <c r="DB215" s="6">
        <v>6.0000000000000001E-3</v>
      </c>
      <c r="DC215" t="str">
        <f>HYPERLINK(".\links\CDD\TI_asb-357-CDD.txt","PRK11192")</f>
        <v>PRK11192</v>
      </c>
      <c r="DD215" t="str">
        <f>HYPERLINK("http://www.ncbi.nlm.nih.gov/Structure/cdd/cddsrv.cgi?uid=PRK11192&amp;version=v4.0","4E-006")</f>
        <v>4E-006</v>
      </c>
      <c r="DE215" t="s">
        <v>2197</v>
      </c>
      <c r="DF215" t="str">
        <f>HYPERLINK(".\links\PFAM\TI_asb-357-PFAM.txt","RNA_polI_A34")</f>
        <v>RNA_polI_A34</v>
      </c>
      <c r="DG215" t="str">
        <f>HYPERLINK("http://pfam.sanger.ac.uk/family?acc=PF08208","7E-011")</f>
        <v>7E-011</v>
      </c>
      <c r="DH215" t="str">
        <f>HYPERLINK(".\links\PRK\TI_asb-357-PRK.txt","NADH dehydrogenase subunit 6")</f>
        <v>NADH dehydrogenase subunit 6</v>
      </c>
      <c r="DI215" s="7">
        <v>3E-9</v>
      </c>
      <c r="DJ215" s="6" t="str">
        <f>HYPERLINK(".\links\KOG\TI_asb-357-KOG.txt","Ribosome biogenesis protein - Nop58p/Nop5p")</f>
        <v>Ribosome biogenesis protein - Nop58p/Nop5p</v>
      </c>
      <c r="DK215" s="6" t="str">
        <f>HYPERLINK("http://www.ncbi.nlm.nih.gov/COG/grace/shokog.cgi?KOG2572","3E-007")</f>
        <v>3E-007</v>
      </c>
      <c r="DL215" s="6" t="s">
        <v>4351</v>
      </c>
      <c r="DM215" s="6" t="str">
        <f>HYPERLINK(".\links\KOG\TI_asb-357-KOG.txt","KOG2572")</f>
        <v>KOG2572</v>
      </c>
      <c r="DN215" t="str">
        <f>HYPERLINK(".\links\SMART\TI_asb-357-SMART.txt","TOPEUc")</f>
        <v>TOPEUc</v>
      </c>
      <c r="DO215" t="str">
        <f>HYPERLINK("http://smart.embl-heidelberg.de/smart/do_annotation.pl?DOMAIN=TOPEUc&amp;BLAST=DUMMY","2E-005")</f>
        <v>2E-005</v>
      </c>
      <c r="DP215" s="3" t="s">
        <v>56</v>
      </c>
      <c r="ED215" s="3" t="s">
        <v>56</v>
      </c>
    </row>
    <row r="216" spans="1:147">
      <c r="A216" t="str">
        <f>HYPERLINK(".\links\seq\TI_asb-358-seq.txt","TI_asb-358")</f>
        <v>TI_asb-358</v>
      </c>
      <c r="B216">
        <v>358</v>
      </c>
      <c r="C216" t="str">
        <f>HYPERLINK(".\links\tsa\TI_asb-358-tsa.txt","1")</f>
        <v>1</v>
      </c>
      <c r="D216">
        <v>1</v>
      </c>
      <c r="E216">
        <v>606</v>
      </c>
      <c r="G216" t="str">
        <f>HYPERLINK(".\links\qual\TI_asb-358-qual.txt","29")</f>
        <v>29</v>
      </c>
      <c r="H216">
        <v>1</v>
      </c>
      <c r="I216">
        <v>0</v>
      </c>
      <c r="J216">
        <f t="shared" si="10"/>
        <v>1</v>
      </c>
      <c r="K216" s="6">
        <f t="shared" si="11"/>
        <v>1</v>
      </c>
      <c r="L216" s="6" t="s">
        <v>4021</v>
      </c>
      <c r="M216" s="6" t="s">
        <v>3919</v>
      </c>
      <c r="N216" s="6" t="s">
        <v>3872</v>
      </c>
      <c r="O216" s="7">
        <v>5E-51</v>
      </c>
      <c r="P216" s="6">
        <v>77</v>
      </c>
      <c r="Q216" s="3">
        <v>606</v>
      </c>
      <c r="R216" s="3">
        <v>531</v>
      </c>
      <c r="S216" s="6" t="s">
        <v>3695</v>
      </c>
      <c r="T216" s="3">
        <v>1</v>
      </c>
      <c r="U216" t="str">
        <f>HYPERLINK(".\links\NR-LIGHT\TI_asb-358-NR-LIGHT.txt","Ras-related small GTPase")</f>
        <v>Ras-related small GTPase</v>
      </c>
      <c r="V216" t="str">
        <f>HYPERLINK("http://www.ncbi.nlm.nih.gov/sutils/blink.cgi?pid=149898836","3E-091")</f>
        <v>3E-091</v>
      </c>
      <c r="W216" t="str">
        <f>HYPERLINK(".\links\NR-LIGHT\TI_asb-358-NR-LIGHT.txt"," 10")</f>
        <v xml:space="preserve"> 10</v>
      </c>
      <c r="X216" t="str">
        <f>HYPERLINK("http://www.ncbi.nlm.nih.gov/protein/149898836","gi|149898836")</f>
        <v>gi|149898836</v>
      </c>
      <c r="Y216">
        <v>336</v>
      </c>
      <c r="Z216">
        <v>167</v>
      </c>
      <c r="AA216">
        <v>218</v>
      </c>
      <c r="AB216">
        <v>99</v>
      </c>
      <c r="AC216">
        <v>77</v>
      </c>
      <c r="AD216">
        <v>1</v>
      </c>
      <c r="AE216">
        <v>0</v>
      </c>
      <c r="AF216">
        <v>1</v>
      </c>
      <c r="AG216">
        <v>106</v>
      </c>
      <c r="AH216">
        <v>1</v>
      </c>
      <c r="AI216">
        <v>1</v>
      </c>
      <c r="AJ216" t="s">
        <v>53</v>
      </c>
      <c r="AK216" t="s">
        <v>54</v>
      </c>
      <c r="AL216" t="s">
        <v>55</v>
      </c>
      <c r="AM216" t="str">
        <f>HYPERLINK(".\links\SWISSP\TI_asb-358-SWISSP.txt","Ras-related protein Rab-21 OS=Canis familiaris GN=RAB21 PE=3 SV=3")</f>
        <v>Ras-related protein Rab-21 OS=Canis familiaris GN=RAB21 PE=3 SV=3</v>
      </c>
      <c r="AN216" s="19" t="str">
        <f>HYPERLINK("http://www.uniprot.org/uniprot/P55745","9E-072")</f>
        <v>9E-072</v>
      </c>
      <c r="AO216" t="str">
        <f>HYPERLINK(".\links\SWISSP\TI_asb-358-SWISSP.txt"," 10")</f>
        <v xml:space="preserve"> 10</v>
      </c>
      <c r="AP216" t="s">
        <v>2198</v>
      </c>
      <c r="AQ216">
        <v>269</v>
      </c>
      <c r="AR216">
        <v>165</v>
      </c>
      <c r="AS216">
        <v>223</v>
      </c>
      <c r="AT216">
        <v>78</v>
      </c>
      <c r="AU216">
        <v>74</v>
      </c>
      <c r="AV216">
        <v>35</v>
      </c>
      <c r="AW216">
        <v>5</v>
      </c>
      <c r="AX216">
        <v>6</v>
      </c>
      <c r="AY216">
        <v>127</v>
      </c>
      <c r="AZ216">
        <v>1</v>
      </c>
      <c r="BA216">
        <v>1</v>
      </c>
      <c r="BB216" t="s">
        <v>53</v>
      </c>
      <c r="BC216" t="s">
        <v>54</v>
      </c>
      <c r="BD216" t="s">
        <v>2199</v>
      </c>
      <c r="BE216" t="s">
        <v>2200</v>
      </c>
      <c r="BF216" t="s">
        <v>2201</v>
      </c>
      <c r="BG216" t="str">
        <f>HYPERLINK(".\links\PREV-RHOD-PEP\TI_asb-358-PREV-RHOD-PEP.txt","Contig17936_8")</f>
        <v>Contig17936_8</v>
      </c>
      <c r="BH216" s="7">
        <v>9.9999999999999999E-91</v>
      </c>
      <c r="BI216" t="str">
        <f>HYPERLINK(".\links\PREV-RHOD-PEP\TI_asb-358-PREV-RHOD-PEP.txt"," 10")</f>
        <v xml:space="preserve"> 10</v>
      </c>
      <c r="BJ216" t="s">
        <v>2202</v>
      </c>
      <c r="BK216">
        <v>328</v>
      </c>
      <c r="BL216">
        <v>167</v>
      </c>
      <c r="BM216">
        <v>218</v>
      </c>
      <c r="BN216">
        <v>97</v>
      </c>
      <c r="BO216">
        <v>77</v>
      </c>
      <c r="BP216">
        <v>5</v>
      </c>
      <c r="BQ216">
        <v>0</v>
      </c>
      <c r="BR216">
        <v>1</v>
      </c>
      <c r="BS216">
        <v>106</v>
      </c>
      <c r="BT216">
        <v>1</v>
      </c>
      <c r="BU216" t="s">
        <v>54</v>
      </c>
      <c r="BV216" t="s">
        <v>2203</v>
      </c>
      <c r="BW216" t="s">
        <v>56</v>
      </c>
      <c r="BX216" t="str">
        <f>HYPERLINK(".\links\PREV-RHOD-CDS\TI_asb-358-PREV-RHOD-CDS.txt","Contig17936_8")</f>
        <v>Contig17936_8</v>
      </c>
      <c r="BY216" s="7">
        <v>1.0000000000000001E-158</v>
      </c>
      <c r="BZ216" t="s">
        <v>2202</v>
      </c>
      <c r="CA216">
        <v>557</v>
      </c>
      <c r="CB216">
        <v>500</v>
      </c>
      <c r="CC216">
        <v>657</v>
      </c>
      <c r="CD216">
        <v>88</v>
      </c>
      <c r="CE216">
        <v>76</v>
      </c>
      <c r="CF216">
        <v>57</v>
      </c>
      <c r="CG216">
        <v>0</v>
      </c>
      <c r="CH216">
        <v>1</v>
      </c>
      <c r="CI216">
        <v>106</v>
      </c>
      <c r="CJ216">
        <v>1</v>
      </c>
      <c r="CK216" t="s">
        <v>54</v>
      </c>
      <c r="CL216" t="s">
        <v>2204</v>
      </c>
      <c r="CM216">
        <f>HYPERLINK(".\links\GO\TI_asb-358-GO.txt",6E-72)</f>
        <v>6.0000000000000003E-72</v>
      </c>
      <c r="CN216" t="s">
        <v>208</v>
      </c>
      <c r="CO216" t="s">
        <v>185</v>
      </c>
      <c r="CP216" t="s">
        <v>186</v>
      </c>
      <c r="CQ216" t="s">
        <v>209</v>
      </c>
      <c r="CR216" s="7">
        <v>6.9999999999999998E-57</v>
      </c>
      <c r="CS216" t="s">
        <v>2205</v>
      </c>
      <c r="CT216" t="s">
        <v>75</v>
      </c>
      <c r="CU216" t="s">
        <v>76</v>
      </c>
      <c r="CV216" t="s">
        <v>2206</v>
      </c>
      <c r="CW216" s="7">
        <v>6.9999999999999998E-57</v>
      </c>
      <c r="CX216" t="s">
        <v>2207</v>
      </c>
      <c r="CY216" t="s">
        <v>185</v>
      </c>
      <c r="CZ216" t="s">
        <v>186</v>
      </c>
      <c r="DA216" t="s">
        <v>2208</v>
      </c>
      <c r="DB216" s="7">
        <v>6.9999999999999998E-57</v>
      </c>
      <c r="DC216" t="str">
        <f>HYPERLINK(".\links\CDD\TI_asb-358-CDD.txt","Rab21")</f>
        <v>Rab21</v>
      </c>
      <c r="DD216" t="str">
        <f>HYPERLINK("http://www.ncbi.nlm.nih.gov/Structure/cdd/cddsrv.cgi?uid=cd04123&amp;version=v4.0","3E-072")</f>
        <v>3E-072</v>
      </c>
      <c r="DE216" t="s">
        <v>2209</v>
      </c>
      <c r="DF216" t="str">
        <f>HYPERLINK(".\links\PFAM\TI_asb-358-PFAM.txt","Ras")</f>
        <v>Ras</v>
      </c>
      <c r="DG216" t="str">
        <f>HYPERLINK("http://pfam.sanger.ac.uk/family?acc=PF00071","5E-056")</f>
        <v>5E-056</v>
      </c>
      <c r="DH216" t="str">
        <f>HYPERLINK(".\links\PRK\TI_asb-358-PRK.txt","Rab GTPase")</f>
        <v>Rab GTPase</v>
      </c>
      <c r="DI216" s="7">
        <v>6.9999999999999997E-31</v>
      </c>
      <c r="DJ216" s="6" t="str">
        <f>HYPERLINK(".\links\KOG\TI_asb-358-KOG.txt","GTPase Rab21, small G protein superfamily")</f>
        <v>GTPase Rab21, small G protein superfamily</v>
      </c>
      <c r="DK216" s="6" t="str">
        <f>HYPERLINK("http://www.ncbi.nlm.nih.gov/COG/grace/shokog.cgi?KOG0088","3E-074")</f>
        <v>3E-074</v>
      </c>
      <c r="DL216" s="6" t="s">
        <v>4337</v>
      </c>
      <c r="DM216" s="6" t="str">
        <f>HYPERLINK(".\links\KOG\TI_asb-358-KOG.txt","KOG0088")</f>
        <v>KOG0088</v>
      </c>
      <c r="DN216" t="str">
        <f>HYPERLINK(".\links\SMART\TI_asb-358-SMART.txt","RAB")</f>
        <v>RAB</v>
      </c>
      <c r="DO216" t="str">
        <f>HYPERLINK("http://smart.embl-heidelberg.de/smart/do_annotation.pl?DOMAIN=RAB&amp;BLAST=DUMMY","1E-054")</f>
        <v>1E-054</v>
      </c>
      <c r="DP216" s="3" t="s">
        <v>56</v>
      </c>
      <c r="ED216" s="3" t="s">
        <v>56</v>
      </c>
    </row>
    <row r="217" spans="1:147">
      <c r="A217" t="str">
        <f>HYPERLINK(".\links\seq\TI_asb-360-seq.txt","TI_asb-360")</f>
        <v>TI_asb-360</v>
      </c>
      <c r="B217">
        <v>360</v>
      </c>
      <c r="C217" t="str">
        <f>HYPERLINK(".\links\tsa\TI_asb-360-tsa.txt","2")</f>
        <v>2</v>
      </c>
      <c r="D217">
        <v>2</v>
      </c>
      <c r="E217">
        <v>888</v>
      </c>
      <c r="F217">
        <v>860</v>
      </c>
      <c r="G217" t="str">
        <f>HYPERLINK(".\links\qual\TI_asb-360-qual.txt","59")</f>
        <v>59</v>
      </c>
      <c r="H217">
        <v>2</v>
      </c>
      <c r="I217">
        <v>0</v>
      </c>
      <c r="J217">
        <f t="shared" si="10"/>
        <v>2</v>
      </c>
      <c r="K217" s="6">
        <f t="shared" si="11"/>
        <v>2</v>
      </c>
      <c r="L217" s="6" t="s">
        <v>4022</v>
      </c>
      <c r="M217" s="6" t="s">
        <v>3906</v>
      </c>
      <c r="N217" s="6" t="s">
        <v>3884</v>
      </c>
      <c r="O217" s="7">
        <v>5E-51</v>
      </c>
      <c r="P217" s="6">
        <v>96</v>
      </c>
      <c r="Q217" s="3">
        <v>888</v>
      </c>
      <c r="R217" s="3">
        <v>468</v>
      </c>
      <c r="S217" s="3" t="s">
        <v>3696</v>
      </c>
      <c r="T217" s="3">
        <v>2</v>
      </c>
      <c r="U217" t="str">
        <f>HYPERLINK(".\links\NR-LIGHT\TI_asb-360-NR-LIGHT.txt","similar to CG5738-PA")</f>
        <v>similar to CG5738-PA</v>
      </c>
      <c r="V217" t="str">
        <f>HYPERLINK("http://www.ncbi.nlm.nih.gov/sutils/blink.cgi?pid=156550568","2E-053")</f>
        <v>2E-053</v>
      </c>
      <c r="W217" t="str">
        <f>HYPERLINK(".\links\NR-LIGHT\TI_asb-360-NR-LIGHT.txt"," 10")</f>
        <v xml:space="preserve"> 10</v>
      </c>
      <c r="X217" t="str">
        <f>HYPERLINK("http://www.ncbi.nlm.nih.gov/protein/156550568","gi|156550568")</f>
        <v>gi|156550568</v>
      </c>
      <c r="Y217">
        <v>211</v>
      </c>
      <c r="Z217">
        <v>118</v>
      </c>
      <c r="AA217">
        <v>127</v>
      </c>
      <c r="AB217">
        <v>86</v>
      </c>
      <c r="AC217">
        <v>93</v>
      </c>
      <c r="AD217">
        <v>16</v>
      </c>
      <c r="AE217">
        <v>0</v>
      </c>
      <c r="AF217">
        <v>1</v>
      </c>
      <c r="AG217">
        <v>116</v>
      </c>
      <c r="AH217">
        <v>1</v>
      </c>
      <c r="AI217">
        <v>2</v>
      </c>
      <c r="AJ217" t="s">
        <v>53</v>
      </c>
      <c r="AK217" t="s">
        <v>54</v>
      </c>
      <c r="AL217" t="s">
        <v>2210</v>
      </c>
      <c r="AM217" t="str">
        <f>HYPERLINK(".\links\SWISSP\TI_asb-360-SWISSP.txt","Longitudinals lacking protein-like OS=Drosophila melanogaster GN=lolal PE=1 SV=1")</f>
        <v>Longitudinals lacking protein-like OS=Drosophila melanogaster GN=lolal PE=1 SV=1</v>
      </c>
      <c r="AN217" s="19" t="str">
        <f>HYPERLINK("http://www.uniprot.org/uniprot/Q7KRI2","2E-050")</f>
        <v>2E-050</v>
      </c>
      <c r="AO217" t="str">
        <f>HYPERLINK(".\links\SWISSP\TI_asb-360-SWISSP.txt"," 10")</f>
        <v xml:space="preserve"> 10</v>
      </c>
      <c r="AP217" t="s">
        <v>2211</v>
      </c>
      <c r="AQ217">
        <v>199</v>
      </c>
      <c r="AR217">
        <v>122</v>
      </c>
      <c r="AS217">
        <v>127</v>
      </c>
      <c r="AT217">
        <v>79</v>
      </c>
      <c r="AU217">
        <v>96</v>
      </c>
      <c r="AV217">
        <v>25</v>
      </c>
      <c r="AW217">
        <v>0</v>
      </c>
      <c r="AX217">
        <v>1</v>
      </c>
      <c r="AY217">
        <v>116</v>
      </c>
      <c r="AZ217">
        <v>1</v>
      </c>
      <c r="BA217">
        <v>2</v>
      </c>
      <c r="BB217" t="s">
        <v>53</v>
      </c>
      <c r="BC217" t="s">
        <v>54</v>
      </c>
      <c r="BD217" t="s">
        <v>143</v>
      </c>
      <c r="BE217" t="s">
        <v>2212</v>
      </c>
      <c r="BF217" t="s">
        <v>2213</v>
      </c>
      <c r="BG217" t="str">
        <f>HYPERLINK(".\links\PREV-RHOD-PEP\TI_asb-360-PREV-RHOD-PEP.txt","Contig17830_41")</f>
        <v>Contig17830_41</v>
      </c>
      <c r="BH217" s="7">
        <v>9.9999999999999994E-68</v>
      </c>
      <c r="BI217" t="str">
        <f>HYPERLINK(".\links\PREV-RHOD-PEP\TI_asb-360-PREV-RHOD-PEP.txt"," 10")</f>
        <v xml:space="preserve"> 10</v>
      </c>
      <c r="BJ217" t="s">
        <v>2214</v>
      </c>
      <c r="BK217">
        <v>252</v>
      </c>
      <c r="BL217">
        <v>124</v>
      </c>
      <c r="BM217">
        <v>124</v>
      </c>
      <c r="BN217">
        <v>99</v>
      </c>
      <c r="BO217">
        <v>100</v>
      </c>
      <c r="BP217">
        <v>1</v>
      </c>
      <c r="BQ217">
        <v>0</v>
      </c>
      <c r="BR217">
        <v>1</v>
      </c>
      <c r="BS217">
        <v>116</v>
      </c>
      <c r="BT217">
        <v>1</v>
      </c>
      <c r="BU217" t="s">
        <v>54</v>
      </c>
      <c r="BV217" t="s">
        <v>2215</v>
      </c>
      <c r="BW217" t="s">
        <v>56</v>
      </c>
      <c r="BX217" t="str">
        <f>HYPERLINK(".\links\PREV-RHOD-CDS\TI_asb-360-PREV-RHOD-CDS.txt","Contig17830_41")</f>
        <v>Contig17830_41</v>
      </c>
      <c r="BY217" s="7">
        <v>9.9999999999999996E-165</v>
      </c>
      <c r="BZ217" t="s">
        <v>2214</v>
      </c>
      <c r="CA217">
        <v>577</v>
      </c>
      <c r="CB217">
        <v>374</v>
      </c>
      <c r="CC217">
        <v>375</v>
      </c>
      <c r="CD217">
        <v>94</v>
      </c>
      <c r="CE217">
        <v>100</v>
      </c>
      <c r="CF217">
        <v>21</v>
      </c>
      <c r="CG217">
        <v>0</v>
      </c>
      <c r="CH217">
        <v>1</v>
      </c>
      <c r="CI217">
        <v>116</v>
      </c>
      <c r="CJ217">
        <v>1</v>
      </c>
      <c r="CK217" t="s">
        <v>54</v>
      </c>
      <c r="CL217" t="s">
        <v>2216</v>
      </c>
      <c r="CM217">
        <f>HYPERLINK(".\links\GO\TI_asb-360-GO.txt",5E-51)</f>
        <v>5E-51</v>
      </c>
      <c r="CN217" t="s">
        <v>1630</v>
      </c>
      <c r="CO217" t="s">
        <v>1012</v>
      </c>
      <c r="CP217" t="s">
        <v>1631</v>
      </c>
      <c r="CQ217" t="s">
        <v>1632</v>
      </c>
      <c r="CR217" s="7">
        <v>5E-51</v>
      </c>
      <c r="CS217" t="s">
        <v>224</v>
      </c>
      <c r="CT217" t="s">
        <v>75</v>
      </c>
      <c r="CU217" t="s">
        <v>76</v>
      </c>
      <c r="CV217" t="s">
        <v>225</v>
      </c>
      <c r="CW217" s="7">
        <v>5E-51</v>
      </c>
      <c r="CX217" t="s">
        <v>2217</v>
      </c>
      <c r="CY217" t="s">
        <v>1012</v>
      </c>
      <c r="CZ217" t="s">
        <v>1631</v>
      </c>
      <c r="DA217" t="s">
        <v>2218</v>
      </c>
      <c r="DB217" s="7">
        <v>5E-51</v>
      </c>
      <c r="DC217" t="str">
        <f>HYPERLINK(".\links\CDD\TI_asb-360-CDD.txt","BTB")</f>
        <v>BTB</v>
      </c>
      <c r="DD217" t="str">
        <f>HYPERLINK("http://www.ncbi.nlm.nih.gov/Structure/cdd/cddsrv.cgi?uid=pfam00651&amp;version=v4.0","9E-025")</f>
        <v>9E-025</v>
      </c>
      <c r="DE217" t="s">
        <v>2219</v>
      </c>
      <c r="DF217" t="str">
        <f>HYPERLINK(".\links\PFAM\TI_asb-360-PFAM.txt","BTB")</f>
        <v>BTB</v>
      </c>
      <c r="DG217" t="str">
        <f>HYPERLINK("http://pfam.sanger.ac.uk/family?acc=PF00651","5E-027")</f>
        <v>5E-027</v>
      </c>
      <c r="DH217" t="str">
        <f>HYPERLINK(".\links\PRK\TI_asb-360-PRK.txt","kelch-like protein")</f>
        <v>kelch-like protein</v>
      </c>
      <c r="DI217" s="7">
        <v>3.0000000000000001E-6</v>
      </c>
      <c r="DJ217" s="6" t="str">
        <f>HYPERLINK(".\links\KOG\TI_asb-360-KOG.txt","Nuclear protein, contains WD40 repeats")</f>
        <v>Nuclear protein, contains WD40 repeats</v>
      </c>
      <c r="DK217" s="6" t="str">
        <f>HYPERLINK("http://www.ncbi.nlm.nih.gov/COG/grace/shokog.cgi?KOG1916","0.0")</f>
        <v>0.0</v>
      </c>
      <c r="DL217" s="6" t="s">
        <v>4337</v>
      </c>
      <c r="DM217" s="6" t="str">
        <f>HYPERLINK(".\links\KOG\TI_asb-360-KOG.txt","KOG1916")</f>
        <v>KOG1916</v>
      </c>
      <c r="DN217" t="str">
        <f>HYPERLINK(".\links\SMART\TI_asb-360-SMART.txt","BTB")</f>
        <v>BTB</v>
      </c>
      <c r="DO217" t="str">
        <f>HYPERLINK("http://smart.embl-heidelberg.de/smart/do_annotation.pl?DOMAIN=BTB&amp;BLAST=DUMMY","3E-024")</f>
        <v>3E-024</v>
      </c>
      <c r="DP217" s="3" t="s">
        <v>56</v>
      </c>
      <c r="ED217" s="3" t="s">
        <v>56</v>
      </c>
    </row>
    <row r="218" spans="1:147" s="26" customFormat="1">
      <c r="A218" s="26" t="str">
        <f>HYPERLINK(".\links\seq\TI_asb-361-seq.txt","TI_asb-361")</f>
        <v>TI_asb-361</v>
      </c>
      <c r="B218" s="26">
        <v>361</v>
      </c>
      <c r="C218" s="27" t="str">
        <f>HYPERLINK(".\links\tsa\TI_asb-361-tsa.txt","5")</f>
        <v>5</v>
      </c>
      <c r="D218" s="26">
        <v>5</v>
      </c>
      <c r="E218" s="26">
        <v>546</v>
      </c>
      <c r="F218" s="26">
        <v>512</v>
      </c>
      <c r="G218" s="26" t="str">
        <f>HYPERLINK(".\links\qual\TI_asb-361-qual.txt","91")</f>
        <v>91</v>
      </c>
      <c r="H218" s="26">
        <v>1</v>
      </c>
      <c r="I218" s="26">
        <v>4</v>
      </c>
      <c r="J218" s="26">
        <f t="shared" si="10"/>
        <v>3</v>
      </c>
      <c r="K218" s="26">
        <f t="shared" si="11"/>
        <v>-3</v>
      </c>
      <c r="L218" s="26" t="s">
        <v>4023</v>
      </c>
      <c r="M218" s="26" t="s">
        <v>3904</v>
      </c>
      <c r="N218" s="26" t="s">
        <v>3909</v>
      </c>
      <c r="O218" s="26">
        <v>1E-10</v>
      </c>
      <c r="P218" s="26">
        <v>100</v>
      </c>
      <c r="Q218" s="26">
        <v>546</v>
      </c>
      <c r="R218" s="26">
        <v>309</v>
      </c>
      <c r="S218" s="26" t="s">
        <v>3697</v>
      </c>
      <c r="T218" s="26">
        <v>1</v>
      </c>
      <c r="U218" s="26" t="str">
        <f>HYPERLINK(".\links\NR-LIGHT\TI_asb-361-NR-LIGHT.txt","AGAP000109-PA")</f>
        <v>AGAP000109-PA</v>
      </c>
      <c r="V218" s="26" t="str">
        <f>HYPERLINK("http://www.ncbi.nlm.nih.gov/sutils/blink.cgi?pid=158289290","7E-006")</f>
        <v>7E-006</v>
      </c>
      <c r="W218" s="26" t="str">
        <f>HYPERLINK(".\links\NR-LIGHT\TI_asb-361-NR-LIGHT.txt"," 10")</f>
        <v xml:space="preserve"> 10</v>
      </c>
      <c r="X218" s="26" t="str">
        <f>HYPERLINK("http://www.ncbi.nlm.nih.gov/protein/158289290","gi|158289290")</f>
        <v>gi|158289290</v>
      </c>
      <c r="Y218" s="26">
        <v>52.4</v>
      </c>
      <c r="Z218" s="26">
        <v>61</v>
      </c>
      <c r="AA218" s="26">
        <v>91</v>
      </c>
      <c r="AB218" s="26">
        <v>40</v>
      </c>
      <c r="AC218" s="26">
        <v>67</v>
      </c>
      <c r="AD218" s="26">
        <v>36</v>
      </c>
      <c r="AE218" s="26">
        <v>0</v>
      </c>
      <c r="AF218" s="26">
        <v>25</v>
      </c>
      <c r="AG218" s="26">
        <v>121</v>
      </c>
      <c r="AH218" s="26">
        <v>1</v>
      </c>
      <c r="AI218" s="26">
        <v>1</v>
      </c>
      <c r="AJ218" s="26" t="s">
        <v>53</v>
      </c>
      <c r="AK218" s="26" t="s">
        <v>54</v>
      </c>
      <c r="AL218" s="26" t="s">
        <v>1161</v>
      </c>
      <c r="AM218" s="26" t="str">
        <f>HYPERLINK(".\links\SWISSP\TI_asb-361-SWISSP.txt","Cytochrome c oxidase subunit 7A1, mitochondrial OS=Saimiri sciureus GN=COX7A1")</f>
        <v>Cytochrome c oxidase subunit 7A1, mitochondrial OS=Saimiri sciureus GN=COX7A1</v>
      </c>
      <c r="AN218" s="29" t="str">
        <f>HYPERLINK("http://www.uniprot.org/uniprot/Q53CF6","0.001")</f>
        <v>0.001</v>
      </c>
      <c r="AO218" s="26" t="str">
        <f>HYPERLINK(".\links\SWISSP\TI_asb-361-SWISSP.txt"," 10")</f>
        <v xml:space="preserve"> 10</v>
      </c>
      <c r="AP218" s="26" t="s">
        <v>2220</v>
      </c>
      <c r="AQ218" s="26">
        <v>43.1</v>
      </c>
      <c r="AR218" s="26">
        <v>60</v>
      </c>
      <c r="AS218" s="26">
        <v>80</v>
      </c>
      <c r="AT218" s="26">
        <v>36</v>
      </c>
      <c r="AU218" s="26">
        <v>75</v>
      </c>
      <c r="AV218" s="26">
        <v>38</v>
      </c>
      <c r="AW218" s="26">
        <v>0</v>
      </c>
      <c r="AX218" s="26">
        <v>14</v>
      </c>
      <c r="AY218" s="26">
        <v>97</v>
      </c>
      <c r="AZ218" s="26">
        <v>1</v>
      </c>
      <c r="BA218" s="26">
        <v>1</v>
      </c>
      <c r="BB218" s="26" t="s">
        <v>53</v>
      </c>
      <c r="BC218" s="26" t="s">
        <v>54</v>
      </c>
      <c r="BD218" s="26" t="s">
        <v>2221</v>
      </c>
      <c r="BE218" s="26" t="s">
        <v>2222</v>
      </c>
      <c r="BF218" s="26" t="s">
        <v>2223</v>
      </c>
      <c r="BG218" s="26" t="str">
        <f>HYPERLINK(".\links\PREV-RHOD-PEP\TI_asb-361-PREV-RHOD-PEP.txt","Contig3225_5")</f>
        <v>Contig3225_5</v>
      </c>
      <c r="BH218" s="28">
        <v>1.9999999999999999E-20</v>
      </c>
      <c r="BI218" s="26" t="str">
        <f>HYPERLINK(".\links\PREV-RHOD-PEP\TI_asb-361-PREV-RHOD-PEP.txt"," 6")</f>
        <v xml:space="preserve"> 6</v>
      </c>
      <c r="BJ218" s="26" t="s">
        <v>2224</v>
      </c>
      <c r="BK218" s="26">
        <v>95.1</v>
      </c>
      <c r="BL218" s="26">
        <v>69</v>
      </c>
      <c r="BM218" s="26">
        <v>227</v>
      </c>
      <c r="BN218" s="26">
        <v>66</v>
      </c>
      <c r="BO218" s="26">
        <v>30</v>
      </c>
      <c r="BP218" s="26">
        <v>23</v>
      </c>
      <c r="BQ218" s="26">
        <v>1</v>
      </c>
      <c r="BR218" s="26">
        <v>137</v>
      </c>
      <c r="BS218" s="26">
        <v>100</v>
      </c>
      <c r="BT218" s="26">
        <v>1</v>
      </c>
      <c r="BU218" s="26" t="s">
        <v>54</v>
      </c>
      <c r="BV218" s="26" t="s">
        <v>2225</v>
      </c>
      <c r="BW218" s="26" t="s">
        <v>56</v>
      </c>
      <c r="BX218" s="26" t="str">
        <f>HYPERLINK(".\links\PREV-RHOD-CDS\TI_asb-361-PREV-RHOD-CDS.txt","Contig3225_5")</f>
        <v>Contig3225_5</v>
      </c>
      <c r="BY218" s="28">
        <v>1.9999999999999999E-11</v>
      </c>
      <c r="BZ218" s="26" t="s">
        <v>2224</v>
      </c>
      <c r="CA218" s="26">
        <v>69.900000000000006</v>
      </c>
      <c r="CB218" s="26">
        <v>207</v>
      </c>
      <c r="CC218" s="26">
        <v>684</v>
      </c>
      <c r="CD218" s="26">
        <v>83</v>
      </c>
      <c r="CE218" s="26">
        <v>30</v>
      </c>
      <c r="CF218" s="26">
        <v>18</v>
      </c>
      <c r="CG218" s="26">
        <v>0</v>
      </c>
      <c r="CH218" s="26">
        <v>356</v>
      </c>
      <c r="CI218" s="26">
        <v>47</v>
      </c>
      <c r="CJ218" s="26">
        <v>2</v>
      </c>
      <c r="CK218" s="26" t="s">
        <v>54</v>
      </c>
      <c r="CL218" s="26" t="s">
        <v>2226</v>
      </c>
      <c r="CM218" s="26">
        <f>HYPERLINK(".\links\GO\TI_asb-361-GO.txt",0.006)</f>
        <v>6.0000000000000001E-3</v>
      </c>
      <c r="CN218" s="26" t="s">
        <v>1597</v>
      </c>
      <c r="CO218" s="26" t="s">
        <v>88</v>
      </c>
      <c r="CP218" s="26" t="s">
        <v>89</v>
      </c>
      <c r="CQ218" s="26" t="s">
        <v>1598</v>
      </c>
      <c r="CR218" s="26">
        <v>6.0000000000000001E-3</v>
      </c>
      <c r="CS218" s="26" t="s">
        <v>2227</v>
      </c>
      <c r="CT218" s="26" t="s">
        <v>75</v>
      </c>
      <c r="CU218" s="26" t="s">
        <v>378</v>
      </c>
      <c r="CV218" s="26" t="s">
        <v>2228</v>
      </c>
      <c r="CW218" s="26">
        <v>6.0000000000000001E-3</v>
      </c>
      <c r="CX218" s="26" t="s">
        <v>1599</v>
      </c>
      <c r="CY218" s="26" t="s">
        <v>88</v>
      </c>
      <c r="CZ218" s="26" t="s">
        <v>89</v>
      </c>
      <c r="DA218" s="26" t="s">
        <v>1600</v>
      </c>
      <c r="DB218" s="26">
        <v>6.0000000000000001E-3</v>
      </c>
      <c r="DC218" s="26" t="str">
        <f>HYPERLINK(".\links\CDD\TI_asb-361-CDD.txt","Cyt_c_Oxidase_V")</f>
        <v>Cyt_c_Oxidase_V</v>
      </c>
      <c r="DD218" s="26" t="str">
        <f>HYPERLINK("http://www.ncbi.nlm.nih.gov/Structure/cdd/cddsrv.cgi?uid=cd00928&amp;version=v4.0","1E-010")</f>
        <v>1E-010</v>
      </c>
      <c r="DE218" s="26" t="s">
        <v>2229</v>
      </c>
      <c r="DF218" s="26" t="str">
        <f>HYPERLINK(".\links\PFAM\TI_asb-361-PFAM.txt","COX7a")</f>
        <v>COX7a</v>
      </c>
      <c r="DG218" s="26" t="str">
        <f>HYPERLINK("http://pfam.sanger.ac.uk/family?acc=PF02238","0.016")</f>
        <v>0.016</v>
      </c>
      <c r="DH218" s="26" t="str">
        <f>HYPERLINK(".\links\PRK\TI_asb-361-PRK.txt","NADH dehydrogenase subunit 5")</f>
        <v>NADH dehydrogenase subunit 5</v>
      </c>
      <c r="DI218" s="26">
        <v>8.9999999999999993E-3</v>
      </c>
      <c r="DJ218" s="26" t="s">
        <v>56</v>
      </c>
      <c r="DN218" s="26" t="str">
        <f>HYPERLINK(".\links\SMART\TI_asb-361-SMART.txt","LITAF")</f>
        <v>LITAF</v>
      </c>
      <c r="DO218" s="26" t="str">
        <f>HYPERLINK("http://smart.embl-heidelberg.de/smart/do_annotation.pl?DOMAIN=LITAF&amp;BLAST=DUMMY","0.034")</f>
        <v>0.034</v>
      </c>
      <c r="DP218" s="26" t="s">
        <v>56</v>
      </c>
      <c r="ED218" s="26" t="s">
        <v>56</v>
      </c>
    </row>
    <row r="219" spans="1:147">
      <c r="A219" t="str">
        <f>HYPERLINK(".\links\seq\TI_asb-367-seq.txt","TI_asb-367")</f>
        <v>TI_asb-367</v>
      </c>
      <c r="B219">
        <v>367</v>
      </c>
      <c r="C219" t="str">
        <f>HYPERLINK(".\links\tsa\TI_asb-367-tsa.txt","1")</f>
        <v>1</v>
      </c>
      <c r="D219">
        <v>1</v>
      </c>
      <c r="E219">
        <v>861</v>
      </c>
      <c r="F219">
        <v>834</v>
      </c>
      <c r="G219" t="str">
        <f>HYPERLINK(".\links\qual\TI_asb-367-qual.txt","27")</f>
        <v>27</v>
      </c>
      <c r="H219">
        <v>1</v>
      </c>
      <c r="I219">
        <v>0</v>
      </c>
      <c r="J219">
        <f t="shared" si="10"/>
        <v>1</v>
      </c>
      <c r="K219" s="6">
        <f t="shared" si="11"/>
        <v>1</v>
      </c>
      <c r="L219" s="6" t="s">
        <v>4024</v>
      </c>
      <c r="M219" s="6" t="s">
        <v>3886</v>
      </c>
      <c r="N219" s="6" t="s">
        <v>3864</v>
      </c>
      <c r="O219" s="6">
        <v>2E-14</v>
      </c>
      <c r="P219" s="6">
        <v>17.399999999999999</v>
      </c>
      <c r="Q219" s="3">
        <v>861</v>
      </c>
      <c r="R219" s="3">
        <v>501</v>
      </c>
      <c r="S219" s="6" t="s">
        <v>3698</v>
      </c>
      <c r="T219" s="3">
        <v>3</v>
      </c>
      <c r="U219" t="str">
        <f>HYPERLINK(".\links\NR-LIGHT\TI_asb-367-NR-LIGHT.txt","Amphoterin-induced protein 2 precursor, putative")</f>
        <v>Amphoterin-induced protein 2 precursor, putative</v>
      </c>
      <c r="V219" t="str">
        <f>HYPERLINK("http://www.ncbi.nlm.nih.gov/sutils/blink.cgi?pid=242008917","2E-014")</f>
        <v>2E-014</v>
      </c>
      <c r="W219" t="str">
        <f>HYPERLINK(".\links\NR-LIGHT\TI_asb-367-NR-LIGHT.txt"," 10")</f>
        <v xml:space="preserve"> 10</v>
      </c>
      <c r="X219" t="str">
        <f>HYPERLINK("http://www.ncbi.nlm.nih.gov/protein/242008917","gi|242008917")</f>
        <v>gi|242008917</v>
      </c>
      <c r="Y219">
        <v>82.4</v>
      </c>
      <c r="Z219">
        <v>113</v>
      </c>
      <c r="AA219">
        <v>648</v>
      </c>
      <c r="AB219">
        <v>49</v>
      </c>
      <c r="AC219">
        <v>17</v>
      </c>
      <c r="AD219">
        <v>57</v>
      </c>
      <c r="AE219">
        <v>25</v>
      </c>
      <c r="AF219">
        <v>508</v>
      </c>
      <c r="AG219">
        <v>66</v>
      </c>
      <c r="AH219">
        <v>1</v>
      </c>
      <c r="AI219">
        <v>3</v>
      </c>
      <c r="AJ219" t="s">
        <v>53</v>
      </c>
      <c r="AK219" t="s">
        <v>54</v>
      </c>
      <c r="AL219" t="s">
        <v>141</v>
      </c>
      <c r="AM219" t="str">
        <f>HYPERLINK(".\links\SWISSP\TI_asb-367-SWISSP.txt","4-coumarate--CoA ligase 3 OS=Arabidopsis thaliana GN=4CL3 PE=1 SV=1")</f>
        <v>4-coumarate--CoA ligase 3 OS=Arabidopsis thaliana GN=4CL3 PE=1 SV=1</v>
      </c>
      <c r="AN219" s="19" t="str">
        <f>HYPERLINK("http://www.uniprot.org/uniprot/Q9S777","2.5")</f>
        <v>2.5</v>
      </c>
      <c r="AO219" t="str">
        <f>HYPERLINK(".\links\SWISSP\TI_asb-367-SWISSP.txt"," 2")</f>
        <v xml:space="preserve"> 2</v>
      </c>
      <c r="AP219" t="s">
        <v>2233</v>
      </c>
      <c r="AQ219">
        <v>33.1</v>
      </c>
      <c r="AR219">
        <v>50</v>
      </c>
      <c r="AS219">
        <v>561</v>
      </c>
      <c r="AT219">
        <v>34</v>
      </c>
      <c r="AU219">
        <v>9</v>
      </c>
      <c r="AV219">
        <v>33</v>
      </c>
      <c r="AW219">
        <v>0</v>
      </c>
      <c r="AX219">
        <v>468</v>
      </c>
      <c r="AY219">
        <v>299</v>
      </c>
      <c r="AZ219">
        <v>1</v>
      </c>
      <c r="BA219">
        <v>-3</v>
      </c>
      <c r="BB219" t="s">
        <v>53</v>
      </c>
      <c r="BC219" t="s">
        <v>64</v>
      </c>
      <c r="BD219" t="s">
        <v>274</v>
      </c>
      <c r="BE219" t="s">
        <v>2234</v>
      </c>
      <c r="BF219" t="s">
        <v>2235</v>
      </c>
      <c r="BG219" t="str">
        <f>HYPERLINK(".\links\PREV-RHOD-PEP\TI_asb-367-PREV-RHOD-PEP.txt","Contig17920_34")</f>
        <v>Contig17920_34</v>
      </c>
      <c r="BH219" s="7">
        <v>2.9999999999999999E-19</v>
      </c>
      <c r="BI219" t="str">
        <f>HYPERLINK(".\links\PREV-RHOD-PEP\TI_asb-367-PREV-RHOD-PEP.txt"," 9")</f>
        <v xml:space="preserve"> 9</v>
      </c>
      <c r="BJ219" t="s">
        <v>2236</v>
      </c>
      <c r="BK219">
        <v>92</v>
      </c>
      <c r="BL219">
        <v>51</v>
      </c>
      <c r="BM219">
        <v>74</v>
      </c>
      <c r="BN219">
        <v>84</v>
      </c>
      <c r="BO219">
        <v>69</v>
      </c>
      <c r="BP219">
        <v>8</v>
      </c>
      <c r="BQ219">
        <v>0</v>
      </c>
      <c r="BR219">
        <v>24</v>
      </c>
      <c r="BS219">
        <v>200</v>
      </c>
      <c r="BT219">
        <v>1</v>
      </c>
      <c r="BU219" t="s">
        <v>64</v>
      </c>
      <c r="BV219" t="s">
        <v>2237</v>
      </c>
      <c r="BW219" t="s">
        <v>56</v>
      </c>
      <c r="BX219" t="str">
        <f>HYPERLINK(".\links\PREV-RHOD-CDS\TI_asb-367-PREV-RHOD-CDS.txt","Contig17920_34")</f>
        <v>Contig17920_34</v>
      </c>
      <c r="BY219" s="7">
        <v>1.9999999999999998E-24</v>
      </c>
      <c r="BZ219" t="s">
        <v>2236</v>
      </c>
      <c r="CA219">
        <v>113</v>
      </c>
      <c r="CB219">
        <v>112</v>
      </c>
      <c r="CC219">
        <v>225</v>
      </c>
      <c r="CD219">
        <v>87</v>
      </c>
      <c r="CE219">
        <v>50</v>
      </c>
      <c r="CF219">
        <v>14</v>
      </c>
      <c r="CG219">
        <v>0</v>
      </c>
      <c r="CH219">
        <v>85</v>
      </c>
      <c r="CI219">
        <v>225</v>
      </c>
      <c r="CJ219">
        <v>1</v>
      </c>
      <c r="CK219" t="s">
        <v>64</v>
      </c>
      <c r="CL219" t="s">
        <v>2238</v>
      </c>
      <c r="CM219">
        <f>HYPERLINK(".\links\GO\TI_asb-367-GO.txt",2.7)</f>
        <v>2.7</v>
      </c>
      <c r="CN219" t="s">
        <v>58</v>
      </c>
      <c r="CO219" t="s">
        <v>58</v>
      </c>
      <c r="CQ219" t="s">
        <v>59</v>
      </c>
      <c r="CR219" s="6">
        <v>2.7</v>
      </c>
      <c r="CS219" t="s">
        <v>60</v>
      </c>
      <c r="CT219" t="s">
        <v>60</v>
      </c>
      <c r="CV219" t="s">
        <v>61</v>
      </c>
      <c r="CW219" s="6">
        <v>2.7</v>
      </c>
      <c r="CX219" t="s">
        <v>62</v>
      </c>
      <c r="CY219" t="s">
        <v>58</v>
      </c>
      <c r="DA219" t="s">
        <v>63</v>
      </c>
      <c r="DB219" s="6">
        <v>2.7</v>
      </c>
      <c r="DC219" t="str">
        <f>HYPERLINK(".\links\CDD\TI_asb-367-CDD.txt","CAP_N")</f>
        <v>CAP_N</v>
      </c>
      <c r="DD219" t="str">
        <f>HYPERLINK("http://www.ncbi.nlm.nih.gov/Structure/cdd/cddsrv.cgi?uid=pfam01213&amp;version=v4.0","0.024")</f>
        <v>0.024</v>
      </c>
      <c r="DE219" t="s">
        <v>2239</v>
      </c>
      <c r="DF219" t="str">
        <f>HYPERLINK(".\links\PFAM\TI_asb-367-PFAM.txt","CAP_N")</f>
        <v>CAP_N</v>
      </c>
      <c r="DG219" t="str">
        <f>HYPERLINK("http://pfam.sanger.ac.uk/family?acc=PF01213","0.005")</f>
        <v>0.005</v>
      </c>
      <c r="DH219" t="s">
        <v>56</v>
      </c>
      <c r="DI219" s="6" t="s">
        <v>56</v>
      </c>
      <c r="DJ219" s="6" t="str">
        <f>HYPERLINK(".\links\KOG\TI_asb-367-KOG.txt","RhoA GTPase effector DIA/Diaphanous")</f>
        <v>RhoA GTPase effector DIA/Diaphanous</v>
      </c>
      <c r="DK219" s="6" t="str">
        <f>HYPERLINK("http://www.ncbi.nlm.nih.gov/COG/grace/shokog.cgi?KOG1924","0.024")</f>
        <v>0.024</v>
      </c>
      <c r="DL219" s="6" t="s">
        <v>4353</v>
      </c>
      <c r="DM219" s="6" t="str">
        <f>HYPERLINK(".\links\KOG\TI_asb-367-KOG.txt","KOG1924")</f>
        <v>KOG1924</v>
      </c>
      <c r="DN219" t="str">
        <f>HYPERLINK(".\links\SMART\TI_asb-367-SMART.txt","STI")</f>
        <v>STI</v>
      </c>
      <c r="DO219" t="str">
        <f>HYPERLINK("http://smart.embl-heidelberg.de/smart/do_annotation.pl?DOMAIN=STI&amp;BLAST=DUMMY","0.036")</f>
        <v>0.036</v>
      </c>
      <c r="DP219" s="3" t="s">
        <v>56</v>
      </c>
      <c r="ED219" s="3" t="s">
        <v>56</v>
      </c>
    </row>
    <row r="220" spans="1:147">
      <c r="A220" t="str">
        <f>HYPERLINK(".\links\seq\TI_asb-369-seq.txt","TI_asb-369")</f>
        <v>TI_asb-369</v>
      </c>
      <c r="B220">
        <v>369</v>
      </c>
      <c r="C220" t="str">
        <f>HYPERLINK(".\links\tsa\TI_asb-369-tsa.txt","1")</f>
        <v>1</v>
      </c>
      <c r="D220">
        <v>1</v>
      </c>
      <c r="E220">
        <v>421</v>
      </c>
      <c r="F220">
        <v>387</v>
      </c>
      <c r="G220" t="str">
        <f>HYPERLINK(".\links\qual\TI_asb-369-qual.txt","41")</f>
        <v>41</v>
      </c>
      <c r="H220">
        <v>1</v>
      </c>
      <c r="I220">
        <v>0</v>
      </c>
      <c r="J220">
        <f t="shared" si="10"/>
        <v>1</v>
      </c>
      <c r="K220" s="6">
        <f t="shared" si="11"/>
        <v>1</v>
      </c>
      <c r="L220" s="6" t="s">
        <v>3868</v>
      </c>
      <c r="M220" s="6" t="s">
        <v>3869</v>
      </c>
      <c r="N220" s="6"/>
      <c r="O220" s="6"/>
      <c r="P220" s="6"/>
      <c r="Q220" s="3">
        <v>421</v>
      </c>
      <c r="R220" s="3">
        <v>159</v>
      </c>
      <c r="S220" s="6" t="s">
        <v>3699</v>
      </c>
      <c r="T220" s="3">
        <v>4</v>
      </c>
      <c r="U220" t="str">
        <f>HYPERLINK(".\links\NR-LIGHT\TI_asb-369-NR-LIGHT.txt","fatty acyl-CoA reductase 1")</f>
        <v>fatty acyl-CoA reductase 1</v>
      </c>
      <c r="V220" t="str">
        <f>HYPERLINK("http://www.ncbi.nlm.nih.gov/sutils/blink.cgi?pid=149944691","5.8")</f>
        <v>5.8</v>
      </c>
      <c r="W220" t="str">
        <f>HYPERLINK(".\links\NR-LIGHT\TI_asb-369-NR-LIGHT.txt"," 5")</f>
        <v xml:space="preserve"> 5</v>
      </c>
      <c r="X220" t="str">
        <f>HYPERLINK("http://www.ncbi.nlm.nih.gov/protein/149944691","gi|149944691")</f>
        <v>gi|149944691</v>
      </c>
      <c r="Y220">
        <v>32</v>
      </c>
      <c r="Z220">
        <v>53</v>
      </c>
      <c r="AA220">
        <v>515</v>
      </c>
      <c r="AB220">
        <v>24</v>
      </c>
      <c r="AC220">
        <v>10</v>
      </c>
      <c r="AD220">
        <v>40</v>
      </c>
      <c r="AE220">
        <v>0</v>
      </c>
      <c r="AF220">
        <v>349</v>
      </c>
      <c r="AG220">
        <v>29</v>
      </c>
      <c r="AH220">
        <v>1</v>
      </c>
      <c r="AI220">
        <v>-1</v>
      </c>
      <c r="AJ220" t="s">
        <v>53</v>
      </c>
      <c r="AK220" t="s">
        <v>64</v>
      </c>
      <c r="AL220" t="s">
        <v>113</v>
      </c>
      <c r="AM220" t="str">
        <f>HYPERLINK(".\links\SWISSP\TI_asb-369-SWISSP.txt","Fatty acyl-CoA reductase 2 OS=Bos taurus GN=FAR2 PE=2 SV=1")</f>
        <v>Fatty acyl-CoA reductase 2 OS=Bos taurus GN=FAR2 PE=2 SV=1</v>
      </c>
      <c r="AN220" s="19" t="str">
        <f>HYPERLINK("http://www.uniprot.org/uniprot/Q0P5J1","2.1")</f>
        <v>2.1</v>
      </c>
      <c r="AO220" t="str">
        <f>HYPERLINK(".\links\SWISSP\TI_asb-369-SWISSP.txt"," 6")</f>
        <v xml:space="preserve"> 6</v>
      </c>
      <c r="AP220" t="s">
        <v>2240</v>
      </c>
      <c r="AQ220">
        <v>31.2</v>
      </c>
      <c r="AR220">
        <v>57</v>
      </c>
      <c r="AS220">
        <v>515</v>
      </c>
      <c r="AT220">
        <v>29</v>
      </c>
      <c r="AU220">
        <v>11</v>
      </c>
      <c r="AV220">
        <v>40</v>
      </c>
      <c r="AW220">
        <v>0</v>
      </c>
      <c r="AX220">
        <v>351</v>
      </c>
      <c r="AY220">
        <v>11</v>
      </c>
      <c r="AZ220">
        <v>1</v>
      </c>
      <c r="BA220">
        <v>-1</v>
      </c>
      <c r="BB220" t="s">
        <v>53</v>
      </c>
      <c r="BC220" t="s">
        <v>64</v>
      </c>
      <c r="BD220" t="s">
        <v>113</v>
      </c>
      <c r="BE220" t="s">
        <v>2241</v>
      </c>
      <c r="BF220" t="s">
        <v>2242</v>
      </c>
      <c r="BG220" t="str">
        <f>HYPERLINK(".\links\PREV-RHOD-PEP\TI_asb-369-PREV-RHOD-PEP.txt","Contig17683_5")</f>
        <v>Contig17683_5</v>
      </c>
      <c r="BH220" s="6">
        <v>1.4</v>
      </c>
      <c r="BI220" t="str">
        <f>HYPERLINK(".\links\PREV-RHOD-PEP\TI_asb-369-PREV-RHOD-PEP.txt"," 1")</f>
        <v xml:space="preserve"> 1</v>
      </c>
      <c r="BJ220" t="s">
        <v>2243</v>
      </c>
      <c r="BK220">
        <v>28.1</v>
      </c>
      <c r="BL220">
        <v>51</v>
      </c>
      <c r="BM220">
        <v>284</v>
      </c>
      <c r="BN220">
        <v>31</v>
      </c>
      <c r="BO220">
        <v>18</v>
      </c>
      <c r="BP220">
        <v>35</v>
      </c>
      <c r="BQ220">
        <v>0</v>
      </c>
      <c r="BR220">
        <v>122</v>
      </c>
      <c r="BS220">
        <v>51</v>
      </c>
      <c r="BT220">
        <v>1</v>
      </c>
      <c r="BU220" t="s">
        <v>64</v>
      </c>
      <c r="BV220" t="s">
        <v>2244</v>
      </c>
      <c r="BW220" t="s">
        <v>56</v>
      </c>
      <c r="BX220" t="str">
        <f>HYPERLINK(".\links\PREV-RHOD-CDS\TI_asb-369-PREV-RHOD-CDS.txt","Contig8990_1")</f>
        <v>Contig8990_1</v>
      </c>
      <c r="BY220" s="6">
        <v>1.2999999999999999E-2</v>
      </c>
      <c r="BZ220" t="s">
        <v>2245</v>
      </c>
      <c r="CA220">
        <v>40.1</v>
      </c>
      <c r="CB220">
        <v>23</v>
      </c>
      <c r="CC220">
        <v>1962</v>
      </c>
      <c r="CD220">
        <v>95</v>
      </c>
      <c r="CE220">
        <v>1</v>
      </c>
      <c r="CF220">
        <v>1</v>
      </c>
      <c r="CG220">
        <v>0</v>
      </c>
      <c r="CH220">
        <v>1038</v>
      </c>
      <c r="CI220">
        <v>241</v>
      </c>
      <c r="CJ220">
        <v>1</v>
      </c>
      <c r="CK220" t="s">
        <v>64</v>
      </c>
      <c r="CL220" t="s">
        <v>2246</v>
      </c>
      <c r="CM220">
        <f>HYPERLINK(".\links\GO\TI_asb-369-GO.txt",0.67)</f>
        <v>0.67</v>
      </c>
      <c r="CN220" t="s">
        <v>2247</v>
      </c>
      <c r="CO220" t="s">
        <v>129</v>
      </c>
      <c r="CP220" t="s">
        <v>130</v>
      </c>
      <c r="CQ220" t="s">
        <v>2248</v>
      </c>
      <c r="CR220" s="6">
        <v>0.87</v>
      </c>
      <c r="CS220" t="s">
        <v>2249</v>
      </c>
      <c r="CT220" t="s">
        <v>75</v>
      </c>
      <c r="CU220" t="s">
        <v>76</v>
      </c>
      <c r="CV220" t="s">
        <v>2250</v>
      </c>
      <c r="CW220" s="6">
        <v>0.87</v>
      </c>
      <c r="CX220" t="s">
        <v>2251</v>
      </c>
      <c r="CY220" t="s">
        <v>129</v>
      </c>
      <c r="CZ220" t="s">
        <v>130</v>
      </c>
      <c r="DA220" t="s">
        <v>2252</v>
      </c>
      <c r="DB220" s="6">
        <v>0.87</v>
      </c>
      <c r="DC220" t="str">
        <f>HYPERLINK(".\links\CDD\TI_asb-369-CDD.txt","ND5")</f>
        <v>ND5</v>
      </c>
      <c r="DD220" t="str">
        <f>HYPERLINK("http://www.ncbi.nlm.nih.gov/Structure/cdd/cddsrv.cgi?uid=MTH00095&amp;version=v4.0","0.006")</f>
        <v>0.006</v>
      </c>
      <c r="DE220" t="s">
        <v>2253</v>
      </c>
      <c r="DF220" t="str">
        <f>HYPERLINK(".\links\PFAM\TI_asb-369-PFAM.txt","7TM_GPCR_Srd")</f>
        <v>7TM_GPCR_Srd</v>
      </c>
      <c r="DG220" t="str">
        <f>HYPERLINK("http://pfam.sanger.ac.uk/family?acc=PF10317","0.094")</f>
        <v>0.094</v>
      </c>
      <c r="DH220" t="str">
        <f>HYPERLINK(".\links\PRK\TI_asb-369-PRK.txt","NADH dehydrogenase subunit 5")</f>
        <v>NADH dehydrogenase subunit 5</v>
      </c>
      <c r="DI220" s="6">
        <v>4.0000000000000001E-3</v>
      </c>
      <c r="DJ220" s="6" t="s">
        <v>56</v>
      </c>
      <c r="DN220" t="str">
        <f>HYPERLINK(".\links\SMART\TI_asb-369-SMART.txt","AgrB")</f>
        <v>AgrB</v>
      </c>
      <c r="DO220" t="str">
        <f>HYPERLINK("http://smart.embl-heidelberg.de/smart/do_annotation.pl?DOMAIN=AgrB&amp;BLAST=DUMMY","0.005")</f>
        <v>0.005</v>
      </c>
      <c r="DP220" s="3" t="s">
        <v>56</v>
      </c>
      <c r="ED220" s="3" t="s">
        <v>56</v>
      </c>
    </row>
    <row r="221" spans="1:147">
      <c r="A221" t="str">
        <f>HYPERLINK(".\links\seq\TI_asb-370-seq.txt","TI_asb-370")</f>
        <v>TI_asb-370</v>
      </c>
      <c r="B221">
        <v>370</v>
      </c>
      <c r="C221" t="str">
        <f>HYPERLINK(".\links\tsa\TI_asb-370-tsa.txt","1")</f>
        <v>1</v>
      </c>
      <c r="D221">
        <v>1</v>
      </c>
      <c r="E221">
        <v>620</v>
      </c>
      <c r="F221">
        <v>584</v>
      </c>
      <c r="G221" t="str">
        <f>HYPERLINK(".\links\qual\TI_asb-370-qual.txt","58")</f>
        <v>58</v>
      </c>
      <c r="H221">
        <v>0</v>
      </c>
      <c r="I221">
        <v>1</v>
      </c>
      <c r="J221">
        <f t="shared" si="10"/>
        <v>1</v>
      </c>
      <c r="K221" s="6">
        <f t="shared" si="11"/>
        <v>-1</v>
      </c>
      <c r="L221" s="6" t="s">
        <v>4025</v>
      </c>
      <c r="M221" s="6" t="s">
        <v>3934</v>
      </c>
      <c r="N221" s="6" t="s">
        <v>3864</v>
      </c>
      <c r="O221" s="7">
        <v>1.9999999999999998E-96</v>
      </c>
      <c r="P221" s="6">
        <v>20.6</v>
      </c>
      <c r="Q221" s="3">
        <v>620</v>
      </c>
      <c r="R221" s="3">
        <v>615</v>
      </c>
      <c r="S221" s="3" t="s">
        <v>3700</v>
      </c>
      <c r="T221" s="3">
        <v>2</v>
      </c>
      <c r="U221" t="str">
        <f>HYPERLINK(".\links\NR-LIGHT\TI_asb-370-NR-LIGHT.txt","capsid protein precursor")</f>
        <v>capsid protein precursor</v>
      </c>
      <c r="V221" t="str">
        <f>HYPERLINK("http://www.ncbi.nlm.nih.gov/sutils/blink.cgi?pid=20451030","2E-096")</f>
        <v>2E-096</v>
      </c>
      <c r="W221" t="str">
        <f>HYPERLINK(".\links\NR-LIGHT\TI_asb-370-NR-LIGHT.txt"," 10")</f>
        <v xml:space="preserve"> 10</v>
      </c>
      <c r="X221" t="str">
        <f>HYPERLINK("http://www.ncbi.nlm.nih.gov/protein/20451030","gi|20451030")</f>
        <v>gi|20451030</v>
      </c>
      <c r="Y221">
        <v>347</v>
      </c>
      <c r="Z221">
        <v>179</v>
      </c>
      <c r="AA221">
        <v>868</v>
      </c>
      <c r="AB221">
        <v>97</v>
      </c>
      <c r="AC221">
        <v>21</v>
      </c>
      <c r="AD221">
        <v>5</v>
      </c>
      <c r="AE221">
        <v>0</v>
      </c>
      <c r="AF221">
        <v>15</v>
      </c>
      <c r="AG221">
        <v>1</v>
      </c>
      <c r="AH221">
        <v>2</v>
      </c>
      <c r="AI221">
        <v>2</v>
      </c>
      <c r="AJ221" t="s">
        <v>65</v>
      </c>
      <c r="AK221" t="s">
        <v>54</v>
      </c>
      <c r="AL221" t="s">
        <v>137</v>
      </c>
      <c r="AM221" t="str">
        <f>HYPERLINK(".\links\SWISSP\TI_asb-370-SWISSP.txt","Structural polyprotein OS=Cricket paralysis virus PE=1 SV=2")</f>
        <v>Structural polyprotein OS=Cricket paralysis virus PE=1 SV=2</v>
      </c>
      <c r="AN221" s="19" t="str">
        <f>HYPERLINK("http://www.uniprot.org/uniprot/P13418","2E-020")</f>
        <v>2E-020</v>
      </c>
      <c r="AO221" t="str">
        <f>HYPERLINK(".\links\SWISSP\TI_asb-370-SWISSP.txt"," 10")</f>
        <v xml:space="preserve"> 10</v>
      </c>
      <c r="AP221" t="s">
        <v>2254</v>
      </c>
      <c r="AQ221">
        <v>99</v>
      </c>
      <c r="AR221">
        <v>134</v>
      </c>
      <c r="AS221">
        <v>895</v>
      </c>
      <c r="AT221">
        <v>38</v>
      </c>
      <c r="AU221">
        <v>15</v>
      </c>
      <c r="AV221">
        <v>82</v>
      </c>
      <c r="AW221">
        <v>1</v>
      </c>
      <c r="AX221">
        <v>60</v>
      </c>
      <c r="AY221">
        <v>185</v>
      </c>
      <c r="AZ221">
        <v>2</v>
      </c>
      <c r="BA221">
        <v>2</v>
      </c>
      <c r="BB221" t="s">
        <v>53</v>
      </c>
      <c r="BC221" t="s">
        <v>54</v>
      </c>
      <c r="BD221" t="s">
        <v>2255</v>
      </c>
      <c r="BE221" t="s">
        <v>2256</v>
      </c>
      <c r="BF221" t="s">
        <v>2257</v>
      </c>
      <c r="BG221" t="str">
        <f>HYPERLINK(".\links\PREV-RHOD-PEP\TI_asb-370-PREV-RHOD-PEP.txt","Contig16257_4")</f>
        <v>Contig16257_4</v>
      </c>
      <c r="BH221" s="6">
        <v>1.3</v>
      </c>
      <c r="BI221" t="str">
        <f>HYPERLINK(".\links\PREV-RHOD-PEP\TI_asb-370-PREV-RHOD-PEP.txt"," 5")</f>
        <v xml:space="preserve"> 5</v>
      </c>
      <c r="BJ221" t="s">
        <v>2258</v>
      </c>
      <c r="BK221">
        <v>29.3</v>
      </c>
      <c r="BL221">
        <v>40</v>
      </c>
      <c r="BM221">
        <v>312</v>
      </c>
      <c r="BN221">
        <v>32</v>
      </c>
      <c r="BO221">
        <v>13</v>
      </c>
      <c r="BP221">
        <v>27</v>
      </c>
      <c r="BQ221">
        <v>0</v>
      </c>
      <c r="BR221">
        <v>42</v>
      </c>
      <c r="BS221">
        <v>58</v>
      </c>
      <c r="BT221">
        <v>1</v>
      </c>
      <c r="BU221" t="s">
        <v>64</v>
      </c>
      <c r="BV221" t="s">
        <v>2259</v>
      </c>
      <c r="BW221" t="s">
        <v>56</v>
      </c>
      <c r="BX221" t="str">
        <f>HYPERLINK(".\links\PREV-RHOD-CDS\TI_asb-370-PREV-RHOD-CDS.txt","Contig17854_88")</f>
        <v>Contig17854_88</v>
      </c>
      <c r="BY221" s="6">
        <v>7.6999999999999999E-2</v>
      </c>
      <c r="BZ221" t="s">
        <v>2260</v>
      </c>
      <c r="CA221">
        <v>38.200000000000003</v>
      </c>
      <c r="CB221">
        <v>18</v>
      </c>
      <c r="CC221">
        <v>4521</v>
      </c>
      <c r="CD221">
        <v>100</v>
      </c>
      <c r="CF221">
        <v>0</v>
      </c>
      <c r="CG221">
        <v>0</v>
      </c>
      <c r="CH221">
        <v>2313</v>
      </c>
      <c r="CI221">
        <v>250</v>
      </c>
      <c r="CJ221">
        <v>1</v>
      </c>
      <c r="CK221" t="s">
        <v>54</v>
      </c>
      <c r="CL221" t="s">
        <v>2261</v>
      </c>
      <c r="CM221">
        <f>HYPERLINK(".\links\GO\TI_asb-370-GO.txt",7.8)</f>
        <v>7.8</v>
      </c>
      <c r="CN221" t="s">
        <v>2262</v>
      </c>
      <c r="CO221" t="s">
        <v>129</v>
      </c>
      <c r="CP221" t="s">
        <v>239</v>
      </c>
      <c r="CQ221" t="s">
        <v>2263</v>
      </c>
      <c r="CR221" s="6">
        <v>7.8</v>
      </c>
      <c r="CS221" t="s">
        <v>56</v>
      </c>
      <c r="CT221" t="s">
        <v>56</v>
      </c>
      <c r="CU221" t="s">
        <v>56</v>
      </c>
      <c r="CV221" t="s">
        <v>56</v>
      </c>
      <c r="CW221" s="6" t="s">
        <v>56</v>
      </c>
      <c r="CX221" t="s">
        <v>56</v>
      </c>
      <c r="CY221" t="s">
        <v>56</v>
      </c>
      <c r="CZ221" t="s">
        <v>56</v>
      </c>
      <c r="DA221" t="s">
        <v>56</v>
      </c>
      <c r="DB221" s="6" t="s">
        <v>56</v>
      </c>
      <c r="DC221" t="str">
        <f>HYPERLINK(".\links\CDD\TI_asb-370-CDD.txt","rhv_like")</f>
        <v>rhv_like</v>
      </c>
      <c r="DD221" t="str">
        <f>HYPERLINK("http://www.ncbi.nlm.nih.gov/Structure/cdd/cddsrv.cgi?uid=cd00205&amp;version=v4.0","3E-014")</f>
        <v>3E-014</v>
      </c>
      <c r="DE221" t="s">
        <v>2264</v>
      </c>
      <c r="DF221" t="str">
        <f>HYPERLINK(".\links\PFAM\TI_asb-370-PFAM.txt","Rhv")</f>
        <v>Rhv</v>
      </c>
      <c r="DG221" t="str">
        <f>HYPERLINK("http://pfam.sanger.ac.uk/family?acc=PF00073","1E-005")</f>
        <v>1E-005</v>
      </c>
      <c r="DH221" t="s">
        <v>56</v>
      </c>
      <c r="DI221" s="6" t="s">
        <v>56</v>
      </c>
      <c r="DJ221" s="6" t="s">
        <v>56</v>
      </c>
      <c r="DN221" t="s">
        <v>56</v>
      </c>
      <c r="DO221" t="s">
        <v>56</v>
      </c>
      <c r="DP221" s="3" t="s">
        <v>56</v>
      </c>
      <c r="ED221" s="3" t="s">
        <v>56</v>
      </c>
    </row>
    <row r="222" spans="1:147">
      <c r="A222" t="str">
        <f>HYPERLINK(".\links\seq\TI_asb-372-seq.txt","TI_asb-372")</f>
        <v>TI_asb-372</v>
      </c>
      <c r="B222">
        <v>372</v>
      </c>
      <c r="C222" t="str">
        <f>HYPERLINK(".\links\tsa\TI_asb-372-tsa.txt","1")</f>
        <v>1</v>
      </c>
      <c r="D222">
        <v>1</v>
      </c>
      <c r="E222">
        <v>846</v>
      </c>
      <c r="F222">
        <v>825</v>
      </c>
      <c r="G222" t="str">
        <f>HYPERLINK(".\links\qual\TI_asb-372-qual.txt","40")</f>
        <v>40</v>
      </c>
      <c r="H222">
        <v>0</v>
      </c>
      <c r="I222">
        <v>1</v>
      </c>
      <c r="J222">
        <f t="shared" si="10"/>
        <v>1</v>
      </c>
      <c r="K222" s="6">
        <f t="shared" si="11"/>
        <v>-1</v>
      </c>
      <c r="L222" s="6" t="s">
        <v>3868</v>
      </c>
      <c r="M222" s="6" t="s">
        <v>3869</v>
      </c>
      <c r="N222" s="6"/>
      <c r="O222" s="6"/>
      <c r="P222" s="6"/>
      <c r="Q222" s="3">
        <v>846</v>
      </c>
      <c r="R222" s="3">
        <v>183</v>
      </c>
      <c r="S222" s="3" t="s">
        <v>3701</v>
      </c>
      <c r="T222" s="3">
        <v>3</v>
      </c>
      <c r="U222" t="s">
        <v>56</v>
      </c>
      <c r="V222" t="s">
        <v>56</v>
      </c>
      <c r="W222" t="s">
        <v>56</v>
      </c>
      <c r="X222" t="s">
        <v>56</v>
      </c>
      <c r="Y222" t="s">
        <v>56</v>
      </c>
      <c r="Z222" t="s">
        <v>56</v>
      </c>
      <c r="AA222" t="s">
        <v>56</v>
      </c>
      <c r="AB222" t="s">
        <v>56</v>
      </c>
      <c r="AC222" t="s">
        <v>56</v>
      </c>
      <c r="AD222" t="s">
        <v>56</v>
      </c>
      <c r="AE222" t="s">
        <v>56</v>
      </c>
      <c r="AF222" t="s">
        <v>56</v>
      </c>
      <c r="AG222" t="s">
        <v>56</v>
      </c>
      <c r="AH222" t="s">
        <v>56</v>
      </c>
      <c r="AI222" t="s">
        <v>56</v>
      </c>
      <c r="AJ222" t="s">
        <v>56</v>
      </c>
      <c r="AK222" t="s">
        <v>56</v>
      </c>
      <c r="AL222" t="s">
        <v>56</v>
      </c>
      <c r="AM222" t="str">
        <f>HYPERLINK(".\links\SWISSP\TI_asb-372-SWISSP.txt","Lipoyl synthase OS=Pelagibacter ubique GN=lipA PE=3 SV=1")</f>
        <v>Lipoyl synthase OS=Pelagibacter ubique GN=lipA PE=3 SV=1</v>
      </c>
      <c r="AN222" s="19" t="str">
        <f>HYPERLINK("http://www.uniprot.org/uniprot/Q4FM35","1.9")</f>
        <v>1.9</v>
      </c>
      <c r="AO222" t="str">
        <f>HYPERLINK(".\links\SWISSP\TI_asb-372-SWISSP.txt"," 1")</f>
        <v xml:space="preserve"> 1</v>
      </c>
      <c r="AP222" t="s">
        <v>2265</v>
      </c>
      <c r="AQ222">
        <v>33.5</v>
      </c>
      <c r="AR222">
        <v>57</v>
      </c>
      <c r="AS222">
        <v>308</v>
      </c>
      <c r="AT222">
        <v>38</v>
      </c>
      <c r="AU222">
        <v>19</v>
      </c>
      <c r="AV222">
        <v>35</v>
      </c>
      <c r="AW222">
        <v>4</v>
      </c>
      <c r="AX222">
        <v>254</v>
      </c>
      <c r="AY222">
        <v>1</v>
      </c>
      <c r="AZ222">
        <v>1</v>
      </c>
      <c r="BA222">
        <v>1</v>
      </c>
      <c r="BB222" t="s">
        <v>53</v>
      </c>
      <c r="BC222" t="s">
        <v>54</v>
      </c>
      <c r="BD222" t="s">
        <v>2266</v>
      </c>
      <c r="BE222" t="s">
        <v>2267</v>
      </c>
      <c r="BF222" t="s">
        <v>2268</v>
      </c>
      <c r="BG222" t="s">
        <v>56</v>
      </c>
      <c r="BH222" s="6" t="s">
        <v>56</v>
      </c>
      <c r="BI222" t="s">
        <v>56</v>
      </c>
      <c r="BJ222" t="s">
        <v>56</v>
      </c>
      <c r="BK222" t="s">
        <v>56</v>
      </c>
      <c r="BL222" t="s">
        <v>56</v>
      </c>
      <c r="BM222" t="s">
        <v>56</v>
      </c>
      <c r="BN222" t="s">
        <v>56</v>
      </c>
      <c r="BO222" t="s">
        <v>56</v>
      </c>
      <c r="BP222" t="s">
        <v>56</v>
      </c>
      <c r="BQ222" t="s">
        <v>56</v>
      </c>
      <c r="BR222" t="s">
        <v>56</v>
      </c>
      <c r="BS222" t="s">
        <v>56</v>
      </c>
      <c r="BT222" t="s">
        <v>56</v>
      </c>
      <c r="BU222" t="s">
        <v>56</v>
      </c>
      <c r="BV222" t="s">
        <v>56</v>
      </c>
      <c r="BW222" t="s">
        <v>56</v>
      </c>
      <c r="BX222" t="str">
        <f>HYPERLINK(".\links\PREV-RHOD-CDS\TI_asb-372-PREV-RHOD-CDS.txt","Contig6561_2")</f>
        <v>Contig6561_2</v>
      </c>
      <c r="BY222" s="6">
        <v>1.7</v>
      </c>
      <c r="BZ222" t="s">
        <v>2269</v>
      </c>
      <c r="CA222">
        <v>34.200000000000003</v>
      </c>
      <c r="CB222">
        <v>110</v>
      </c>
      <c r="CC222">
        <v>1362</v>
      </c>
      <c r="CD222">
        <v>95</v>
      </c>
      <c r="CE222">
        <v>8</v>
      </c>
      <c r="CF222">
        <v>1</v>
      </c>
      <c r="CG222">
        <v>0</v>
      </c>
      <c r="CH222">
        <v>672</v>
      </c>
      <c r="CI222">
        <v>391</v>
      </c>
      <c r="CJ222">
        <v>2</v>
      </c>
      <c r="CK222" t="s">
        <v>54</v>
      </c>
      <c r="CL222" t="s">
        <v>2270</v>
      </c>
      <c r="CM222">
        <f>HYPERLINK(".\links\GO\TI_asb-372-GO.txt",7.7)</f>
        <v>7.7</v>
      </c>
      <c r="CN222" t="s">
        <v>58</v>
      </c>
      <c r="CO222" t="s">
        <v>58</v>
      </c>
      <c r="CQ222" t="s">
        <v>59</v>
      </c>
      <c r="CR222" s="6">
        <v>7.7</v>
      </c>
      <c r="CS222" t="s">
        <v>60</v>
      </c>
      <c r="CT222" t="s">
        <v>60</v>
      </c>
      <c r="CV222" t="s">
        <v>61</v>
      </c>
      <c r="CW222" s="6">
        <v>7.7</v>
      </c>
      <c r="CX222" t="s">
        <v>62</v>
      </c>
      <c r="CY222" t="s">
        <v>58</v>
      </c>
      <c r="DA222" t="s">
        <v>63</v>
      </c>
      <c r="DB222" s="6">
        <v>7.7</v>
      </c>
      <c r="DC222" t="str">
        <f>HYPERLINK(".\links\CDD\TI_asb-372-CDD.txt","TatC")</f>
        <v>TatC</v>
      </c>
      <c r="DD222" t="str">
        <f>HYPERLINK("http://www.ncbi.nlm.nih.gov/Structure/cdd/cddsrv.cgi?uid=pfam00902&amp;version=v4.0","0.013")</f>
        <v>0.013</v>
      </c>
      <c r="DE222" t="s">
        <v>2271</v>
      </c>
      <c r="DF222" t="str">
        <f>HYPERLINK(".\links\PFAM\TI_asb-372-PFAM.txt","TatC")</f>
        <v>TatC</v>
      </c>
      <c r="DG222" t="str">
        <f>HYPERLINK("http://pfam.sanger.ac.uk/family?acc=PF00902","5E-004")</f>
        <v>5E-004</v>
      </c>
      <c r="DH222" t="str">
        <f>HYPERLINK(".\links\PRK\TI_asb-372-PRK.txt","NADH dehydrogenase subunit 5")</f>
        <v>NADH dehydrogenase subunit 5</v>
      </c>
      <c r="DI222" s="7">
        <v>3.0000000000000001E-5</v>
      </c>
      <c r="DJ222" s="6" t="s">
        <v>56</v>
      </c>
      <c r="DN222" t="str">
        <f>HYPERLINK(".\links\SMART\TI_asb-372-SMART.txt","PSN")</f>
        <v>PSN</v>
      </c>
      <c r="DO222" t="str">
        <f>HYPERLINK("http://smart.embl-heidelberg.de/smart/do_annotation.pl?DOMAIN=PSN&amp;BLAST=DUMMY","0.004")</f>
        <v>0.004</v>
      </c>
      <c r="DP222" s="3" t="s">
        <v>56</v>
      </c>
      <c r="ED222" s="3" t="s">
        <v>56</v>
      </c>
    </row>
    <row r="223" spans="1:147">
      <c r="A223" t="str">
        <f>HYPERLINK(".\links\seq\TI_asb-376-seq.txt","TI_asb-376")</f>
        <v>TI_asb-376</v>
      </c>
      <c r="B223">
        <v>376</v>
      </c>
      <c r="C223" t="str">
        <f>HYPERLINK(".\links\tsa\TI_asb-376-tsa.txt","1")</f>
        <v>1</v>
      </c>
      <c r="D223">
        <v>1</v>
      </c>
      <c r="E223">
        <v>426</v>
      </c>
      <c r="G223" t="str">
        <f>HYPERLINK(".\links\qual\TI_asb-376-qual.txt","24")</f>
        <v>24</v>
      </c>
      <c r="H223">
        <v>0</v>
      </c>
      <c r="I223">
        <v>1</v>
      </c>
      <c r="J223">
        <f t="shared" si="10"/>
        <v>1</v>
      </c>
      <c r="K223" s="6">
        <f t="shared" si="11"/>
        <v>-1</v>
      </c>
      <c r="L223" s="6" t="s">
        <v>3868</v>
      </c>
      <c r="M223" s="6" t="s">
        <v>3869</v>
      </c>
      <c r="N223" s="6"/>
      <c r="O223" s="6"/>
      <c r="P223" s="6"/>
      <c r="Q223" s="3">
        <v>426</v>
      </c>
      <c r="R223" s="3">
        <v>201</v>
      </c>
      <c r="S223" s="3" t="s">
        <v>3702</v>
      </c>
      <c r="T223" s="3">
        <v>6</v>
      </c>
      <c r="U223" t="str">
        <f>HYPERLINK(".\links\NR-LIGHT\TI_asb-376-NR-LIGHT.txt","putative autolysin")</f>
        <v>putative autolysin</v>
      </c>
      <c r="V223" t="str">
        <f>HYPERLINK("http://www.ncbi.nlm.nih.gov/sutils/blink.cgi?pid=290580821","3.5")</f>
        <v>3.5</v>
      </c>
      <c r="W223" t="str">
        <f>HYPERLINK(".\links\NR-LIGHT\TI_asb-376-NR-LIGHT.txt"," 2")</f>
        <v xml:space="preserve"> 2</v>
      </c>
      <c r="X223" t="str">
        <f>HYPERLINK("http://www.ncbi.nlm.nih.gov/protein/290580821","gi|290580821")</f>
        <v>gi|290580821</v>
      </c>
      <c r="Y223">
        <v>32.700000000000003</v>
      </c>
      <c r="Z223">
        <v>63</v>
      </c>
      <c r="AA223">
        <v>327</v>
      </c>
      <c r="AB223">
        <v>33</v>
      </c>
      <c r="AC223">
        <v>19</v>
      </c>
      <c r="AD223">
        <v>42</v>
      </c>
      <c r="AE223">
        <v>3</v>
      </c>
      <c r="AF223">
        <v>81</v>
      </c>
      <c r="AG223">
        <v>173</v>
      </c>
      <c r="AH223">
        <v>1</v>
      </c>
      <c r="AI223">
        <v>-3</v>
      </c>
      <c r="AJ223" t="s">
        <v>53</v>
      </c>
      <c r="AK223" t="s">
        <v>64</v>
      </c>
      <c r="AL223" t="s">
        <v>2272</v>
      </c>
      <c r="AM223" t="s">
        <v>56</v>
      </c>
      <c r="AN223" s="19" t="s">
        <v>56</v>
      </c>
      <c r="AO223" t="s">
        <v>56</v>
      </c>
      <c r="AP223" t="s">
        <v>56</v>
      </c>
      <c r="AQ223" t="s">
        <v>56</v>
      </c>
      <c r="AR223" t="s">
        <v>56</v>
      </c>
      <c r="AS223" t="s">
        <v>56</v>
      </c>
      <c r="AT223" t="s">
        <v>56</v>
      </c>
      <c r="AU223" t="s">
        <v>56</v>
      </c>
      <c r="AV223" t="s">
        <v>56</v>
      </c>
      <c r="AW223" t="s">
        <v>56</v>
      </c>
      <c r="AX223" t="s">
        <v>56</v>
      </c>
      <c r="AY223" t="s">
        <v>56</v>
      </c>
      <c r="AZ223" t="s">
        <v>56</v>
      </c>
      <c r="BA223" t="s">
        <v>56</v>
      </c>
      <c r="BB223" t="s">
        <v>56</v>
      </c>
      <c r="BC223" t="s">
        <v>56</v>
      </c>
      <c r="BD223" t="s">
        <v>56</v>
      </c>
      <c r="BE223" t="s">
        <v>56</v>
      </c>
      <c r="BF223" t="s">
        <v>56</v>
      </c>
      <c r="BG223" t="str">
        <f>HYPERLINK(".\links\PREV-RHOD-PEP\TI_asb-376-PREV-RHOD-PEP.txt","Contig4455_5")</f>
        <v>Contig4455_5</v>
      </c>
      <c r="BH223" s="6">
        <v>2.6</v>
      </c>
      <c r="BI223" t="str">
        <f>HYPERLINK(".\links\PREV-RHOD-PEP\TI_asb-376-PREV-RHOD-PEP.txt"," 4")</f>
        <v xml:space="preserve"> 4</v>
      </c>
      <c r="BJ223" t="s">
        <v>2273</v>
      </c>
      <c r="BK223">
        <v>27.3</v>
      </c>
      <c r="BL223">
        <v>18</v>
      </c>
      <c r="BM223">
        <v>149</v>
      </c>
      <c r="BN223">
        <v>50</v>
      </c>
      <c r="BO223">
        <v>12</v>
      </c>
      <c r="BP223">
        <v>9</v>
      </c>
      <c r="BQ223">
        <v>0</v>
      </c>
      <c r="BR223">
        <v>56</v>
      </c>
      <c r="BS223">
        <v>127</v>
      </c>
      <c r="BT223">
        <v>1</v>
      </c>
      <c r="BU223" t="s">
        <v>64</v>
      </c>
      <c r="BV223" t="s">
        <v>2274</v>
      </c>
      <c r="BW223" t="s">
        <v>56</v>
      </c>
      <c r="BX223" t="str">
        <f>HYPERLINK(".\links\PREV-RHOD-CDS\TI_asb-376-PREV-RHOD-CDS.txt","Contig6940_1")</f>
        <v>Contig6940_1</v>
      </c>
      <c r="BY223" s="6">
        <v>0.82</v>
      </c>
      <c r="BZ223" t="s">
        <v>2275</v>
      </c>
      <c r="CA223">
        <v>34.200000000000003</v>
      </c>
      <c r="CB223">
        <v>20</v>
      </c>
      <c r="CC223">
        <v>888</v>
      </c>
      <c r="CD223">
        <v>95</v>
      </c>
      <c r="CE223">
        <v>2</v>
      </c>
      <c r="CF223">
        <v>1</v>
      </c>
      <c r="CG223">
        <v>0</v>
      </c>
      <c r="CH223">
        <v>644</v>
      </c>
      <c r="CI223">
        <v>56</v>
      </c>
      <c r="CJ223">
        <v>1</v>
      </c>
      <c r="CK223" t="s">
        <v>54</v>
      </c>
      <c r="CL223" t="s">
        <v>2276</v>
      </c>
      <c r="CM223">
        <f>HYPERLINK(".\links\GO\TI_asb-376-GO.txt",2.6)</f>
        <v>2.6</v>
      </c>
      <c r="CN223" t="s">
        <v>2277</v>
      </c>
      <c r="CO223" t="s">
        <v>129</v>
      </c>
      <c r="CP223" t="s">
        <v>166</v>
      </c>
      <c r="CQ223" t="s">
        <v>2278</v>
      </c>
      <c r="CR223" s="6">
        <v>3.4</v>
      </c>
      <c r="CS223" t="s">
        <v>2279</v>
      </c>
      <c r="CT223" t="s">
        <v>75</v>
      </c>
      <c r="CU223" t="s">
        <v>76</v>
      </c>
      <c r="CV223" t="s">
        <v>2280</v>
      </c>
      <c r="CW223" s="6">
        <v>3.4</v>
      </c>
      <c r="CX223" t="s">
        <v>2281</v>
      </c>
      <c r="CY223" t="s">
        <v>129</v>
      </c>
      <c r="CZ223" t="s">
        <v>166</v>
      </c>
      <c r="DA223" t="s">
        <v>2282</v>
      </c>
      <c r="DB223" s="6">
        <v>3.4</v>
      </c>
      <c r="DC223" t="s">
        <v>56</v>
      </c>
      <c r="DD223" t="s">
        <v>56</v>
      </c>
      <c r="DE223" t="s">
        <v>56</v>
      </c>
      <c r="DF223" t="s">
        <v>56</v>
      </c>
      <c r="DG223" t="s">
        <v>56</v>
      </c>
      <c r="DH223" t="s">
        <v>56</v>
      </c>
      <c r="DI223" s="6" t="s">
        <v>56</v>
      </c>
      <c r="DJ223" s="6" t="s">
        <v>56</v>
      </c>
      <c r="DN223" t="s">
        <v>56</v>
      </c>
      <c r="DO223" t="s">
        <v>56</v>
      </c>
      <c r="DP223" s="3" t="s">
        <v>56</v>
      </c>
      <c r="ED223" s="3" t="s">
        <v>56</v>
      </c>
    </row>
    <row r="224" spans="1:147">
      <c r="A224" t="str">
        <f>HYPERLINK(".\links\seq\TI_asb-379-seq.txt","TI_asb-379")</f>
        <v>TI_asb-379</v>
      </c>
      <c r="B224">
        <v>379</v>
      </c>
      <c r="C224" t="str">
        <f>HYPERLINK(".\links\tsa\TI_asb-379-tsa.txt","1")</f>
        <v>1</v>
      </c>
      <c r="D224">
        <v>1</v>
      </c>
      <c r="E224">
        <v>632</v>
      </c>
      <c r="G224" t="str">
        <f>HYPERLINK(".\links\qual\TI_asb-379-qual.txt","59")</f>
        <v>59</v>
      </c>
      <c r="H224">
        <v>1</v>
      </c>
      <c r="I224">
        <v>0</v>
      </c>
      <c r="J224">
        <f t="shared" si="10"/>
        <v>1</v>
      </c>
      <c r="K224" s="6">
        <f t="shared" si="11"/>
        <v>1</v>
      </c>
      <c r="L224" s="6" t="s">
        <v>3868</v>
      </c>
      <c r="M224" s="6" t="s">
        <v>3869</v>
      </c>
      <c r="N224" s="6"/>
      <c r="O224" s="6"/>
      <c r="P224" s="6"/>
      <c r="Q224" s="3">
        <v>632</v>
      </c>
      <c r="R224" s="3">
        <v>114</v>
      </c>
      <c r="S224" s="6" t="s">
        <v>3703</v>
      </c>
      <c r="T224" s="3">
        <v>5</v>
      </c>
      <c r="U224" t="str">
        <f>HYPERLINK(".\links\NR-LIGHT\TI_asb-379-NR-LIGHT.txt","Wzx")</f>
        <v>Wzx</v>
      </c>
      <c r="V224" t="str">
        <f>HYPERLINK("http://www.ncbi.nlm.nih.gov/sutils/blink.cgi?pid=299482790","0.44")</f>
        <v>0.44</v>
      </c>
      <c r="W224" t="str">
        <f>HYPERLINK(".\links\NR-LIGHT\TI_asb-379-NR-LIGHT.txt"," 1")</f>
        <v xml:space="preserve"> 1</v>
      </c>
      <c r="X224" t="str">
        <f>HYPERLINK("http://www.ncbi.nlm.nih.gov/protein/299482790","gi|299482790")</f>
        <v>gi|299482790</v>
      </c>
      <c r="Y224">
        <v>37</v>
      </c>
      <c r="Z224">
        <v>85</v>
      </c>
      <c r="AA224">
        <v>413</v>
      </c>
      <c r="AB224">
        <v>27</v>
      </c>
      <c r="AC224">
        <v>21</v>
      </c>
      <c r="AD224">
        <v>62</v>
      </c>
      <c r="AE224">
        <v>0</v>
      </c>
      <c r="AF224">
        <v>145</v>
      </c>
      <c r="AG224">
        <v>188</v>
      </c>
      <c r="AH224">
        <v>1</v>
      </c>
      <c r="AI224">
        <v>2</v>
      </c>
      <c r="AJ224" t="s">
        <v>53</v>
      </c>
      <c r="AK224" t="s">
        <v>54</v>
      </c>
      <c r="AL224" t="s">
        <v>478</v>
      </c>
      <c r="AM224" t="str">
        <f>HYPERLINK(".\links\SWISSP\TI_asb-379-SWISSP.txt","Uncharacterized protein RP382 OS=Rickettsia prowazekii GN=RP382 PE=4 SV=1")</f>
        <v>Uncharacterized protein RP382 OS=Rickettsia prowazekii GN=RP382 PE=4 SV=1</v>
      </c>
      <c r="AN224" s="19" t="str">
        <f>HYPERLINK("http://www.uniprot.org/uniprot/Q9ZDE9","9.6")</f>
        <v>9.6</v>
      </c>
      <c r="AO224" t="str">
        <f>HYPERLINK(".\links\SWISSP\TI_asb-379-SWISSP.txt"," 1")</f>
        <v xml:space="preserve"> 1</v>
      </c>
      <c r="AP224" t="s">
        <v>2283</v>
      </c>
      <c r="AQ224">
        <v>30.4</v>
      </c>
      <c r="AR224">
        <v>34</v>
      </c>
      <c r="AS224">
        <v>510</v>
      </c>
      <c r="AT224">
        <v>41</v>
      </c>
      <c r="AU224">
        <v>7</v>
      </c>
      <c r="AV224">
        <v>20</v>
      </c>
      <c r="AW224">
        <v>2</v>
      </c>
      <c r="AX224">
        <v>145</v>
      </c>
      <c r="AY224">
        <v>446</v>
      </c>
      <c r="AZ224">
        <v>1</v>
      </c>
      <c r="BA224">
        <v>-2</v>
      </c>
      <c r="BB224" t="s">
        <v>53</v>
      </c>
      <c r="BC224" t="s">
        <v>64</v>
      </c>
      <c r="BD224" t="s">
        <v>2284</v>
      </c>
      <c r="BE224" t="s">
        <v>2285</v>
      </c>
      <c r="BF224" t="s">
        <v>2286</v>
      </c>
      <c r="BG224" t="str">
        <f>HYPERLINK(".\links\PREV-RHOD-PEP\TI_asb-379-PREV-RHOD-PEP.txt","Contig18061_85")</f>
        <v>Contig18061_85</v>
      </c>
      <c r="BH224" s="6">
        <v>5.2</v>
      </c>
      <c r="BI224" t="str">
        <f>HYPERLINK(".\links\PREV-RHOD-PEP\TI_asb-379-PREV-RHOD-PEP.txt"," 5")</f>
        <v xml:space="preserve"> 5</v>
      </c>
      <c r="BJ224" t="s">
        <v>2287</v>
      </c>
      <c r="BK224">
        <v>27.3</v>
      </c>
      <c r="BL224">
        <v>47</v>
      </c>
      <c r="BM224">
        <v>62</v>
      </c>
      <c r="BN224">
        <v>34</v>
      </c>
      <c r="BO224">
        <v>76</v>
      </c>
      <c r="BP224">
        <v>31</v>
      </c>
      <c r="BQ224">
        <v>2</v>
      </c>
      <c r="BR224">
        <v>4</v>
      </c>
      <c r="BS224">
        <v>375</v>
      </c>
      <c r="BT224">
        <v>1</v>
      </c>
      <c r="BU224" t="s">
        <v>54</v>
      </c>
      <c r="BV224" t="s">
        <v>2288</v>
      </c>
      <c r="BW224" t="s">
        <v>56</v>
      </c>
      <c r="BX224" t="str">
        <f>HYPERLINK(".\links\PREV-RHOD-CDS\TI_asb-379-PREV-RHOD-CDS.txt","Contig17942_189")</f>
        <v>Contig17942_189</v>
      </c>
      <c r="BY224" s="6">
        <v>0.02</v>
      </c>
      <c r="BZ224" t="s">
        <v>2289</v>
      </c>
      <c r="CA224">
        <v>40.1</v>
      </c>
      <c r="CB224">
        <v>19</v>
      </c>
      <c r="CC224">
        <v>855</v>
      </c>
      <c r="CD224">
        <v>100</v>
      </c>
      <c r="CE224">
        <v>2</v>
      </c>
      <c r="CF224">
        <v>0</v>
      </c>
      <c r="CG224">
        <v>0</v>
      </c>
      <c r="CH224">
        <v>695</v>
      </c>
      <c r="CI224">
        <v>495</v>
      </c>
      <c r="CJ224">
        <v>1</v>
      </c>
      <c r="CK224" t="s">
        <v>64</v>
      </c>
      <c r="CL224" t="s">
        <v>2290</v>
      </c>
      <c r="CM224">
        <f>HYPERLINK(".\links\GO\TI_asb-379-GO.txt",3.6)</f>
        <v>3.6</v>
      </c>
      <c r="CN224" t="s">
        <v>323</v>
      </c>
      <c r="CO224" t="s">
        <v>324</v>
      </c>
      <c r="CP224" t="s">
        <v>325</v>
      </c>
      <c r="CQ224" t="s">
        <v>326</v>
      </c>
      <c r="CR224" s="6">
        <v>3.6</v>
      </c>
      <c r="CS224" t="s">
        <v>91</v>
      </c>
      <c r="CT224" t="s">
        <v>75</v>
      </c>
      <c r="CU224" t="s">
        <v>92</v>
      </c>
      <c r="CV224" t="s">
        <v>93</v>
      </c>
      <c r="CW224" s="6">
        <v>3.6</v>
      </c>
      <c r="CX224" t="s">
        <v>327</v>
      </c>
      <c r="CY224" t="s">
        <v>324</v>
      </c>
      <c r="CZ224" t="s">
        <v>325</v>
      </c>
      <c r="DA224" t="s">
        <v>328</v>
      </c>
      <c r="DB224" s="6">
        <v>3.6</v>
      </c>
      <c r="DC224" t="str">
        <f>HYPERLINK(".\links\CDD\TI_asb-379-CDD.txt","ND5")</f>
        <v>ND5</v>
      </c>
      <c r="DD224" t="str">
        <f>HYPERLINK("http://www.ncbi.nlm.nih.gov/Structure/cdd/cddsrv.cgi?uid=MTH00095&amp;version=v4.0","1E-004")</f>
        <v>1E-004</v>
      </c>
      <c r="DE224" t="s">
        <v>2291</v>
      </c>
      <c r="DF224" t="str">
        <f>HYPERLINK(".\links\PFAM\TI_asb-379-PFAM.txt","Ufd2P_core")</f>
        <v>Ufd2P_core</v>
      </c>
      <c r="DG224" t="str">
        <f>HYPERLINK("http://pfam.sanger.ac.uk/family?acc=PF10408","0.006")</f>
        <v>0.006</v>
      </c>
      <c r="DH224" t="str">
        <f>HYPERLINK(".\links\PRK\TI_asb-379-PRK.txt","NADH dehydrogenase subunit 5")</f>
        <v>NADH dehydrogenase subunit 5</v>
      </c>
      <c r="DI224" s="7">
        <v>1E-4</v>
      </c>
      <c r="DJ224" s="6" t="s">
        <v>56</v>
      </c>
      <c r="DN224" t="str">
        <f>HYPERLINK(".\links\SMART\TI_asb-379-SMART.txt","53EXOc")</f>
        <v>53EXOc</v>
      </c>
      <c r="DO224" t="str">
        <f>HYPERLINK("http://smart.embl-heidelberg.de/smart/do_annotation.pl?DOMAIN=53EXOc&amp;BLAST=DUMMY","0.084")</f>
        <v>0.084</v>
      </c>
      <c r="DP224" s="3" t="s">
        <v>56</v>
      </c>
      <c r="ED224" s="3" t="s">
        <v>56</v>
      </c>
    </row>
    <row r="225" spans="1:134">
      <c r="A225" t="str">
        <f>HYPERLINK(".\links\seq\TI_asb-380-seq.txt","TI_asb-380")</f>
        <v>TI_asb-380</v>
      </c>
      <c r="B225">
        <v>380</v>
      </c>
      <c r="C225" t="str">
        <f>HYPERLINK(".\links\tsa\TI_asb-380-tsa.txt","1")</f>
        <v>1</v>
      </c>
      <c r="D225">
        <v>1</v>
      </c>
      <c r="E225">
        <v>304</v>
      </c>
      <c r="G225" t="str">
        <f>HYPERLINK(".\links\qual\TI_asb-380-qual.txt","21")</f>
        <v>21</v>
      </c>
      <c r="H225">
        <v>1</v>
      </c>
      <c r="I225">
        <v>0</v>
      </c>
      <c r="J225">
        <f t="shared" si="10"/>
        <v>1</v>
      </c>
      <c r="K225" s="6">
        <f t="shared" si="11"/>
        <v>1</v>
      </c>
      <c r="L225" s="6" t="s">
        <v>3868</v>
      </c>
      <c r="M225" s="6" t="s">
        <v>3869</v>
      </c>
      <c r="N225" s="6"/>
      <c r="O225" s="6"/>
      <c r="P225" s="6"/>
      <c r="Q225" s="3">
        <v>304</v>
      </c>
      <c r="R225" s="3">
        <v>150</v>
      </c>
      <c r="S225" s="6" t="s">
        <v>3704</v>
      </c>
      <c r="T225" s="3">
        <v>1</v>
      </c>
      <c r="U225" t="str">
        <f>HYPERLINK(".\links\NR-LIGHT\TI_asb-380-NR-LIGHT.txt","CCAAT-box DNA binding protein subunit B")</f>
        <v>CCAAT-box DNA binding protein subunit B</v>
      </c>
      <c r="V225" t="str">
        <f>HYPERLINK("http://www.ncbi.nlm.nih.gov/sutils/blink.cgi?pid=82596209","2.6")</f>
        <v>2.6</v>
      </c>
      <c r="W225" t="str">
        <f>HYPERLINK(".\links\NR-LIGHT\TI_asb-380-NR-LIGHT.txt"," 2")</f>
        <v xml:space="preserve"> 2</v>
      </c>
      <c r="X225" t="str">
        <f>HYPERLINK("http://www.ncbi.nlm.nih.gov/protein/82596209","gi|82596209")</f>
        <v>gi|82596209</v>
      </c>
      <c r="Y225">
        <v>33.1</v>
      </c>
      <c r="Z225">
        <v>49</v>
      </c>
      <c r="AA225">
        <v>859</v>
      </c>
      <c r="AB225">
        <v>32</v>
      </c>
      <c r="AC225">
        <v>6</v>
      </c>
      <c r="AD225">
        <v>33</v>
      </c>
      <c r="AE225">
        <v>0</v>
      </c>
      <c r="AF225">
        <v>567</v>
      </c>
      <c r="AG225">
        <v>96</v>
      </c>
      <c r="AH225">
        <v>1</v>
      </c>
      <c r="AI225">
        <v>-3</v>
      </c>
      <c r="AJ225" t="s">
        <v>53</v>
      </c>
      <c r="AK225" t="s">
        <v>64</v>
      </c>
      <c r="AL225" t="s">
        <v>1544</v>
      </c>
      <c r="AM225" t="s">
        <v>56</v>
      </c>
      <c r="AN225" s="19" t="s">
        <v>56</v>
      </c>
      <c r="AO225" t="s">
        <v>56</v>
      </c>
      <c r="AP225" t="s">
        <v>56</v>
      </c>
      <c r="AQ225" t="s">
        <v>56</v>
      </c>
      <c r="AR225" t="s">
        <v>56</v>
      </c>
      <c r="AS225" t="s">
        <v>56</v>
      </c>
      <c r="AT225" t="s">
        <v>56</v>
      </c>
      <c r="AU225" t="s">
        <v>56</v>
      </c>
      <c r="AV225" t="s">
        <v>56</v>
      </c>
      <c r="AW225" t="s">
        <v>56</v>
      </c>
      <c r="AX225" t="s">
        <v>56</v>
      </c>
      <c r="AY225" t="s">
        <v>56</v>
      </c>
      <c r="AZ225" t="s">
        <v>56</v>
      </c>
      <c r="BA225" t="s">
        <v>56</v>
      </c>
      <c r="BB225" t="s">
        <v>56</v>
      </c>
      <c r="BC225" t="s">
        <v>56</v>
      </c>
      <c r="BD225" t="s">
        <v>56</v>
      </c>
      <c r="BE225" t="s">
        <v>56</v>
      </c>
      <c r="BF225" t="s">
        <v>56</v>
      </c>
      <c r="BG225" t="s">
        <v>56</v>
      </c>
      <c r="BH225" s="6" t="s">
        <v>56</v>
      </c>
      <c r="BI225" t="s">
        <v>56</v>
      </c>
      <c r="BJ225" t="s">
        <v>56</v>
      </c>
      <c r="BK225" t="s">
        <v>56</v>
      </c>
      <c r="BL225" t="s">
        <v>56</v>
      </c>
      <c r="BM225" t="s">
        <v>56</v>
      </c>
      <c r="BN225" t="s">
        <v>56</v>
      </c>
      <c r="BO225" t="s">
        <v>56</v>
      </c>
      <c r="BP225" t="s">
        <v>56</v>
      </c>
      <c r="BQ225" t="s">
        <v>56</v>
      </c>
      <c r="BR225" t="s">
        <v>56</v>
      </c>
      <c r="BS225" t="s">
        <v>56</v>
      </c>
      <c r="BT225" t="s">
        <v>56</v>
      </c>
      <c r="BU225" t="s">
        <v>56</v>
      </c>
      <c r="BV225" t="s">
        <v>56</v>
      </c>
      <c r="BW225" t="s">
        <v>56</v>
      </c>
      <c r="BX225" t="str">
        <f>HYPERLINK(".\links\PREV-RHOD-CDS\TI_asb-380-PREV-RHOD-CDS.txt","Contig17832_69")</f>
        <v>Contig17832_69</v>
      </c>
      <c r="BY225" s="6">
        <v>0.15</v>
      </c>
      <c r="BZ225" t="s">
        <v>2292</v>
      </c>
      <c r="CA225">
        <v>36.200000000000003</v>
      </c>
      <c r="CB225">
        <v>17</v>
      </c>
      <c r="CC225">
        <v>1677</v>
      </c>
      <c r="CD225">
        <v>100</v>
      </c>
      <c r="CE225">
        <v>1</v>
      </c>
      <c r="CF225">
        <v>0</v>
      </c>
      <c r="CG225">
        <v>0</v>
      </c>
      <c r="CH225">
        <v>863</v>
      </c>
      <c r="CI225">
        <v>122</v>
      </c>
      <c r="CJ225">
        <v>1</v>
      </c>
      <c r="CK225" t="s">
        <v>54</v>
      </c>
      <c r="CL225" t="s">
        <v>2293</v>
      </c>
      <c r="CM225">
        <f>HYPERLINK(".\links\GO\TI_asb-380-GO.txt",0.38)</f>
        <v>0.38</v>
      </c>
      <c r="CN225" t="s">
        <v>58</v>
      </c>
      <c r="CO225" t="s">
        <v>58</v>
      </c>
      <c r="CQ225" t="s">
        <v>59</v>
      </c>
      <c r="CR225" s="6">
        <v>0.38</v>
      </c>
      <c r="CS225" t="s">
        <v>60</v>
      </c>
      <c r="CT225" t="s">
        <v>60</v>
      </c>
      <c r="CV225" t="s">
        <v>61</v>
      </c>
      <c r="CW225" s="6">
        <v>0.38</v>
      </c>
      <c r="CX225" t="s">
        <v>62</v>
      </c>
      <c r="CY225" t="s">
        <v>58</v>
      </c>
      <c r="DA225" t="s">
        <v>63</v>
      </c>
      <c r="DB225" s="6">
        <v>0.38</v>
      </c>
      <c r="DC225" t="s">
        <v>56</v>
      </c>
      <c r="DD225" t="s">
        <v>56</v>
      </c>
      <c r="DE225" t="s">
        <v>56</v>
      </c>
      <c r="DF225" t="str">
        <f>HYPERLINK(".\links\PFAM\TI_asb-380-PFAM.txt","Borrelia_orfA")</f>
        <v>Borrelia_orfA</v>
      </c>
      <c r="DG225" t="str">
        <f>HYPERLINK("http://pfam.sanger.ac.uk/family?acc=PF02414","0.034")</f>
        <v>0.034</v>
      </c>
      <c r="DH225" t="s">
        <v>56</v>
      </c>
      <c r="DI225" s="6" t="s">
        <v>56</v>
      </c>
      <c r="DJ225" s="6" t="s">
        <v>56</v>
      </c>
      <c r="DN225" t="str">
        <f>HYPERLINK(".\links\SMART\TI_asb-380-SMART.txt","TBC")</f>
        <v>TBC</v>
      </c>
      <c r="DO225" t="str">
        <f>HYPERLINK("http://smart.embl-heidelberg.de/smart/do_annotation.pl?DOMAIN=TBC&amp;BLAST=DUMMY","0.011")</f>
        <v>0.011</v>
      </c>
      <c r="DP225" s="3" t="s">
        <v>56</v>
      </c>
      <c r="ED225" s="3" t="s">
        <v>56</v>
      </c>
    </row>
    <row r="226" spans="1:134">
      <c r="A226" t="str">
        <f>HYPERLINK(".\links\seq\TI_asb-382-seq.txt","TI_asb-382")</f>
        <v>TI_asb-382</v>
      </c>
      <c r="B226">
        <v>382</v>
      </c>
      <c r="C226" t="str">
        <f>HYPERLINK(".\links\tsa\TI_asb-382-tsa.txt","2")</f>
        <v>2</v>
      </c>
      <c r="D226">
        <v>2</v>
      </c>
      <c r="E226">
        <v>902</v>
      </c>
      <c r="F226">
        <v>872</v>
      </c>
      <c r="G226" t="str">
        <f>HYPERLINK(".\links\qual\TI_asb-382-qual.txt","70")</f>
        <v>70</v>
      </c>
      <c r="H226">
        <v>2</v>
      </c>
      <c r="I226">
        <v>0</v>
      </c>
      <c r="J226">
        <f t="shared" si="10"/>
        <v>2</v>
      </c>
      <c r="K226" s="6">
        <f t="shared" si="11"/>
        <v>2</v>
      </c>
      <c r="L226" s="6" t="s">
        <v>4026</v>
      </c>
      <c r="M226" s="6" t="s">
        <v>3871</v>
      </c>
      <c r="N226" s="6" t="s">
        <v>3864</v>
      </c>
      <c r="O226" s="7">
        <v>2.0000000000000001E-22</v>
      </c>
      <c r="P226" s="6">
        <v>16.899999999999999</v>
      </c>
      <c r="Q226" s="3">
        <v>902</v>
      </c>
      <c r="R226" s="3">
        <v>270</v>
      </c>
      <c r="S226" s="6" t="s">
        <v>3705</v>
      </c>
      <c r="T226" s="3">
        <v>3</v>
      </c>
      <c r="U226" t="str">
        <f>HYPERLINK(".\links\NR-LIGHT\TI_asb-382-NR-LIGHT.txt","hypothetical protein TcasGA2_TC000583")</f>
        <v>hypothetical protein TcasGA2_TC000583</v>
      </c>
      <c r="V226" t="str">
        <f>HYPERLINK("http://www.ncbi.nlm.nih.gov/sutils/blink.cgi?pid=270001710","3E-023")</f>
        <v>3E-023</v>
      </c>
      <c r="W226" t="str">
        <f>HYPERLINK(".\links\NR-LIGHT\TI_asb-382-NR-LIGHT.txt"," 10")</f>
        <v xml:space="preserve"> 10</v>
      </c>
      <c r="X226" t="str">
        <f>HYPERLINK("http://www.ncbi.nlm.nih.gov/protein/270001710","gi|270001710")</f>
        <v>gi|270001710</v>
      </c>
      <c r="Y226">
        <v>111</v>
      </c>
      <c r="Z226">
        <v>90</v>
      </c>
      <c r="AA226">
        <v>533</v>
      </c>
      <c r="AB226">
        <v>54</v>
      </c>
      <c r="AC226">
        <v>17</v>
      </c>
      <c r="AD226">
        <v>41</v>
      </c>
      <c r="AE226">
        <v>0</v>
      </c>
      <c r="AF226">
        <v>444</v>
      </c>
      <c r="AG226">
        <v>3</v>
      </c>
      <c r="AH226">
        <v>1</v>
      </c>
      <c r="AI226">
        <v>3</v>
      </c>
      <c r="AJ226" t="s">
        <v>53</v>
      </c>
      <c r="AK226" t="s">
        <v>54</v>
      </c>
      <c r="AL226" t="s">
        <v>79</v>
      </c>
      <c r="AM226" t="str">
        <f>HYPERLINK(".\links\SWISSP\TI_asb-382-SWISSP.txt","Solute carrier family 7 member 13 OS=Rattus norvegicus GN=Slc7a13 PE=2 SV=1")</f>
        <v>Solute carrier family 7 member 13 OS=Rattus norvegicus GN=Slc7a13 PE=2 SV=1</v>
      </c>
      <c r="AN226" s="19" t="str">
        <f>HYPERLINK("http://www.uniprot.org/uniprot/Q5RKI7","1E-011")</f>
        <v>1E-011</v>
      </c>
      <c r="AO226" t="str">
        <f>HYPERLINK(".\links\SWISSP\TI_asb-382-SWISSP.txt"," 7")</f>
        <v xml:space="preserve"> 7</v>
      </c>
      <c r="AP226" t="s">
        <v>2294</v>
      </c>
      <c r="AQ226">
        <v>70.900000000000006</v>
      </c>
      <c r="AR226">
        <v>82</v>
      </c>
      <c r="AS226">
        <v>479</v>
      </c>
      <c r="AT226">
        <v>32</v>
      </c>
      <c r="AU226">
        <v>17</v>
      </c>
      <c r="AV226">
        <v>55</v>
      </c>
      <c r="AW226">
        <v>0</v>
      </c>
      <c r="AX226">
        <v>383</v>
      </c>
      <c r="AY226">
        <v>3</v>
      </c>
      <c r="AZ226">
        <v>1</v>
      </c>
      <c r="BA226">
        <v>3</v>
      </c>
      <c r="BB226" t="s">
        <v>53</v>
      </c>
      <c r="BC226" t="s">
        <v>54</v>
      </c>
      <c r="BD226" t="s">
        <v>122</v>
      </c>
      <c r="BE226" t="s">
        <v>2295</v>
      </c>
      <c r="BF226" t="s">
        <v>2296</v>
      </c>
      <c r="BG226" t="str">
        <f>HYPERLINK(".\links\PREV-RHOD-PEP\TI_asb-382-PREV-RHOD-PEP.txt","Contig17851_6")</f>
        <v>Contig17851_6</v>
      </c>
      <c r="BH226" s="7">
        <v>2.0000000000000001E-26</v>
      </c>
      <c r="BI226" t="str">
        <f>HYPERLINK(".\links\PREV-RHOD-PEP\TI_asb-382-PREV-RHOD-PEP.txt"," 5")</f>
        <v xml:space="preserve"> 5</v>
      </c>
      <c r="BJ226" t="s">
        <v>2297</v>
      </c>
      <c r="BK226">
        <v>115</v>
      </c>
      <c r="BL226">
        <v>70</v>
      </c>
      <c r="BM226">
        <v>423</v>
      </c>
      <c r="BN226">
        <v>78</v>
      </c>
      <c r="BO226">
        <v>17</v>
      </c>
      <c r="BP226">
        <v>15</v>
      </c>
      <c r="BQ226">
        <v>0</v>
      </c>
      <c r="BR226">
        <v>344</v>
      </c>
      <c r="BS226">
        <v>3</v>
      </c>
      <c r="BT226">
        <v>1</v>
      </c>
      <c r="BU226" t="s">
        <v>54</v>
      </c>
      <c r="BV226" t="s">
        <v>2298</v>
      </c>
      <c r="BW226" t="s">
        <v>2299</v>
      </c>
      <c r="BX226" t="str">
        <f>HYPERLINK(".\links\PREV-RHOD-CDS\TI_asb-382-PREV-RHOD-CDS.txt","Contig17851_6")</f>
        <v>Contig17851_6</v>
      </c>
      <c r="BY226" s="7">
        <v>7.0000000000000003E-77</v>
      </c>
      <c r="BZ226" t="s">
        <v>2297</v>
      </c>
      <c r="CA226">
        <v>287</v>
      </c>
      <c r="CB226">
        <v>208</v>
      </c>
      <c r="CC226">
        <v>1272</v>
      </c>
      <c r="CD226">
        <v>92</v>
      </c>
      <c r="CE226">
        <v>16</v>
      </c>
      <c r="CF226">
        <v>16</v>
      </c>
      <c r="CG226">
        <v>0</v>
      </c>
      <c r="CH226">
        <v>1030</v>
      </c>
      <c r="CI226">
        <v>3</v>
      </c>
      <c r="CJ226">
        <v>1</v>
      </c>
      <c r="CK226" t="s">
        <v>54</v>
      </c>
      <c r="CL226" t="s">
        <v>2300</v>
      </c>
      <c r="CM226">
        <f>HYPERLINK(".\links\GO\TI_asb-382-GO.txt",2E-21)</f>
        <v>1.9999999999999998E-21</v>
      </c>
      <c r="CN226" t="s">
        <v>2301</v>
      </c>
      <c r="CO226" t="s">
        <v>88</v>
      </c>
      <c r="CP226" t="s">
        <v>89</v>
      </c>
      <c r="CQ226" t="s">
        <v>2302</v>
      </c>
      <c r="CR226" s="6">
        <v>5.0000000000000002E-11</v>
      </c>
      <c r="CS226" t="s">
        <v>60</v>
      </c>
      <c r="CT226" t="s">
        <v>60</v>
      </c>
      <c r="CV226" t="s">
        <v>61</v>
      </c>
      <c r="CW226" s="6">
        <v>5.0000000000000002E-11</v>
      </c>
      <c r="CX226" t="s">
        <v>190</v>
      </c>
      <c r="CY226" t="s">
        <v>88</v>
      </c>
      <c r="CZ226" t="s">
        <v>89</v>
      </c>
      <c r="DA226" t="s">
        <v>191</v>
      </c>
      <c r="DB226" s="6">
        <v>5.0000000000000002E-11</v>
      </c>
      <c r="DC226" t="str">
        <f>HYPERLINK(".\links\CDD\TI_asb-382-CDD.txt","PotC")</f>
        <v>PotC</v>
      </c>
      <c r="DD226" t="str">
        <f>HYPERLINK("http://www.ncbi.nlm.nih.gov/Structure/cdd/cddsrv.cgi?uid=COG1177&amp;version=v4.0","0.034")</f>
        <v>0.034</v>
      </c>
      <c r="DE226" t="s">
        <v>2303</v>
      </c>
      <c r="DF226" t="str">
        <f>HYPERLINK(".\links\PFAM\TI_asb-382-PFAM.txt","Baculo_LEF5")</f>
        <v>Baculo_LEF5</v>
      </c>
      <c r="DG226" t="str">
        <f>HYPERLINK("http://pfam.sanger.ac.uk/family?acc=PF04838","0.010")</f>
        <v>0.010</v>
      </c>
      <c r="DH226" t="str">
        <f>HYPERLINK(".\links\PRK\TI_asb-382-PRK.txt","NADH dehydrogenase subunit 5")</f>
        <v>NADH dehydrogenase subunit 5</v>
      </c>
      <c r="DI226" s="6">
        <v>2E-3</v>
      </c>
      <c r="DJ226" s="6" t="str">
        <f>HYPERLINK(".\links\KOG\TI_asb-382-KOG.txt","Amino acid transporters")</f>
        <v>Amino acid transporters</v>
      </c>
      <c r="DK226" s="6" t="str">
        <f>HYPERLINK("http://www.ncbi.nlm.nih.gov/COG/grace/shokog.cgi?KOG1287","4E-020")</f>
        <v>4E-020</v>
      </c>
      <c r="DL226" s="6" t="s">
        <v>4338</v>
      </c>
      <c r="DM226" s="6" t="str">
        <f>HYPERLINK(".\links\KOG\TI_asb-382-KOG.txt","KOG1287")</f>
        <v>KOG1287</v>
      </c>
      <c r="DN226" t="s">
        <v>56</v>
      </c>
      <c r="DO226" t="s">
        <v>56</v>
      </c>
      <c r="DP226" s="3" t="s">
        <v>56</v>
      </c>
      <c r="ED226" s="3" t="s">
        <v>56</v>
      </c>
    </row>
    <row r="227" spans="1:134">
      <c r="A227" t="str">
        <f>HYPERLINK(".\links\seq\TI_asb-384-seq.txt","TI_asb-384")</f>
        <v>TI_asb-384</v>
      </c>
      <c r="B227">
        <v>384</v>
      </c>
      <c r="C227" t="str">
        <f>HYPERLINK(".\links\tsa\TI_asb-384-tsa.txt","1")</f>
        <v>1</v>
      </c>
      <c r="D227">
        <v>1</v>
      </c>
      <c r="E227">
        <v>657</v>
      </c>
      <c r="G227" t="str">
        <f>HYPERLINK(".\links\qual\TI_asb-384-qual.txt","54")</f>
        <v>54</v>
      </c>
      <c r="H227">
        <v>0</v>
      </c>
      <c r="I227">
        <v>1</v>
      </c>
      <c r="J227">
        <f t="shared" si="10"/>
        <v>1</v>
      </c>
      <c r="K227" s="6">
        <f t="shared" si="11"/>
        <v>-1</v>
      </c>
      <c r="L227" s="6" t="s">
        <v>4027</v>
      </c>
      <c r="M227" s="6" t="s">
        <v>3915</v>
      </c>
      <c r="N227" s="6" t="s">
        <v>3867</v>
      </c>
      <c r="O227" s="6">
        <v>0</v>
      </c>
      <c r="P227" s="6">
        <v>48.1</v>
      </c>
      <c r="Q227" s="3">
        <v>657</v>
      </c>
      <c r="R227" s="3">
        <v>642</v>
      </c>
      <c r="S227" s="3" t="s">
        <v>3706</v>
      </c>
      <c r="T227" s="3">
        <v>3</v>
      </c>
      <c r="U227" t="str">
        <f>HYPERLINK(".\links\NR-LIGHT\TI_asb-384-NR-LIGHT.txt","catalase")</f>
        <v>catalase</v>
      </c>
      <c r="V227" t="str">
        <f>HYPERLINK("http://www.ncbi.nlm.nih.gov/sutils/blink.cgi?pid=157135803","2E-094")</f>
        <v>2E-094</v>
      </c>
      <c r="W227" t="str">
        <f>HYPERLINK(".\links\NR-LIGHT\TI_asb-384-NR-LIGHT.txt"," 10")</f>
        <v xml:space="preserve"> 10</v>
      </c>
      <c r="X227" t="str">
        <f>HYPERLINK("http://www.ncbi.nlm.nih.gov/protein/157135803","gi|157135803")</f>
        <v>gi|157135803</v>
      </c>
      <c r="Y227">
        <v>347</v>
      </c>
      <c r="Z227">
        <v>208</v>
      </c>
      <c r="AA227">
        <v>505</v>
      </c>
      <c r="AB227">
        <v>78</v>
      </c>
      <c r="AC227">
        <v>41</v>
      </c>
      <c r="AD227">
        <v>45</v>
      </c>
      <c r="AE227">
        <v>0</v>
      </c>
      <c r="AF227">
        <v>1</v>
      </c>
      <c r="AG227">
        <v>33</v>
      </c>
      <c r="AH227">
        <v>1</v>
      </c>
      <c r="AI227">
        <v>3</v>
      </c>
      <c r="AJ227" t="s">
        <v>53</v>
      </c>
      <c r="AK227" t="s">
        <v>54</v>
      </c>
      <c r="AL227" t="s">
        <v>120</v>
      </c>
      <c r="AM227" t="str">
        <f>HYPERLINK(".\links\SWISSP\TI_asb-384-SWISSP.txt","Catalase OS=Drosophila melanogaster GN=Cat PE=1 SV=2")</f>
        <v>Catalase OS=Drosophila melanogaster GN=Cat PE=1 SV=2</v>
      </c>
      <c r="AN227" s="19" t="str">
        <f>HYPERLINK("http://www.uniprot.org/uniprot/P17336","4E-090")</f>
        <v>4E-090</v>
      </c>
      <c r="AO227" t="str">
        <f>HYPERLINK(".\links\SWISSP\TI_asb-384-SWISSP.txt"," 10")</f>
        <v xml:space="preserve"> 10</v>
      </c>
      <c r="AP227" t="s">
        <v>2304</v>
      </c>
      <c r="AQ227">
        <v>330</v>
      </c>
      <c r="AR227">
        <v>207</v>
      </c>
      <c r="AS227">
        <v>506</v>
      </c>
      <c r="AT227">
        <v>74</v>
      </c>
      <c r="AU227">
        <v>41</v>
      </c>
      <c r="AV227">
        <v>53</v>
      </c>
      <c r="AW227">
        <v>1</v>
      </c>
      <c r="AX227">
        <v>4</v>
      </c>
      <c r="AY227">
        <v>39</v>
      </c>
      <c r="AZ227">
        <v>1</v>
      </c>
      <c r="BA227">
        <v>3</v>
      </c>
      <c r="BB227" t="s">
        <v>53</v>
      </c>
      <c r="BC227" t="s">
        <v>54</v>
      </c>
      <c r="BD227" t="s">
        <v>143</v>
      </c>
      <c r="BE227" t="s">
        <v>2305</v>
      </c>
      <c r="BF227" t="s">
        <v>2306</v>
      </c>
      <c r="BG227" t="str">
        <f>HYPERLINK(".\links\PREV-RHOD-PEP\TI_asb-384-PREV-RHOD-PEP.txt","Contig17575_33")</f>
        <v>Contig17575_33</v>
      </c>
      <c r="BH227" s="7">
        <v>1.0000000000000001E-114</v>
      </c>
      <c r="BI227" t="str">
        <f>HYPERLINK(".\links\PREV-RHOD-PEP\TI_asb-384-PREV-RHOD-PEP.txt"," 10")</f>
        <v xml:space="preserve"> 10</v>
      </c>
      <c r="BJ227" t="s">
        <v>2307</v>
      </c>
      <c r="BK227">
        <v>405</v>
      </c>
      <c r="BL227">
        <v>213</v>
      </c>
      <c r="BM227">
        <v>439</v>
      </c>
      <c r="BN227">
        <v>92</v>
      </c>
      <c r="BO227">
        <v>49</v>
      </c>
      <c r="BP227">
        <v>15</v>
      </c>
      <c r="BQ227">
        <v>5</v>
      </c>
      <c r="BR227">
        <v>1</v>
      </c>
      <c r="BS227">
        <v>33</v>
      </c>
      <c r="BT227">
        <v>1</v>
      </c>
      <c r="BU227" t="s">
        <v>54</v>
      </c>
      <c r="BV227" t="s">
        <v>2308</v>
      </c>
      <c r="BW227" t="s">
        <v>56</v>
      </c>
      <c r="BX227" t="str">
        <f>HYPERLINK(".\links\PREV-RHOD-CDS\TI_asb-384-PREV-RHOD-CDS.txt","Contig17575_33")</f>
        <v>Contig17575_33</v>
      </c>
      <c r="BY227" s="7">
        <v>1.9999999999999999E-82</v>
      </c>
      <c r="BZ227" t="s">
        <v>2307</v>
      </c>
      <c r="CA227">
        <v>305</v>
      </c>
      <c r="CB227">
        <v>639</v>
      </c>
      <c r="CC227">
        <v>1320</v>
      </c>
      <c r="CD227">
        <v>80</v>
      </c>
      <c r="CE227">
        <v>48</v>
      </c>
      <c r="CF227">
        <v>124</v>
      </c>
      <c r="CG227">
        <v>15</v>
      </c>
      <c r="CH227">
        <v>1</v>
      </c>
      <c r="CI227">
        <v>33</v>
      </c>
      <c r="CJ227">
        <v>1</v>
      </c>
      <c r="CK227" t="s">
        <v>54</v>
      </c>
      <c r="CL227" t="s">
        <v>2309</v>
      </c>
      <c r="CM227">
        <f>HYPERLINK(".\links\GO\TI_asb-384-GO.txt",1E-90)</f>
        <v>9.9999999999999999E-91</v>
      </c>
      <c r="CN227" t="s">
        <v>2310</v>
      </c>
      <c r="CO227" t="s">
        <v>129</v>
      </c>
      <c r="CP227" t="s">
        <v>130</v>
      </c>
      <c r="CQ227" t="s">
        <v>2311</v>
      </c>
      <c r="CR227" s="7">
        <v>9.9999999999999999E-91</v>
      </c>
      <c r="CS227" t="s">
        <v>2249</v>
      </c>
      <c r="CT227" t="s">
        <v>75</v>
      </c>
      <c r="CU227" t="s">
        <v>76</v>
      </c>
      <c r="CV227" t="s">
        <v>2250</v>
      </c>
      <c r="CW227" s="7">
        <v>9.9999999999999999E-91</v>
      </c>
      <c r="CX227" t="s">
        <v>2312</v>
      </c>
      <c r="CY227" t="s">
        <v>129</v>
      </c>
      <c r="CZ227" t="s">
        <v>130</v>
      </c>
      <c r="DA227" t="s">
        <v>2313</v>
      </c>
      <c r="DB227" s="7">
        <v>9.9999999999999999E-91</v>
      </c>
      <c r="DC227" t="str">
        <f>HYPERLINK(".\links\CDD\TI_asb-384-CDD.txt","catalase")</f>
        <v>catalase</v>
      </c>
      <c r="DD227" t="str">
        <f>HYPERLINK("http://www.ncbi.nlm.nih.gov/Structure/cdd/cddsrv.cgi?uid=cd00328&amp;version=v4.0","1E-100")</f>
        <v>1E-100</v>
      </c>
      <c r="DE227" t="s">
        <v>2314</v>
      </c>
      <c r="DF227" t="str">
        <f>HYPERLINK(".\links\PFAM\TI_asb-384-PFAM.txt","Catalase")</f>
        <v>Catalase</v>
      </c>
      <c r="DG227" t="str">
        <f>HYPERLINK("http://pfam.sanger.ac.uk/family?acc=PF00199","1E-102")</f>
        <v>1E-102</v>
      </c>
      <c r="DH227" t="str">
        <f>HYPERLINK(".\links\PRK\TI_asb-384-PRK.txt","catalase.")</f>
        <v>catalase.</v>
      </c>
      <c r="DI227" s="7">
        <v>3.0000000000000001E-84</v>
      </c>
      <c r="DJ227" s="6" t="str">
        <f>HYPERLINK(".\links\KOG\TI_asb-384-KOG.txt","Catalase")</f>
        <v>Catalase</v>
      </c>
      <c r="DK227" s="6" t="str">
        <f>HYPERLINK("http://www.ncbi.nlm.nih.gov/COG/grace/shokog.cgi?KOG0047","1E-107")</f>
        <v>1E-107</v>
      </c>
      <c r="DL227" s="6" t="s">
        <v>4361</v>
      </c>
      <c r="DM227" s="6" t="str">
        <f>HYPERLINK(".\links\KOG\TI_asb-384-KOG.txt","KOG0047")</f>
        <v>KOG0047</v>
      </c>
      <c r="DN227" t="str">
        <f>HYPERLINK(".\links\SMART\TI_asb-384-SMART.txt","ParB")</f>
        <v>ParB</v>
      </c>
      <c r="DO227" t="str">
        <f>HYPERLINK("http://smart.embl-heidelberg.de/smart/do_annotation.pl?DOMAIN=ParB&amp;BLAST=DUMMY","0.089")</f>
        <v>0.089</v>
      </c>
      <c r="DP227" s="3" t="s">
        <v>56</v>
      </c>
      <c r="ED227" s="3" t="s">
        <v>56</v>
      </c>
    </row>
    <row r="228" spans="1:134">
      <c r="A228" t="str">
        <f>HYPERLINK(".\links\seq\TI_asb-386-seq.txt","TI_asb-386")</f>
        <v>TI_asb-386</v>
      </c>
      <c r="B228">
        <v>386</v>
      </c>
      <c r="C228" t="str">
        <f>HYPERLINK(".\links\tsa\TI_asb-386-tsa.txt","1")</f>
        <v>1</v>
      </c>
      <c r="D228">
        <v>1</v>
      </c>
      <c r="E228">
        <v>472</v>
      </c>
      <c r="G228" t="str">
        <f>HYPERLINK(".\links\qual\TI_asb-386-qual.txt","40")</f>
        <v>40</v>
      </c>
      <c r="H228">
        <v>0</v>
      </c>
      <c r="I228">
        <v>1</v>
      </c>
      <c r="J228">
        <f t="shared" ref="J228:J275" si="12">ABS(H228-I228)</f>
        <v>1</v>
      </c>
      <c r="K228" s="6">
        <f t="shared" ref="K228:K275" si="13">H228-I228</f>
        <v>-1</v>
      </c>
      <c r="L228" s="6" t="s">
        <v>3972</v>
      </c>
      <c r="M228" s="6" t="s">
        <v>3934</v>
      </c>
      <c r="N228" s="6" t="s">
        <v>3864</v>
      </c>
      <c r="O228" s="7">
        <v>6.9999999999999997E-31</v>
      </c>
      <c r="P228" s="6">
        <v>4.4000000000000004</v>
      </c>
      <c r="Q228" s="3">
        <v>472</v>
      </c>
      <c r="R228" s="3">
        <v>471</v>
      </c>
      <c r="S228" s="6" t="s">
        <v>3707</v>
      </c>
      <c r="T228" s="3">
        <v>1</v>
      </c>
      <c r="U228" t="str">
        <f>HYPERLINK(".\links\NR-LIGHT\TI_asb-386-NR-LIGHT.txt","polyprotein")</f>
        <v>polyprotein</v>
      </c>
      <c r="V228" t="str">
        <f>HYPERLINK("http://www.ncbi.nlm.nih.gov/sutils/blink.cgi?pid=296005647","7E-031")</f>
        <v>7E-031</v>
      </c>
      <c r="W228" t="str">
        <f>HYPERLINK(".\links\NR-LIGHT\TI_asb-386-NR-LIGHT.txt"," 10")</f>
        <v xml:space="preserve"> 10</v>
      </c>
      <c r="X228" t="str">
        <f>HYPERLINK("http://www.ncbi.nlm.nih.gov/protein/296005647","gi|296005647")</f>
        <v>gi|296005647</v>
      </c>
      <c r="Y228">
        <v>134</v>
      </c>
      <c r="Z228">
        <v>131</v>
      </c>
      <c r="AA228">
        <v>2964</v>
      </c>
      <c r="AB228">
        <v>48</v>
      </c>
      <c r="AC228">
        <v>4</v>
      </c>
      <c r="AD228">
        <v>68</v>
      </c>
      <c r="AE228">
        <v>0</v>
      </c>
      <c r="AF228">
        <v>2398</v>
      </c>
      <c r="AG228">
        <v>79</v>
      </c>
      <c r="AH228">
        <v>1</v>
      </c>
      <c r="AI228">
        <v>1</v>
      </c>
      <c r="AJ228" t="s">
        <v>53</v>
      </c>
      <c r="AK228" t="s">
        <v>54</v>
      </c>
      <c r="AL228" t="s">
        <v>1431</v>
      </c>
      <c r="AM228" t="str">
        <f>HYPERLINK(".\links\SWISSP\TI_asb-386-SWISSP.txt","Genome polyprotein OS=Rice tungro spherical virus (strain A) PE=1 SV=1")</f>
        <v>Genome polyprotein OS=Rice tungro spherical virus (strain A) PE=1 SV=1</v>
      </c>
      <c r="AN228" s="19" t="str">
        <f>HYPERLINK("http://www.uniprot.org/uniprot/Q83034","3E-004")</f>
        <v>3E-004</v>
      </c>
      <c r="AO228" t="str">
        <f>HYPERLINK(".\links\SWISSP\TI_asb-386-SWISSP.txt"," 10")</f>
        <v xml:space="preserve"> 10</v>
      </c>
      <c r="AP228" t="s">
        <v>1450</v>
      </c>
      <c r="AQ228">
        <v>44.7</v>
      </c>
      <c r="AR228">
        <v>146</v>
      </c>
      <c r="AS228">
        <v>3473</v>
      </c>
      <c r="AT228">
        <v>31</v>
      </c>
      <c r="AU228">
        <v>4</v>
      </c>
      <c r="AV228">
        <v>100</v>
      </c>
      <c r="AW228">
        <v>17</v>
      </c>
      <c r="AX228">
        <v>2830</v>
      </c>
      <c r="AY228">
        <v>79</v>
      </c>
      <c r="AZ228">
        <v>1</v>
      </c>
      <c r="BA228">
        <v>1</v>
      </c>
      <c r="BB228" t="s">
        <v>53</v>
      </c>
      <c r="BC228" t="s">
        <v>54</v>
      </c>
      <c r="BD228" t="s">
        <v>1451</v>
      </c>
      <c r="BE228" t="s">
        <v>2316</v>
      </c>
      <c r="BF228" t="s">
        <v>2317</v>
      </c>
      <c r="BG228" t="str">
        <f>HYPERLINK(".\links\PREV-RHOD-PEP\TI_asb-386-PREV-RHOD-PEP.txt","Contig17931_67")</f>
        <v>Contig17931_67</v>
      </c>
      <c r="BH228" s="6">
        <v>0.16</v>
      </c>
      <c r="BI228" t="str">
        <f>HYPERLINK(".\links\PREV-RHOD-PEP\TI_asb-386-PREV-RHOD-PEP.txt"," 10")</f>
        <v xml:space="preserve"> 10</v>
      </c>
      <c r="BJ228" t="s">
        <v>2318</v>
      </c>
      <c r="BK228">
        <v>31.6</v>
      </c>
      <c r="BL228">
        <v>79</v>
      </c>
      <c r="BM228">
        <v>404</v>
      </c>
      <c r="BN228">
        <v>27</v>
      </c>
      <c r="BO228">
        <v>20</v>
      </c>
      <c r="BP228">
        <v>57</v>
      </c>
      <c r="BQ228">
        <v>11</v>
      </c>
      <c r="BR228">
        <v>162</v>
      </c>
      <c r="BS228">
        <v>9</v>
      </c>
      <c r="BT228">
        <v>1</v>
      </c>
      <c r="BU228" t="s">
        <v>64</v>
      </c>
      <c r="BV228" t="s">
        <v>2319</v>
      </c>
      <c r="BW228" t="s">
        <v>56</v>
      </c>
      <c r="BX228" t="str">
        <f>HYPERLINK(".\links\PREV-RHOD-CDS\TI_asb-386-PREV-RHOD-CDS.txt","Contig16442_1")</f>
        <v>Contig16442_1</v>
      </c>
      <c r="BY228" s="6">
        <v>0.23</v>
      </c>
      <c r="BZ228" t="s">
        <v>2320</v>
      </c>
      <c r="CA228">
        <v>36.200000000000003</v>
      </c>
      <c r="CB228">
        <v>17</v>
      </c>
      <c r="CC228">
        <v>2844</v>
      </c>
      <c r="CD228">
        <v>100</v>
      </c>
      <c r="CE228">
        <v>1</v>
      </c>
      <c r="CF228">
        <v>0</v>
      </c>
      <c r="CG228">
        <v>0</v>
      </c>
      <c r="CH228">
        <v>1078</v>
      </c>
      <c r="CI228">
        <v>37</v>
      </c>
      <c r="CJ228">
        <v>1</v>
      </c>
      <c r="CK228" t="s">
        <v>54</v>
      </c>
      <c r="CL228" t="s">
        <v>2321</v>
      </c>
      <c r="CM228">
        <f>HYPERLINK(".\links\GO\TI_asb-386-GO.txt",0.1)</f>
        <v>0.1</v>
      </c>
      <c r="CN228" t="s">
        <v>2141</v>
      </c>
      <c r="CO228" t="s">
        <v>185</v>
      </c>
      <c r="CP228" t="s">
        <v>222</v>
      </c>
      <c r="CQ228" t="s">
        <v>2142</v>
      </c>
      <c r="CR228" s="6">
        <v>0.1</v>
      </c>
      <c r="CS228" t="s">
        <v>224</v>
      </c>
      <c r="CT228" t="s">
        <v>75</v>
      </c>
      <c r="CU228" t="s">
        <v>76</v>
      </c>
      <c r="CV228" t="s">
        <v>225</v>
      </c>
      <c r="CW228" s="6">
        <v>0.1</v>
      </c>
      <c r="CX228" t="s">
        <v>881</v>
      </c>
      <c r="CY228" t="s">
        <v>185</v>
      </c>
      <c r="CZ228" t="s">
        <v>222</v>
      </c>
      <c r="DA228" t="s">
        <v>882</v>
      </c>
      <c r="DB228" s="6">
        <v>0.1</v>
      </c>
      <c r="DC228" t="str">
        <f>HYPERLINK(".\links\CDD\TI_asb-386-CDD.txt","Peptidase_C3")</f>
        <v>Peptidase_C3</v>
      </c>
      <c r="DD228" t="str">
        <f>HYPERLINK("http://www.ncbi.nlm.nih.gov/Structure/cdd/cddsrv.cgi?uid=pfam00548&amp;version=v4.0","0.011")</f>
        <v>0.011</v>
      </c>
      <c r="DE228" t="s">
        <v>2322</v>
      </c>
      <c r="DF228" t="str">
        <f>HYPERLINK(".\links\PFAM\TI_asb-386-PFAM.txt","Peptidase_C3")</f>
        <v>Peptidase_C3</v>
      </c>
      <c r="DG228" t="str">
        <f>HYPERLINK("http://pfam.sanger.ac.uk/family?acc=PF00548","8E-004")</f>
        <v>8E-004</v>
      </c>
      <c r="DH228" t="s">
        <v>56</v>
      </c>
      <c r="DI228" s="6" t="s">
        <v>56</v>
      </c>
      <c r="DJ228" s="6" t="s">
        <v>56</v>
      </c>
      <c r="DN228" t="str">
        <f>HYPERLINK(".\links\SMART\TI_asb-386-SMART.txt","TLC")</f>
        <v>TLC</v>
      </c>
      <c r="DO228" t="str">
        <f>HYPERLINK("http://smart.embl-heidelberg.de/smart/do_annotation.pl?DOMAIN=TLC&amp;BLAST=DUMMY","0.051")</f>
        <v>0.051</v>
      </c>
      <c r="DP228" s="3" t="s">
        <v>56</v>
      </c>
      <c r="ED228" s="3" t="s">
        <v>56</v>
      </c>
    </row>
    <row r="229" spans="1:134">
      <c r="A229" t="str">
        <f>HYPERLINK(".\links\seq\TI_asb-387-seq.txt","TI_asb-387")</f>
        <v>TI_asb-387</v>
      </c>
      <c r="B229">
        <v>387</v>
      </c>
      <c r="C229" t="str">
        <f>HYPERLINK(".\links\tsa\TI_asb-387-tsa.txt","2")</f>
        <v>2</v>
      </c>
      <c r="D229">
        <v>2</v>
      </c>
      <c r="E229">
        <v>777</v>
      </c>
      <c r="F229">
        <v>758</v>
      </c>
      <c r="G229" t="str">
        <f>HYPERLINK(".\links\qual\TI_asb-387-qual.txt","70")</f>
        <v>70</v>
      </c>
      <c r="H229">
        <v>2</v>
      </c>
      <c r="I229">
        <v>0</v>
      </c>
      <c r="J229">
        <f t="shared" si="12"/>
        <v>2</v>
      </c>
      <c r="K229" s="6">
        <f t="shared" si="13"/>
        <v>2</v>
      </c>
      <c r="L229" s="6" t="s">
        <v>3868</v>
      </c>
      <c r="M229" s="6" t="s">
        <v>3869</v>
      </c>
      <c r="N229" s="6"/>
      <c r="O229" s="6"/>
      <c r="P229" s="6"/>
      <c r="Q229" s="3">
        <v>777</v>
      </c>
      <c r="R229" s="3">
        <v>108</v>
      </c>
      <c r="S229" s="3" t="s">
        <v>3708</v>
      </c>
      <c r="T229" s="3">
        <v>2</v>
      </c>
      <c r="U229" t="str">
        <f>HYPERLINK(".\links\NR-LIGHT\TI_asb-387-NR-LIGHT.txt","predicted protein")</f>
        <v>predicted protein</v>
      </c>
      <c r="V229" t="str">
        <f>HYPERLINK("http://www.ncbi.nlm.nih.gov/sutils/blink.cgi?pid=297822551","5.5")</f>
        <v>5.5</v>
      </c>
      <c r="W229" t="str">
        <f>HYPERLINK(".\links\NR-LIGHT\TI_asb-387-NR-LIGHT.txt"," 1")</f>
        <v xml:space="preserve"> 1</v>
      </c>
      <c r="X229" t="str">
        <f>HYPERLINK("http://www.ncbi.nlm.nih.gov/protein/297822551","gi|297822551")</f>
        <v>gi|297822551</v>
      </c>
      <c r="Y229">
        <v>33.9</v>
      </c>
      <c r="Z229">
        <v>25</v>
      </c>
      <c r="AA229">
        <v>74</v>
      </c>
      <c r="AB229">
        <v>60</v>
      </c>
      <c r="AC229">
        <v>34</v>
      </c>
      <c r="AD229">
        <v>10</v>
      </c>
      <c r="AE229">
        <v>0</v>
      </c>
      <c r="AF229">
        <v>22</v>
      </c>
      <c r="AG229">
        <v>537</v>
      </c>
      <c r="AH229">
        <v>1</v>
      </c>
      <c r="AI229">
        <v>-2</v>
      </c>
      <c r="AJ229" t="s">
        <v>53</v>
      </c>
      <c r="AK229" t="s">
        <v>64</v>
      </c>
      <c r="AL229" t="s">
        <v>2323</v>
      </c>
      <c r="AM229" t="str">
        <f>HYPERLINK(".\links\SWISSP\TI_asb-387-SWISSP.txt","Uncharacterized membrane protein YOR365C OS=Saccharomyces cerevisiae GN=YOR365C")</f>
        <v>Uncharacterized membrane protein YOR365C OS=Saccharomyces cerevisiae GN=YOR365C</v>
      </c>
      <c r="AN229" s="19" t="str">
        <f>HYPERLINK("http://www.uniprot.org/uniprot/Q08844","4.7")</f>
        <v>4.7</v>
      </c>
      <c r="AO229" t="str">
        <f>HYPERLINK(".\links\SWISSP\TI_asb-387-SWISSP.txt"," 1")</f>
        <v xml:space="preserve"> 1</v>
      </c>
      <c r="AP229" t="s">
        <v>2324</v>
      </c>
      <c r="AQ229">
        <v>32</v>
      </c>
      <c r="AR229">
        <v>28</v>
      </c>
      <c r="AS229">
        <v>703</v>
      </c>
      <c r="AT229">
        <v>50</v>
      </c>
      <c r="AU229">
        <v>4</v>
      </c>
      <c r="AV229">
        <v>14</v>
      </c>
      <c r="AW229">
        <v>0</v>
      </c>
      <c r="AX229">
        <v>609</v>
      </c>
      <c r="AY229">
        <v>513</v>
      </c>
      <c r="AZ229">
        <v>1</v>
      </c>
      <c r="BA229">
        <v>-2</v>
      </c>
      <c r="BB229" t="s">
        <v>53</v>
      </c>
      <c r="BC229" t="s">
        <v>64</v>
      </c>
      <c r="BD229" t="s">
        <v>275</v>
      </c>
      <c r="BE229" t="s">
        <v>2325</v>
      </c>
      <c r="BF229" t="s">
        <v>2326</v>
      </c>
      <c r="BG229" t="s">
        <v>56</v>
      </c>
      <c r="BH229" s="6" t="s">
        <v>56</v>
      </c>
      <c r="BI229" t="s">
        <v>56</v>
      </c>
      <c r="BJ229" t="s">
        <v>56</v>
      </c>
      <c r="BK229" t="s">
        <v>56</v>
      </c>
      <c r="BL229" t="s">
        <v>56</v>
      </c>
      <c r="BM229" t="s">
        <v>56</v>
      </c>
      <c r="BN229" t="s">
        <v>56</v>
      </c>
      <c r="BO229" t="s">
        <v>56</v>
      </c>
      <c r="BP229" t="s">
        <v>56</v>
      </c>
      <c r="BQ229" t="s">
        <v>56</v>
      </c>
      <c r="BR229" t="s">
        <v>56</v>
      </c>
      <c r="BS229" t="s">
        <v>56</v>
      </c>
      <c r="BT229" t="s">
        <v>56</v>
      </c>
      <c r="BU229" t="s">
        <v>56</v>
      </c>
      <c r="BV229" t="s">
        <v>56</v>
      </c>
      <c r="BW229" t="s">
        <v>56</v>
      </c>
      <c r="BX229" t="str">
        <f>HYPERLINK(".\links\PREV-RHOD-CDS\TI_asb-387-PREV-RHOD-CDS.txt","Contig17956_263")</f>
        <v>Contig17956_263</v>
      </c>
      <c r="BY229" s="6">
        <v>1.5</v>
      </c>
      <c r="BZ229" t="s">
        <v>2327</v>
      </c>
      <c r="CA229">
        <v>34.200000000000003</v>
      </c>
      <c r="CB229">
        <v>20</v>
      </c>
      <c r="CC229">
        <v>849</v>
      </c>
      <c r="CD229">
        <v>95</v>
      </c>
      <c r="CE229">
        <v>2</v>
      </c>
      <c r="CF229">
        <v>1</v>
      </c>
      <c r="CG229">
        <v>0</v>
      </c>
      <c r="CH229">
        <v>662</v>
      </c>
      <c r="CI229">
        <v>87</v>
      </c>
      <c r="CJ229">
        <v>1</v>
      </c>
      <c r="CK229" t="s">
        <v>54</v>
      </c>
      <c r="CL229" t="s">
        <v>2071</v>
      </c>
      <c r="CM229">
        <f>HYPERLINK(".\links\GO\TI_asb-387-GO.txt",1.3)</f>
        <v>1.3</v>
      </c>
      <c r="CN229" t="s">
        <v>58</v>
      </c>
      <c r="CO229" t="s">
        <v>58</v>
      </c>
      <c r="CQ229" t="s">
        <v>59</v>
      </c>
      <c r="CR229" s="6">
        <v>1.3</v>
      </c>
      <c r="CS229" t="s">
        <v>60</v>
      </c>
      <c r="CT229" t="s">
        <v>60</v>
      </c>
      <c r="CV229" t="s">
        <v>61</v>
      </c>
      <c r="CW229" s="6">
        <v>1.3</v>
      </c>
      <c r="CX229" t="s">
        <v>62</v>
      </c>
      <c r="CY229" t="s">
        <v>58</v>
      </c>
      <c r="DA229" t="s">
        <v>63</v>
      </c>
      <c r="DB229" s="6">
        <v>1.3</v>
      </c>
      <c r="DC229" t="str">
        <f>HYPERLINK(".\links\CDD\TI_asb-387-CDD.txt","Serpentine_recp")</f>
        <v>Serpentine_recp</v>
      </c>
      <c r="DD229" t="str">
        <f>HYPERLINK("http://www.ncbi.nlm.nih.gov/Structure/cdd/cddsrv.cgi?uid=pfam01748&amp;version=v4.0","0.039")</f>
        <v>0.039</v>
      </c>
      <c r="DE229" t="s">
        <v>2328</v>
      </c>
      <c r="DF229" t="str">
        <f>HYPERLINK(".\links\PFAM\TI_asb-387-PFAM.txt","7TM_GPCR_Srz")</f>
        <v>7TM_GPCR_Srz</v>
      </c>
      <c r="DG229" t="str">
        <f>HYPERLINK("http://pfam.sanger.ac.uk/family?acc=PF10325","1E-004")</f>
        <v>1E-004</v>
      </c>
      <c r="DH229" t="str">
        <f>HYPERLINK(".\links\PRK\TI_asb-387-PRK.txt","NADH dehydrogenase subunit 5")</f>
        <v>NADH dehydrogenase subunit 5</v>
      </c>
      <c r="DI229" s="6">
        <v>2E-3</v>
      </c>
      <c r="DJ229" s="6" t="s">
        <v>56</v>
      </c>
      <c r="DN229" t="str">
        <f>HYPERLINK(".\links\SMART\TI_asb-387-SMART.txt","PSN")</f>
        <v>PSN</v>
      </c>
      <c r="DO229" t="str">
        <f>HYPERLINK("http://smart.embl-heidelberg.de/smart/do_annotation.pl?DOMAIN=PSN&amp;BLAST=DUMMY","0.025")</f>
        <v>0.025</v>
      </c>
      <c r="DP229" s="3" t="s">
        <v>56</v>
      </c>
      <c r="ED229" s="3" t="s">
        <v>56</v>
      </c>
    </row>
    <row r="230" spans="1:134" s="26" customFormat="1">
      <c r="A230" s="26" t="str">
        <f>HYPERLINK(".\links\seq\TI_asb-388-seq.txt","TI_asb-388")</f>
        <v>TI_asb-388</v>
      </c>
      <c r="B230" s="26">
        <v>388</v>
      </c>
      <c r="C230" s="27" t="str">
        <f>HYPERLINK(".\links\tsa\TI_asb-388-tsa.txt","1")</f>
        <v>1</v>
      </c>
      <c r="D230" s="26">
        <v>1</v>
      </c>
      <c r="E230" s="26">
        <v>407</v>
      </c>
      <c r="F230" s="26">
        <v>373</v>
      </c>
      <c r="G230" s="26" t="str">
        <f>HYPERLINK(".\links\qual\TI_asb-388-qual.txt","70")</f>
        <v>70</v>
      </c>
      <c r="H230" s="26">
        <v>1</v>
      </c>
      <c r="I230" s="26">
        <v>0</v>
      </c>
      <c r="J230" s="26">
        <f t="shared" si="12"/>
        <v>1</v>
      </c>
      <c r="K230" s="26">
        <f t="shared" si="13"/>
        <v>1</v>
      </c>
      <c r="L230" s="26" t="s">
        <v>4028</v>
      </c>
      <c r="M230" s="26" t="s">
        <v>3866</v>
      </c>
      <c r="N230" s="26" t="s">
        <v>3864</v>
      </c>
      <c r="O230" s="28">
        <v>9.9999999999999997E-48</v>
      </c>
      <c r="P230" s="26">
        <v>100</v>
      </c>
      <c r="Q230" s="26">
        <v>407</v>
      </c>
      <c r="R230" s="26">
        <v>300</v>
      </c>
      <c r="S230" s="26" t="s">
        <v>3709</v>
      </c>
      <c r="T230" s="26">
        <v>4</v>
      </c>
      <c r="U230" s="26" t="str">
        <f>HYPERLINK(".\links\NR-LIGHT\TI_asb-388-NR-LIGHT.txt","60S ribosomal protein L37")</f>
        <v>60S ribosomal protein L37</v>
      </c>
      <c r="V230" s="26" t="str">
        <f>HYPERLINK("http://www.ncbi.nlm.nih.gov/sutils/blink.cgi?pid=149689118","1E-047")</f>
        <v>1E-047</v>
      </c>
      <c r="W230" s="26" t="str">
        <f>HYPERLINK(".\links\NR-LIGHT\TI_asb-388-NR-LIGHT.txt"," 10")</f>
        <v xml:space="preserve"> 10</v>
      </c>
      <c r="X230" s="26" t="str">
        <f>HYPERLINK("http://www.ncbi.nlm.nih.gov/protein/149689118","gi|149689118")</f>
        <v>gi|149689118</v>
      </c>
      <c r="Y230" s="26">
        <v>190</v>
      </c>
      <c r="Z230" s="26">
        <v>92</v>
      </c>
      <c r="AA230" s="26">
        <v>92</v>
      </c>
      <c r="AB230" s="26">
        <v>98</v>
      </c>
      <c r="AC230" s="26">
        <v>100</v>
      </c>
      <c r="AD230" s="26">
        <v>1</v>
      </c>
      <c r="AE230" s="26">
        <v>0</v>
      </c>
      <c r="AF230" s="26">
        <v>1</v>
      </c>
      <c r="AG230" s="26">
        <v>43</v>
      </c>
      <c r="AH230" s="26">
        <v>1</v>
      </c>
      <c r="AI230" s="26">
        <v>1</v>
      </c>
      <c r="AJ230" s="26" t="s">
        <v>53</v>
      </c>
      <c r="AK230" s="26" t="s">
        <v>54</v>
      </c>
      <c r="AL230" s="26" t="s">
        <v>55</v>
      </c>
      <c r="AM230" s="26" t="str">
        <f>HYPERLINK(".\links\SWISSP\TI_asb-388-SWISSP.txt","60S ribosomal protein L37a OS=Drosophila melanogaster GN=RpL37A PE=1 SV=3")</f>
        <v>60S ribosomal protein L37a OS=Drosophila melanogaster GN=RpL37A PE=1 SV=3</v>
      </c>
      <c r="AN230" s="29" t="str">
        <f>HYPERLINK("http://www.uniprot.org/uniprot/Q9VMU4","2E-039")</f>
        <v>2E-039</v>
      </c>
      <c r="AO230" s="26" t="str">
        <f>HYPERLINK(".\links\SWISSP\TI_asb-388-SWISSP.txt"," 10")</f>
        <v xml:space="preserve"> 10</v>
      </c>
      <c r="AP230" s="26" t="s">
        <v>2329</v>
      </c>
      <c r="AQ230" s="26">
        <v>160</v>
      </c>
      <c r="AR230" s="26">
        <v>91</v>
      </c>
      <c r="AS230" s="26">
        <v>92</v>
      </c>
      <c r="AT230" s="26">
        <v>84</v>
      </c>
      <c r="AU230" s="26">
        <v>99</v>
      </c>
      <c r="AV230" s="26">
        <v>14</v>
      </c>
      <c r="AW230" s="26">
        <v>0</v>
      </c>
      <c r="AX230" s="26">
        <v>1</v>
      </c>
      <c r="AY230" s="26">
        <v>43</v>
      </c>
      <c r="AZ230" s="26">
        <v>1</v>
      </c>
      <c r="BA230" s="26">
        <v>1</v>
      </c>
      <c r="BB230" s="26" t="s">
        <v>53</v>
      </c>
      <c r="BC230" s="26" t="s">
        <v>54</v>
      </c>
      <c r="BD230" s="26" t="s">
        <v>143</v>
      </c>
      <c r="BE230" s="26" t="s">
        <v>2330</v>
      </c>
      <c r="BF230" s="26" t="s">
        <v>2331</v>
      </c>
      <c r="BG230" s="26" t="str">
        <f>HYPERLINK(".\links\PREV-RHOD-PEP\TI_asb-388-PREV-RHOD-PEP.txt","Contig17488_2")</f>
        <v>Contig17488_2</v>
      </c>
      <c r="BH230" s="28">
        <v>1E-35</v>
      </c>
      <c r="BI230" s="26" t="str">
        <f>HYPERLINK(".\links\PREV-RHOD-PEP\TI_asb-388-PREV-RHOD-PEP.txt"," 10")</f>
        <v xml:space="preserve"> 10</v>
      </c>
      <c r="BJ230" s="26" t="s">
        <v>2332</v>
      </c>
      <c r="BK230" s="26">
        <v>144</v>
      </c>
      <c r="BL230" s="26">
        <v>68</v>
      </c>
      <c r="BM230" s="26">
        <v>68</v>
      </c>
      <c r="BN230" s="26">
        <v>100</v>
      </c>
      <c r="BO230" s="26">
        <v>100</v>
      </c>
      <c r="BP230" s="26">
        <v>0</v>
      </c>
      <c r="BQ230" s="26">
        <v>0</v>
      </c>
      <c r="BR230" s="26">
        <v>1</v>
      </c>
      <c r="BS230" s="26">
        <v>115</v>
      </c>
      <c r="BT230" s="26">
        <v>1</v>
      </c>
      <c r="BU230" s="26" t="s">
        <v>54</v>
      </c>
      <c r="BV230" s="26" t="s">
        <v>2333</v>
      </c>
      <c r="BW230" s="26" t="s">
        <v>56</v>
      </c>
      <c r="BX230" s="26" t="str">
        <f>HYPERLINK(".\links\PREV-RHOD-CDS\TI_asb-388-PREV-RHOD-CDS.txt","Contig17488_2")</f>
        <v>Contig17488_2</v>
      </c>
      <c r="BY230" s="28">
        <v>2.0000000000000001E-63</v>
      </c>
      <c r="BZ230" s="26" t="s">
        <v>2332</v>
      </c>
      <c r="CA230" s="26">
        <v>242</v>
      </c>
      <c r="CB230" s="26">
        <v>193</v>
      </c>
      <c r="CC230" s="26">
        <v>207</v>
      </c>
      <c r="CD230" s="26">
        <v>90</v>
      </c>
      <c r="CE230" s="26">
        <v>94</v>
      </c>
      <c r="CF230" s="26">
        <v>18</v>
      </c>
      <c r="CG230" s="26">
        <v>0</v>
      </c>
      <c r="CH230" s="26">
        <v>14</v>
      </c>
      <c r="CI230" s="26">
        <v>128</v>
      </c>
      <c r="CJ230" s="26">
        <v>1</v>
      </c>
      <c r="CK230" s="26" t="s">
        <v>54</v>
      </c>
      <c r="CL230" s="26" t="s">
        <v>2334</v>
      </c>
      <c r="CM230" s="26">
        <f>HYPERLINK(".\links\GO\TI_asb-388-GO.txt",5E-40)</f>
        <v>4.9999999999999996E-40</v>
      </c>
      <c r="CN230" s="26" t="s">
        <v>702</v>
      </c>
      <c r="CO230" s="26" t="s">
        <v>703</v>
      </c>
      <c r="CP230" s="26" t="s">
        <v>704</v>
      </c>
      <c r="CQ230" s="26" t="s">
        <v>705</v>
      </c>
      <c r="CR230" s="28">
        <v>4.9999999999999996E-40</v>
      </c>
      <c r="CS230" s="26" t="s">
        <v>706</v>
      </c>
      <c r="CT230" s="26" t="s">
        <v>75</v>
      </c>
      <c r="CU230" s="26" t="s">
        <v>76</v>
      </c>
      <c r="CV230" s="26" t="s">
        <v>707</v>
      </c>
      <c r="CW230" s="28">
        <v>4.9999999999999996E-40</v>
      </c>
      <c r="CX230" s="26" t="s">
        <v>708</v>
      </c>
      <c r="CY230" s="26" t="s">
        <v>703</v>
      </c>
      <c r="CZ230" s="26" t="s">
        <v>704</v>
      </c>
      <c r="DA230" s="26" t="s">
        <v>709</v>
      </c>
      <c r="DB230" s="28">
        <v>4.9999999999999996E-40</v>
      </c>
      <c r="DC230" s="26" t="str">
        <f>HYPERLINK(".\links\CDD\TI_asb-388-CDD.txt","Ribosomal_L37ae")</f>
        <v>Ribosomal_L37ae</v>
      </c>
      <c r="DD230" s="26" t="str">
        <f>HYPERLINK("http://www.ncbi.nlm.nih.gov/Structure/cdd/cddsrv.cgi?uid=pfam01780&amp;version=v4.0","1E-039")</f>
        <v>1E-039</v>
      </c>
      <c r="DE230" s="26" t="s">
        <v>2335</v>
      </c>
      <c r="DF230" s="26" t="str">
        <f>HYPERLINK(".\links\PFAM\TI_asb-388-PFAM.txt","Ribosomal_L37ae")</f>
        <v>Ribosomal_L37ae</v>
      </c>
      <c r="DG230" s="26" t="str">
        <f>HYPERLINK("http://pfam.sanger.ac.uk/family?acc=PF01780","1E-043")</f>
        <v>1E-043</v>
      </c>
      <c r="DH230" s="26" t="str">
        <f>HYPERLINK(".\links\PRK\TI_asb-388-PRK.txt","60S ribosomal protein L37a")</f>
        <v>60S ribosomal protein L37a</v>
      </c>
      <c r="DI230" s="28">
        <v>2E-45</v>
      </c>
      <c r="DJ230" s="26" t="str">
        <f>HYPERLINK(".\links\KOG\TI_asb-388-KOG.txt","60S ribosomal protein L37")</f>
        <v>60S ribosomal protein L37</v>
      </c>
      <c r="DK230" s="26" t="str">
        <f>HYPERLINK("http://www.ncbi.nlm.nih.gov/COG/grace/shokog.cgi?KOG0402","1E-042")</f>
        <v>1E-042</v>
      </c>
      <c r="DL230" s="26" t="s">
        <v>4333</v>
      </c>
      <c r="DM230" s="26" t="str">
        <f>HYPERLINK(".\links\KOG\TI_asb-388-KOG.txt","KOG0402")</f>
        <v>KOG0402</v>
      </c>
      <c r="DN230" s="26" t="s">
        <v>56</v>
      </c>
      <c r="DO230" s="26" t="s">
        <v>56</v>
      </c>
      <c r="DP230" s="26" t="s">
        <v>56</v>
      </c>
      <c r="ED230" s="26" t="s">
        <v>56</v>
      </c>
    </row>
    <row r="231" spans="1:134">
      <c r="A231" t="str">
        <f>HYPERLINK(".\links\seq\TI_asb-389-seq.txt","TI_asb-389")</f>
        <v>TI_asb-389</v>
      </c>
      <c r="B231">
        <v>389</v>
      </c>
      <c r="C231" t="str">
        <f>HYPERLINK(".\links\tsa\TI_asb-389-tsa.txt","1")</f>
        <v>1</v>
      </c>
      <c r="D231">
        <v>1</v>
      </c>
      <c r="E231">
        <v>584</v>
      </c>
      <c r="G231" t="str">
        <f>HYPERLINK(".\links\qual\TI_asb-389-qual.txt","49")</f>
        <v>49</v>
      </c>
      <c r="H231">
        <v>1</v>
      </c>
      <c r="I231">
        <v>0</v>
      </c>
      <c r="J231">
        <f t="shared" si="12"/>
        <v>1</v>
      </c>
      <c r="K231" s="6">
        <f t="shared" si="13"/>
        <v>1</v>
      </c>
      <c r="L231" s="6" t="s">
        <v>3868</v>
      </c>
      <c r="M231" s="6" t="s">
        <v>3869</v>
      </c>
      <c r="N231" s="6"/>
      <c r="O231" s="6"/>
      <c r="P231" s="6"/>
      <c r="Q231" s="3">
        <v>584</v>
      </c>
      <c r="R231" s="3">
        <v>384</v>
      </c>
      <c r="S231" s="6" t="s">
        <v>3710</v>
      </c>
      <c r="T231" s="3">
        <v>1</v>
      </c>
      <c r="U231" t="str">
        <f>HYPERLINK(".\links\NR-LIGHT\TI_asb-389-NR-LIGHT.txt","structural protein")</f>
        <v>structural protein</v>
      </c>
      <c r="V231" t="str">
        <f>HYPERLINK("http://www.ncbi.nlm.nih.gov/sutils/blink.cgi?pid=189007679","0.21")</f>
        <v>0.21</v>
      </c>
      <c r="W231" t="str">
        <f>HYPERLINK(".\links\NR-LIGHT\TI_asb-389-NR-LIGHT.txt"," 10")</f>
        <v xml:space="preserve"> 10</v>
      </c>
      <c r="X231" t="str">
        <f>HYPERLINK("http://www.ncbi.nlm.nih.gov/protein/189007679","gi|189007679")</f>
        <v>gi|189007679</v>
      </c>
      <c r="Y231">
        <v>37.700000000000003</v>
      </c>
      <c r="Z231">
        <v>90</v>
      </c>
      <c r="AA231">
        <v>1160</v>
      </c>
      <c r="AB231">
        <v>24</v>
      </c>
      <c r="AC231">
        <v>8</v>
      </c>
      <c r="AD231">
        <v>68</v>
      </c>
      <c r="AE231">
        <v>0</v>
      </c>
      <c r="AF231">
        <v>1025</v>
      </c>
      <c r="AG231">
        <v>187</v>
      </c>
      <c r="AH231">
        <v>1</v>
      </c>
      <c r="AI231">
        <v>1</v>
      </c>
      <c r="AJ231" t="s">
        <v>53</v>
      </c>
      <c r="AK231" t="s">
        <v>54</v>
      </c>
      <c r="AL231" t="s">
        <v>2336</v>
      </c>
      <c r="AM231" t="str">
        <f>HYPERLINK(".\links\SWISSP\TI_asb-389-SWISSP.txt","Spike glycoprotein OS=Human coronavirus 229E GN=S PE=1 SV=1")</f>
        <v>Spike glycoprotein OS=Human coronavirus 229E GN=S PE=1 SV=1</v>
      </c>
      <c r="AN231" s="19" t="str">
        <f>HYPERLINK("http://www.uniprot.org/uniprot/P15423","0.96")</f>
        <v>0.96</v>
      </c>
      <c r="AO231" t="str">
        <f>HYPERLINK(".\links\SWISSP\TI_asb-389-SWISSP.txt"," 6")</f>
        <v xml:space="preserve"> 6</v>
      </c>
      <c r="AP231" t="s">
        <v>2337</v>
      </c>
      <c r="AQ231">
        <v>33.5</v>
      </c>
      <c r="AR231">
        <v>77</v>
      </c>
      <c r="AS231">
        <v>1173</v>
      </c>
      <c r="AT231">
        <v>31</v>
      </c>
      <c r="AU231">
        <v>7</v>
      </c>
      <c r="AV231">
        <v>53</v>
      </c>
      <c r="AW231">
        <v>0</v>
      </c>
      <c r="AX231">
        <v>462</v>
      </c>
      <c r="AY231">
        <v>217</v>
      </c>
      <c r="AZ231">
        <v>1</v>
      </c>
      <c r="BA231">
        <v>1</v>
      </c>
      <c r="BB231" t="s">
        <v>53</v>
      </c>
      <c r="BC231" t="s">
        <v>54</v>
      </c>
      <c r="BD231" t="s">
        <v>2338</v>
      </c>
      <c r="BE231" t="s">
        <v>2339</v>
      </c>
      <c r="BF231" t="s">
        <v>2340</v>
      </c>
      <c r="BG231" t="str">
        <f>HYPERLINK(".\links\PREV-RHOD-PEP\TI_asb-389-PREV-RHOD-PEP.txt","Contig17945_36")</f>
        <v>Contig17945_36</v>
      </c>
      <c r="BH231" s="7">
        <v>2.0000000000000001E-25</v>
      </c>
      <c r="BI231" t="str">
        <f>HYPERLINK(".\links\PREV-RHOD-PEP\TI_asb-389-PREV-RHOD-PEP.txt"," 10")</f>
        <v xml:space="preserve"> 10</v>
      </c>
      <c r="BJ231" t="s">
        <v>2341</v>
      </c>
      <c r="BK231">
        <v>103</v>
      </c>
      <c r="BL231">
        <v>124</v>
      </c>
      <c r="BM231">
        <v>201</v>
      </c>
      <c r="BN231">
        <v>42</v>
      </c>
      <c r="BO231">
        <v>62</v>
      </c>
      <c r="BP231">
        <v>71</v>
      </c>
      <c r="BQ231">
        <v>0</v>
      </c>
      <c r="BR231">
        <v>39</v>
      </c>
      <c r="BS231">
        <v>3</v>
      </c>
      <c r="BT231">
        <v>2</v>
      </c>
      <c r="BU231" t="s">
        <v>54</v>
      </c>
      <c r="BV231" t="s">
        <v>2342</v>
      </c>
      <c r="BW231" t="s">
        <v>56</v>
      </c>
      <c r="BX231" t="str">
        <f>HYPERLINK(".\links\PREV-RHOD-CDS\TI_asb-389-PREV-RHOD-CDS.txt","Contig17945_46")</f>
        <v>Contig17945_46</v>
      </c>
      <c r="BY231" s="7">
        <v>3E-10</v>
      </c>
      <c r="BZ231" t="s">
        <v>2343</v>
      </c>
      <c r="CA231">
        <v>65.900000000000006</v>
      </c>
      <c r="CB231">
        <v>56</v>
      </c>
      <c r="CC231">
        <v>924</v>
      </c>
      <c r="CD231">
        <v>89</v>
      </c>
      <c r="CE231">
        <v>6</v>
      </c>
      <c r="CF231">
        <v>6</v>
      </c>
      <c r="CG231">
        <v>0</v>
      </c>
      <c r="CH231">
        <v>744</v>
      </c>
      <c r="CI231">
        <v>264</v>
      </c>
      <c r="CJ231">
        <v>1</v>
      </c>
      <c r="CK231" t="s">
        <v>54</v>
      </c>
      <c r="CL231" t="s">
        <v>2344</v>
      </c>
      <c r="CM231">
        <f>HYPERLINK(".\links\GO\TI_asb-389-GO.txt",0.097)</f>
        <v>9.7000000000000003E-2</v>
      </c>
      <c r="CN231" t="s">
        <v>2345</v>
      </c>
      <c r="CO231" t="s">
        <v>102</v>
      </c>
      <c r="CP231" t="s">
        <v>103</v>
      </c>
      <c r="CQ231" t="s">
        <v>2346</v>
      </c>
      <c r="CR231" s="6">
        <v>7</v>
      </c>
      <c r="CS231" t="s">
        <v>241</v>
      </c>
      <c r="CT231" t="s">
        <v>75</v>
      </c>
      <c r="CU231" t="s">
        <v>76</v>
      </c>
      <c r="CV231" t="s">
        <v>242</v>
      </c>
      <c r="CW231" s="6">
        <v>7</v>
      </c>
      <c r="CX231" t="s">
        <v>2347</v>
      </c>
      <c r="CY231" t="s">
        <v>102</v>
      </c>
      <c r="CZ231" t="s">
        <v>103</v>
      </c>
      <c r="DA231" t="s">
        <v>2348</v>
      </c>
      <c r="DB231" s="6">
        <v>7</v>
      </c>
      <c r="DC231" t="str">
        <f>HYPERLINK(".\links\CDD\TI_asb-389-CDD.txt","CYTB")</f>
        <v>CYTB</v>
      </c>
      <c r="DD231" t="str">
        <f>HYPERLINK("http://www.ncbi.nlm.nih.gov/Structure/cdd/cddsrv.cgi?uid=MTH00046&amp;version=v4.0","0.030")</f>
        <v>0.030</v>
      </c>
      <c r="DE231" t="s">
        <v>2349</v>
      </c>
      <c r="DF231" t="str">
        <f>HYPERLINK(".\links\PFAM\TI_asb-389-PFAM.txt","DUF862")</f>
        <v>DUF862</v>
      </c>
      <c r="DG231" t="str">
        <f>HYPERLINK("http://pfam.sanger.ac.uk/family?acc=PF05903","0.032")</f>
        <v>0.032</v>
      </c>
      <c r="DH231" t="str">
        <f>HYPERLINK(".\links\PRK\TI_asb-389-PRK.txt","cytochrome b")</f>
        <v>cytochrome b</v>
      </c>
      <c r="DI231" s="6">
        <v>0.03</v>
      </c>
      <c r="DJ231" s="6" t="str">
        <f>HYPERLINK(".\links\KOG\TI_asb-389-KOG.txt","Lipid exporter ABCA1 and related proteins, ABC superfamily")</f>
        <v>Lipid exporter ABCA1 and related proteins, ABC superfamily</v>
      </c>
      <c r="DK231" s="6" t="str">
        <f>HYPERLINK("http://www.ncbi.nlm.nih.gov/COG/grace/shokog.cgi?KOG0059","0.048")</f>
        <v>0.048</v>
      </c>
      <c r="DL231" s="6" t="s">
        <v>4336</v>
      </c>
      <c r="DM231" s="6" t="str">
        <f>HYPERLINK(".\links\KOG\TI_asb-389-KOG.txt","KOG0059")</f>
        <v>KOG0059</v>
      </c>
      <c r="DN231" t="s">
        <v>56</v>
      </c>
      <c r="DO231" t="s">
        <v>56</v>
      </c>
      <c r="DP231" s="3" t="s">
        <v>56</v>
      </c>
      <c r="ED231" s="3" t="s">
        <v>56</v>
      </c>
    </row>
    <row r="232" spans="1:134">
      <c r="A232" t="str">
        <f>HYPERLINK(".\links\seq\TI_asb-391-seq.txt","TI_asb-391")</f>
        <v>TI_asb-391</v>
      </c>
      <c r="B232">
        <v>391</v>
      </c>
      <c r="C232" t="str">
        <f>HYPERLINK(".\links\tsa\TI_asb-391-tsa.txt","1")</f>
        <v>1</v>
      </c>
      <c r="D232">
        <v>1</v>
      </c>
      <c r="E232">
        <v>415</v>
      </c>
      <c r="G232" t="str">
        <f>HYPERLINK(".\links\qual\TI_asb-391-qual.txt","39")</f>
        <v>39</v>
      </c>
      <c r="H232">
        <v>0</v>
      </c>
      <c r="I232">
        <v>1</v>
      </c>
      <c r="J232">
        <f t="shared" si="12"/>
        <v>1</v>
      </c>
      <c r="K232" s="6">
        <f t="shared" si="13"/>
        <v>-1</v>
      </c>
      <c r="L232" s="6" t="s">
        <v>3868</v>
      </c>
      <c r="M232" s="6" t="s">
        <v>3869</v>
      </c>
      <c r="N232" s="6"/>
      <c r="O232" s="6"/>
      <c r="P232" s="6"/>
      <c r="Q232" s="3">
        <v>415</v>
      </c>
      <c r="R232" s="3">
        <v>345</v>
      </c>
      <c r="S232" s="6" t="s">
        <v>3711</v>
      </c>
      <c r="T232" s="3">
        <v>1</v>
      </c>
      <c r="U232" t="str">
        <f>HYPERLINK(".\links\NR-LIGHT\TI_asb-391-NR-LIGHT.txt","hypothetical protein")</f>
        <v>hypothetical protein</v>
      </c>
      <c r="V232" t="str">
        <f>HYPERLINK("http://www.ncbi.nlm.nih.gov/sutils/blink.cgi?pid=256081126","0.081")</f>
        <v>0.081</v>
      </c>
      <c r="W232" t="str">
        <f>HYPERLINK(".\links\NR-LIGHT\TI_asb-391-NR-LIGHT.txt"," 10")</f>
        <v xml:space="preserve"> 10</v>
      </c>
      <c r="X232" t="str">
        <f>HYPERLINK("http://www.ncbi.nlm.nih.gov/protein/256081126","gi|256081126")</f>
        <v>gi|256081126</v>
      </c>
      <c r="Y232">
        <v>38.1</v>
      </c>
      <c r="Z232">
        <v>52</v>
      </c>
      <c r="AA232">
        <v>750</v>
      </c>
      <c r="AB232">
        <v>32</v>
      </c>
      <c r="AC232">
        <v>7</v>
      </c>
      <c r="AD232">
        <v>35</v>
      </c>
      <c r="AE232">
        <v>0</v>
      </c>
      <c r="AF232">
        <v>234</v>
      </c>
      <c r="AG232">
        <v>235</v>
      </c>
      <c r="AH232">
        <v>1</v>
      </c>
      <c r="AI232">
        <v>1</v>
      </c>
      <c r="AJ232" t="s">
        <v>53</v>
      </c>
      <c r="AK232" t="s">
        <v>54</v>
      </c>
      <c r="AL232" t="s">
        <v>1761</v>
      </c>
      <c r="AM232" t="str">
        <f>HYPERLINK(".\links\SWISSP\TI_asb-391-SWISSP.txt","DNA double-strand break repair rad50 ATPase OS=Methanobacterium")</f>
        <v>DNA double-strand break repair rad50 ATPase OS=Methanobacterium</v>
      </c>
      <c r="AN232" s="19" t="str">
        <f>HYPERLINK("http://www.uniprot.org/uniprot/O26640","0.32")</f>
        <v>0.32</v>
      </c>
      <c r="AO232" t="str">
        <f>HYPERLINK(".\links\SWISSP\TI_asb-391-SWISSP.txt"," 10")</f>
        <v xml:space="preserve"> 10</v>
      </c>
      <c r="AP232" t="s">
        <v>2350</v>
      </c>
      <c r="AQ232">
        <v>33.9</v>
      </c>
      <c r="AR232">
        <v>93</v>
      </c>
      <c r="AS232">
        <v>837</v>
      </c>
      <c r="AT232">
        <v>25</v>
      </c>
      <c r="AU232">
        <v>11</v>
      </c>
      <c r="AV232">
        <v>69</v>
      </c>
      <c r="AW232">
        <v>16</v>
      </c>
      <c r="AX232">
        <v>369</v>
      </c>
      <c r="AY232">
        <v>148</v>
      </c>
      <c r="AZ232">
        <v>1</v>
      </c>
      <c r="BA232">
        <v>1</v>
      </c>
      <c r="BB232" t="s">
        <v>53</v>
      </c>
      <c r="BC232" t="s">
        <v>54</v>
      </c>
      <c r="BD232" t="s">
        <v>2351</v>
      </c>
      <c r="BE232" t="s">
        <v>2352</v>
      </c>
      <c r="BF232" t="s">
        <v>2353</v>
      </c>
      <c r="BG232" t="str">
        <f>HYPERLINK(".\links\PREV-RHOD-PEP\TI_asb-391-PREV-RHOD-PEP.txt","Contig17543_20")</f>
        <v>Contig17543_20</v>
      </c>
      <c r="BH232" s="7">
        <v>5.0000000000000004E-44</v>
      </c>
      <c r="BI232" t="str">
        <f>HYPERLINK(".\links\PREV-RHOD-PEP\TI_asb-391-PREV-RHOD-PEP.txt"," 10")</f>
        <v xml:space="preserve"> 10</v>
      </c>
      <c r="BJ232" t="s">
        <v>2354</v>
      </c>
      <c r="BK232">
        <v>172</v>
      </c>
      <c r="BL232">
        <v>108</v>
      </c>
      <c r="BM232">
        <v>293</v>
      </c>
      <c r="BN232">
        <v>81</v>
      </c>
      <c r="BO232">
        <v>37</v>
      </c>
      <c r="BP232">
        <v>20</v>
      </c>
      <c r="BQ232">
        <v>0</v>
      </c>
      <c r="BR232">
        <v>4</v>
      </c>
      <c r="BS232">
        <v>91</v>
      </c>
      <c r="BT232">
        <v>1</v>
      </c>
      <c r="BU232" t="s">
        <v>54</v>
      </c>
      <c r="BV232" t="s">
        <v>2355</v>
      </c>
      <c r="BW232" t="s">
        <v>56</v>
      </c>
      <c r="BX232" t="str">
        <f>HYPERLINK(".\links\PREV-RHOD-CDS\TI_asb-391-PREV-RHOD-CDS.txt","Contig17543_20")</f>
        <v>Contig17543_20</v>
      </c>
      <c r="BY232" s="7">
        <v>3E-34</v>
      </c>
      <c r="BZ232" t="s">
        <v>2354</v>
      </c>
      <c r="CA232">
        <v>145</v>
      </c>
      <c r="CB232">
        <v>116</v>
      </c>
      <c r="CC232">
        <v>882</v>
      </c>
      <c r="CD232">
        <v>90</v>
      </c>
      <c r="CE232">
        <v>13</v>
      </c>
      <c r="CF232">
        <v>11</v>
      </c>
      <c r="CG232">
        <v>0</v>
      </c>
      <c r="CH232">
        <v>75</v>
      </c>
      <c r="CI232">
        <v>156</v>
      </c>
      <c r="CJ232">
        <v>1</v>
      </c>
      <c r="CK232" t="s">
        <v>54</v>
      </c>
      <c r="CL232" t="s">
        <v>2356</v>
      </c>
      <c r="CM232">
        <f>HYPERLINK(".\links\GO\TI_asb-391-GO.txt",0.098)</f>
        <v>9.8000000000000004E-2</v>
      </c>
      <c r="CN232" t="s">
        <v>2357</v>
      </c>
      <c r="CO232" t="s">
        <v>129</v>
      </c>
      <c r="CP232" t="s">
        <v>151</v>
      </c>
      <c r="CQ232" t="s">
        <v>2358</v>
      </c>
      <c r="CR232">
        <v>9.8000000000000004E-2</v>
      </c>
      <c r="CS232" t="s">
        <v>60</v>
      </c>
      <c r="CT232" t="s">
        <v>60</v>
      </c>
      <c r="CV232" t="s">
        <v>61</v>
      </c>
      <c r="CW232">
        <v>9.8000000000000004E-2</v>
      </c>
      <c r="CX232" t="s">
        <v>2359</v>
      </c>
      <c r="CY232" t="s">
        <v>129</v>
      </c>
      <c r="CZ232" t="s">
        <v>151</v>
      </c>
      <c r="DA232" t="s">
        <v>2360</v>
      </c>
      <c r="DB232">
        <v>9.8000000000000004E-2</v>
      </c>
      <c r="DC232" t="s">
        <v>56</v>
      </c>
      <c r="DD232" t="s">
        <v>56</v>
      </c>
      <c r="DE232" t="s">
        <v>56</v>
      </c>
      <c r="DF232" t="str">
        <f>HYPERLINK(".\links\PFAM\TI_asb-391-PFAM.txt","EIID-AGA")</f>
        <v>EIID-AGA</v>
      </c>
      <c r="DG232" t="str">
        <f>HYPERLINK("http://pfam.sanger.ac.uk/family?acc=PF03613","0.015")</f>
        <v>0.015</v>
      </c>
      <c r="DH232" t="s">
        <v>56</v>
      </c>
      <c r="DI232" s="6" t="s">
        <v>56</v>
      </c>
      <c r="DJ232" s="6" t="s">
        <v>56</v>
      </c>
      <c r="DN232" t="s">
        <v>56</v>
      </c>
      <c r="DO232" t="s">
        <v>56</v>
      </c>
      <c r="DP232" s="3" t="s">
        <v>56</v>
      </c>
      <c r="ED232" s="3" t="s">
        <v>56</v>
      </c>
    </row>
    <row r="233" spans="1:134">
      <c r="A233" t="str">
        <f>HYPERLINK(".\links\seq\TI_asb-396-seq.txt","TI_asb-396")</f>
        <v>TI_asb-396</v>
      </c>
      <c r="B233">
        <v>396</v>
      </c>
      <c r="C233" t="str">
        <f>HYPERLINK(".\links\tsa\TI_asb-396-tsa.txt","1")</f>
        <v>1</v>
      </c>
      <c r="D233">
        <v>1</v>
      </c>
      <c r="E233">
        <v>988</v>
      </c>
      <c r="F233">
        <v>950</v>
      </c>
      <c r="G233" t="str">
        <f>HYPERLINK(".\links\qual\TI_asb-396-qual.txt","20")</f>
        <v>20</v>
      </c>
      <c r="H233">
        <v>1</v>
      </c>
      <c r="I233">
        <v>0</v>
      </c>
      <c r="J233">
        <f t="shared" si="12"/>
        <v>1</v>
      </c>
      <c r="K233" s="6">
        <f t="shared" si="13"/>
        <v>1</v>
      </c>
      <c r="L233" s="6" t="s">
        <v>4029</v>
      </c>
      <c r="M233" s="6" t="s">
        <v>3978</v>
      </c>
      <c r="N233" s="6" t="s">
        <v>3902</v>
      </c>
      <c r="O233" s="6">
        <v>2E-12</v>
      </c>
      <c r="P233" s="6">
        <v>64.400000000000006</v>
      </c>
      <c r="Q233" s="3">
        <v>988</v>
      </c>
      <c r="R233" s="3">
        <v>375</v>
      </c>
      <c r="S233" s="6" t="s">
        <v>3712</v>
      </c>
      <c r="T233" s="3">
        <v>3</v>
      </c>
      <c r="U233" t="str">
        <f>HYPERLINK(".\links\NR-LIGHT\TI_asb-396-NR-LIGHT.txt","kininogen-1 isoform 3")</f>
        <v>kininogen-1 isoform 3</v>
      </c>
      <c r="V233" t="str">
        <f>HYPERLINK("http://www.ncbi.nlm.nih.gov/sutils/blink.cgi?pid=262050546","0.005")</f>
        <v>0.005</v>
      </c>
      <c r="W233" t="str">
        <f>HYPERLINK(".\links\NR-LIGHT\TI_asb-396-NR-LIGHT.txt"," 10")</f>
        <v xml:space="preserve"> 10</v>
      </c>
      <c r="X233" t="str">
        <f>HYPERLINK("http://www.ncbi.nlm.nih.gov/protein/262050546","gi|262050546")</f>
        <v>gi|262050546</v>
      </c>
      <c r="Y233">
        <v>44.7</v>
      </c>
      <c r="Z233">
        <v>69</v>
      </c>
      <c r="AA233">
        <v>391</v>
      </c>
      <c r="AB233">
        <v>33</v>
      </c>
      <c r="AC233">
        <v>18</v>
      </c>
      <c r="AD233">
        <v>46</v>
      </c>
      <c r="AE233">
        <v>6</v>
      </c>
      <c r="AF233">
        <v>226</v>
      </c>
      <c r="AG233">
        <v>138</v>
      </c>
      <c r="AH233">
        <v>1</v>
      </c>
      <c r="AI233">
        <v>3</v>
      </c>
      <c r="AJ233" t="s">
        <v>53</v>
      </c>
      <c r="AK233" t="s">
        <v>54</v>
      </c>
      <c r="AL233" t="s">
        <v>330</v>
      </c>
      <c r="AM233" t="str">
        <f>HYPERLINK(".\links\SWISSP\TI_asb-396-SWISSP.txt","Kininogen-1 OS=Homo sapiens GN=KNG1 PE=1 SV=2")</f>
        <v>Kininogen-1 OS=Homo sapiens GN=KNG1 PE=1 SV=2</v>
      </c>
      <c r="AN233" s="19" t="str">
        <f>HYPERLINK("http://www.uniprot.org/uniprot/P01042","0.001")</f>
        <v>0.001</v>
      </c>
      <c r="AO233" t="str">
        <f>HYPERLINK(".\links\SWISSP\TI_asb-396-SWISSP.txt"," 10")</f>
        <v xml:space="preserve"> 10</v>
      </c>
      <c r="AP233" t="s">
        <v>2361</v>
      </c>
      <c r="AQ233">
        <v>44.7</v>
      </c>
      <c r="AR233">
        <v>69</v>
      </c>
      <c r="AS233">
        <v>644</v>
      </c>
      <c r="AT233">
        <v>33</v>
      </c>
      <c r="AU233">
        <v>11</v>
      </c>
      <c r="AV233">
        <v>46</v>
      </c>
      <c r="AW233">
        <v>6</v>
      </c>
      <c r="AX233">
        <v>262</v>
      </c>
      <c r="AY233">
        <v>138</v>
      </c>
      <c r="AZ233">
        <v>1</v>
      </c>
      <c r="BA233">
        <v>3</v>
      </c>
      <c r="BB233" t="s">
        <v>53</v>
      </c>
      <c r="BC233" t="s">
        <v>54</v>
      </c>
      <c r="BD233" t="s">
        <v>330</v>
      </c>
      <c r="BE233" t="s">
        <v>2362</v>
      </c>
      <c r="BF233" t="s">
        <v>2363</v>
      </c>
      <c r="BG233" t="str">
        <f>HYPERLINK(".\links\PREV-RHOD-PEP\TI_asb-396-PREV-RHOD-PEP.txt","Contig18034_95")</f>
        <v>Contig18034_95</v>
      </c>
      <c r="BH233" s="7">
        <v>3.0000000000000001E-26</v>
      </c>
      <c r="BI233" t="str">
        <f>HYPERLINK(".\links\PREV-RHOD-PEP\TI_asb-396-PREV-RHOD-PEP.txt"," 2")</f>
        <v xml:space="preserve"> 2</v>
      </c>
      <c r="BJ233" t="s">
        <v>2364</v>
      </c>
      <c r="BK233">
        <v>115</v>
      </c>
      <c r="BL233">
        <v>97</v>
      </c>
      <c r="BM233">
        <v>470</v>
      </c>
      <c r="BN233">
        <v>58</v>
      </c>
      <c r="BO233">
        <v>21</v>
      </c>
      <c r="BP233">
        <v>40</v>
      </c>
      <c r="BQ233">
        <v>0</v>
      </c>
      <c r="BR233">
        <v>1</v>
      </c>
      <c r="BS233">
        <v>63</v>
      </c>
      <c r="BT233">
        <v>1</v>
      </c>
      <c r="BU233" t="s">
        <v>54</v>
      </c>
      <c r="BV233" t="s">
        <v>2365</v>
      </c>
      <c r="BW233" t="s">
        <v>56</v>
      </c>
      <c r="BX233" t="str">
        <f>HYPERLINK(".\links\PREV-RHOD-CDS\TI_asb-396-PREV-RHOD-CDS.txt","Contig18034_95")</f>
        <v>Contig18034_95</v>
      </c>
      <c r="BY233" s="7">
        <v>5.0000000000000001E-4</v>
      </c>
      <c r="BZ233" t="s">
        <v>2364</v>
      </c>
      <c r="CA233">
        <v>46.1</v>
      </c>
      <c r="CB233">
        <v>98</v>
      </c>
      <c r="CC233">
        <v>1413</v>
      </c>
      <c r="CD233">
        <v>80</v>
      </c>
      <c r="CE233">
        <v>7</v>
      </c>
      <c r="CF233">
        <v>19</v>
      </c>
      <c r="CG233">
        <v>0</v>
      </c>
      <c r="CH233">
        <v>115</v>
      </c>
      <c r="CI233">
        <v>180</v>
      </c>
      <c r="CJ233">
        <v>1</v>
      </c>
      <c r="CK233" t="s">
        <v>54</v>
      </c>
      <c r="CL233" t="s">
        <v>2366</v>
      </c>
      <c r="CM233">
        <f>HYPERLINK(".\links\GO\TI_asb-396-GO.txt",0.021)</f>
        <v>2.1000000000000001E-2</v>
      </c>
      <c r="CN233" t="s">
        <v>2367</v>
      </c>
      <c r="CO233" t="s">
        <v>185</v>
      </c>
      <c r="CP233" t="s">
        <v>186</v>
      </c>
      <c r="CQ233" t="s">
        <v>2368</v>
      </c>
      <c r="CR233" s="6">
        <v>2.1000000000000001E-2</v>
      </c>
      <c r="CS233" t="s">
        <v>1136</v>
      </c>
      <c r="CT233" t="s">
        <v>540</v>
      </c>
      <c r="CU233" t="s">
        <v>1137</v>
      </c>
      <c r="CV233" t="s">
        <v>1138</v>
      </c>
      <c r="CW233" s="6">
        <v>2.1000000000000001E-2</v>
      </c>
      <c r="CX233" t="s">
        <v>2369</v>
      </c>
      <c r="CY233" t="s">
        <v>185</v>
      </c>
      <c r="CZ233" t="s">
        <v>186</v>
      </c>
      <c r="DA233" t="s">
        <v>2370</v>
      </c>
      <c r="DB233" s="6">
        <v>2.1000000000000001E-2</v>
      </c>
      <c r="DC233" t="str">
        <f>HYPERLINK(".\links\CDD\TI_asb-396-CDD.txt","CY")</f>
        <v>CY</v>
      </c>
      <c r="DD233" t="str">
        <f>HYPERLINK("http://www.ncbi.nlm.nih.gov/Structure/cdd/cddsrv.cgi?uid=smart00043&amp;version=v4.0","9E-009")</f>
        <v>9E-009</v>
      </c>
      <c r="DE233" t="s">
        <v>2371</v>
      </c>
      <c r="DF233" t="str">
        <f>HYPERLINK(".\links\PFAM\TI_asb-396-PFAM.txt","Cystatin")</f>
        <v>Cystatin</v>
      </c>
      <c r="DG233" t="str">
        <f>HYPERLINK("http://pfam.sanger.ac.uk/family?acc=PF00031","7E-010")</f>
        <v>7E-010</v>
      </c>
      <c r="DH233" t="str">
        <f>HYPERLINK(".\links\PRK\TI_asb-396-PRK.txt","NADH dehydrogenase subunit 5")</f>
        <v>NADH dehydrogenase subunit 5</v>
      </c>
      <c r="DI233" s="7">
        <v>1.9999999999999999E-6</v>
      </c>
      <c r="DJ233" s="6" t="str">
        <f>HYPERLINK(".\links\KOG\TI_asb-396-KOG.txt","Alpha-1,2 glucosyltransferase/transcriptional activator")</f>
        <v>Alpha-1,2 glucosyltransferase/transcriptional activator</v>
      </c>
      <c r="DK233" s="6" t="str">
        <f>HYPERLINK("http://www.ncbi.nlm.nih.gov/COG/grace/shokog.cgi?KOG2642","0.002")</f>
        <v>0.002</v>
      </c>
      <c r="DL233" s="6" t="s">
        <v>4335</v>
      </c>
      <c r="DM233" s="6" t="str">
        <f>HYPERLINK(".\links\KOG\TI_asb-396-KOG.txt","KOG2642")</f>
        <v>KOG2642</v>
      </c>
      <c r="DN233" t="str">
        <f>HYPERLINK(".\links\SMART\TI_asb-396-SMART.txt","CY")</f>
        <v>CY</v>
      </c>
      <c r="DO233" t="str">
        <f>HYPERLINK("http://smart.embl-heidelberg.de/smart/do_annotation.pl?DOMAIN=CY&amp;BLAST=DUMMY","2E-012")</f>
        <v>2E-012</v>
      </c>
      <c r="DP233" s="3" t="s">
        <v>56</v>
      </c>
      <c r="ED233" s="3" t="s">
        <v>56</v>
      </c>
    </row>
    <row r="234" spans="1:134" s="26" customFormat="1">
      <c r="A234" s="26" t="str">
        <f>HYPERLINK(".\links\seq\TI_asb-398-seq.txt","TI_asb-398")</f>
        <v>TI_asb-398</v>
      </c>
      <c r="B234" s="26">
        <v>398</v>
      </c>
      <c r="C234" s="27" t="str">
        <f>HYPERLINK(".\links\tsa\TI_asb-398-tsa.txt","2")</f>
        <v>2</v>
      </c>
      <c r="D234" s="26">
        <v>2</v>
      </c>
      <c r="E234" s="26">
        <v>541</v>
      </c>
      <c r="G234" s="26" t="str">
        <f>HYPERLINK(".\links\qual\TI_asb-398-qual.txt","73")</f>
        <v>73</v>
      </c>
      <c r="H234" s="26">
        <v>1</v>
      </c>
      <c r="I234" s="26">
        <v>1</v>
      </c>
      <c r="J234" s="26">
        <f t="shared" si="12"/>
        <v>0</v>
      </c>
      <c r="K234" s="26">
        <f t="shared" si="13"/>
        <v>0</v>
      </c>
      <c r="L234" s="26" t="s">
        <v>3868</v>
      </c>
      <c r="M234" s="26" t="s">
        <v>3869</v>
      </c>
      <c r="Q234" s="26">
        <v>541</v>
      </c>
      <c r="R234" s="26">
        <v>207</v>
      </c>
      <c r="S234" s="26" t="s">
        <v>3713</v>
      </c>
      <c r="T234" s="26">
        <v>4</v>
      </c>
      <c r="U234" s="26" t="str">
        <f>HYPERLINK(".\links\NR-LIGHT\TI_asb-398-NR-LIGHT.txt","hypothetical protein")</f>
        <v>hypothetical protein</v>
      </c>
      <c r="V234" s="26" t="str">
        <f>HYPERLINK("http://www.ncbi.nlm.nih.gov/sutils/blink.cgi?pid=68064137","9.7")</f>
        <v>9.7</v>
      </c>
      <c r="W234" s="26" t="str">
        <f>HYPERLINK(".\links\NR-LIGHT\TI_asb-398-NR-LIGHT.txt"," 1")</f>
        <v xml:space="preserve"> 1</v>
      </c>
      <c r="X234" s="26" t="str">
        <f>HYPERLINK("http://www.ncbi.nlm.nih.gov/protein/68064137","gi|68064137")</f>
        <v>gi|68064137</v>
      </c>
      <c r="Y234" s="26">
        <v>32</v>
      </c>
      <c r="Z234" s="26">
        <v>96</v>
      </c>
      <c r="AA234" s="26">
        <v>329</v>
      </c>
      <c r="AB234" s="26">
        <v>25</v>
      </c>
      <c r="AC234" s="26">
        <v>29</v>
      </c>
      <c r="AD234" s="26">
        <v>72</v>
      </c>
      <c r="AE234" s="26">
        <v>3</v>
      </c>
      <c r="AF234" s="26">
        <v>4</v>
      </c>
      <c r="AG234" s="26">
        <v>253</v>
      </c>
      <c r="AH234" s="26">
        <v>1</v>
      </c>
      <c r="AI234" s="26">
        <v>-2</v>
      </c>
      <c r="AJ234" s="26" t="s">
        <v>53</v>
      </c>
      <c r="AK234" s="26" t="s">
        <v>64</v>
      </c>
      <c r="AL234" s="26" t="s">
        <v>1117</v>
      </c>
      <c r="AM234" s="26" t="str">
        <f>HYPERLINK(".\links\SWISSP\TI_asb-398-SWISSP.txt","Ribosomal operon-associated A protein OS=Astasia longa GN=roaA PE=3 SV=1")</f>
        <v>Ribosomal operon-associated A protein OS=Astasia longa GN=roaA PE=3 SV=1</v>
      </c>
      <c r="AN234" s="29" t="str">
        <f>HYPERLINK("http://www.uniprot.org/uniprot/P58145","1.8")</f>
        <v>1.8</v>
      </c>
      <c r="AO234" s="26" t="str">
        <f>HYPERLINK(".\links\SWISSP\TI_asb-398-SWISSP.txt"," 1")</f>
        <v xml:space="preserve"> 1</v>
      </c>
      <c r="AP234" s="26" t="s">
        <v>2372</v>
      </c>
      <c r="AQ234" s="26">
        <v>32.299999999999997</v>
      </c>
      <c r="AR234" s="26">
        <v>52</v>
      </c>
      <c r="AS234" s="26">
        <v>519</v>
      </c>
      <c r="AT234" s="26">
        <v>28</v>
      </c>
      <c r="AU234" s="26">
        <v>10</v>
      </c>
      <c r="AV234" s="26">
        <v>37</v>
      </c>
      <c r="AW234" s="26">
        <v>0</v>
      </c>
      <c r="AX234" s="26">
        <v>51</v>
      </c>
      <c r="AY234" s="26">
        <v>169</v>
      </c>
      <c r="AZ234" s="26">
        <v>1</v>
      </c>
      <c r="BA234" s="26">
        <v>-2</v>
      </c>
      <c r="BB234" s="26" t="s">
        <v>53</v>
      </c>
      <c r="BC234" s="26" t="s">
        <v>64</v>
      </c>
      <c r="BD234" s="26" t="s">
        <v>2373</v>
      </c>
      <c r="BE234" s="26" t="s">
        <v>2374</v>
      </c>
      <c r="BF234" s="26" t="s">
        <v>2375</v>
      </c>
      <c r="BG234" s="26" t="str">
        <f>HYPERLINK(".\links\PREV-RHOD-PEP\TI_asb-398-PREV-RHOD-PEP.txt","Contig17134_18")</f>
        <v>Contig17134_18</v>
      </c>
      <c r="BH234" s="26">
        <v>1</v>
      </c>
      <c r="BI234" s="26" t="str">
        <f>HYPERLINK(".\links\PREV-RHOD-PEP\TI_asb-398-PREV-RHOD-PEP.txt"," 1")</f>
        <v xml:space="preserve"> 1</v>
      </c>
      <c r="BJ234" s="26" t="s">
        <v>2376</v>
      </c>
      <c r="BK234" s="26">
        <v>29.3</v>
      </c>
      <c r="BL234" s="26">
        <v>41</v>
      </c>
      <c r="BM234" s="26">
        <v>545</v>
      </c>
      <c r="BN234" s="26">
        <v>26</v>
      </c>
      <c r="BO234" s="26">
        <v>8</v>
      </c>
      <c r="BP234" s="26">
        <v>30</v>
      </c>
      <c r="BQ234" s="26">
        <v>0</v>
      </c>
      <c r="BR234" s="26">
        <v>139</v>
      </c>
      <c r="BS234" s="26">
        <v>208</v>
      </c>
      <c r="BT234" s="26">
        <v>1</v>
      </c>
      <c r="BU234" s="26" t="s">
        <v>64</v>
      </c>
      <c r="BV234" s="26" t="s">
        <v>2377</v>
      </c>
      <c r="BW234" s="26" t="s">
        <v>56</v>
      </c>
      <c r="BX234" s="26" t="str">
        <f>HYPERLINK(".\links\PREV-RHOD-CDS\TI_asb-398-PREV-RHOD-CDS.txt","Contig17945_72")</f>
        <v>Contig17945_72</v>
      </c>
      <c r="BY234" s="26">
        <v>1.1000000000000001</v>
      </c>
      <c r="BZ234" s="26" t="s">
        <v>2378</v>
      </c>
      <c r="CA234" s="26">
        <v>34.200000000000003</v>
      </c>
      <c r="CB234" s="26">
        <v>16</v>
      </c>
      <c r="CC234" s="26">
        <v>1296</v>
      </c>
      <c r="CD234" s="26">
        <v>100</v>
      </c>
      <c r="CE234" s="26">
        <v>1</v>
      </c>
      <c r="CF234" s="26">
        <v>0</v>
      </c>
      <c r="CG234" s="26">
        <v>0</v>
      </c>
      <c r="CH234" s="26">
        <v>457</v>
      </c>
      <c r="CI234" s="26">
        <v>329</v>
      </c>
      <c r="CJ234" s="26">
        <v>1</v>
      </c>
      <c r="CK234" s="26" t="s">
        <v>64</v>
      </c>
      <c r="CL234" s="26" t="s">
        <v>56</v>
      </c>
      <c r="CM234" s="26" t="s">
        <v>56</v>
      </c>
      <c r="CN234" s="26" t="s">
        <v>56</v>
      </c>
      <c r="CO234" s="26" t="s">
        <v>56</v>
      </c>
      <c r="CP234" s="26" t="s">
        <v>56</v>
      </c>
      <c r="CQ234" s="26" t="s">
        <v>56</v>
      </c>
      <c r="CR234" s="26" t="s">
        <v>56</v>
      </c>
      <c r="CS234" s="26" t="s">
        <v>56</v>
      </c>
      <c r="CT234" s="26" t="s">
        <v>56</v>
      </c>
      <c r="CU234" s="26" t="s">
        <v>56</v>
      </c>
      <c r="CV234" s="26" t="s">
        <v>56</v>
      </c>
      <c r="CW234" s="26" t="s">
        <v>56</v>
      </c>
      <c r="CX234" s="26" t="s">
        <v>56</v>
      </c>
      <c r="CY234" s="26" t="s">
        <v>56</v>
      </c>
      <c r="CZ234" s="26" t="s">
        <v>56</v>
      </c>
      <c r="DA234" s="26" t="s">
        <v>56</v>
      </c>
      <c r="DB234" s="26" t="s">
        <v>56</v>
      </c>
      <c r="DC234" s="26" t="s">
        <v>56</v>
      </c>
      <c r="DD234" s="26" t="s">
        <v>56</v>
      </c>
      <c r="DE234" s="26" t="s">
        <v>56</v>
      </c>
      <c r="DF234" s="26" t="str">
        <f>HYPERLINK(".\links\PFAM\TI_asb-398-PFAM.txt","7TM_GPCR_Srz")</f>
        <v>7TM_GPCR_Srz</v>
      </c>
      <c r="DG234" s="26" t="str">
        <f>HYPERLINK("http://pfam.sanger.ac.uk/family?acc=PF10325","0.019")</f>
        <v>0.019</v>
      </c>
      <c r="DH234" s="26" t="s">
        <v>56</v>
      </c>
      <c r="DI234" s="26" t="s">
        <v>56</v>
      </c>
      <c r="DJ234" s="26" t="s">
        <v>56</v>
      </c>
      <c r="DN234" s="26" t="s">
        <v>56</v>
      </c>
      <c r="DO234" s="26" t="s">
        <v>56</v>
      </c>
      <c r="DP234" s="26" t="s">
        <v>56</v>
      </c>
      <c r="ED234" s="26" t="s">
        <v>56</v>
      </c>
    </row>
    <row r="235" spans="1:134">
      <c r="A235" t="str">
        <f>HYPERLINK(".\links\seq\TI_asb-401-seq.txt","TI_asb-401")</f>
        <v>TI_asb-401</v>
      </c>
      <c r="B235">
        <v>401</v>
      </c>
      <c r="C235" t="str">
        <f>HYPERLINK(".\links\tsa\TI_asb-401-tsa.txt","1")</f>
        <v>1</v>
      </c>
      <c r="D235">
        <v>1</v>
      </c>
      <c r="E235">
        <v>454</v>
      </c>
      <c r="G235" t="str">
        <f>HYPERLINK(".\links\qual\TI_asb-401-qual.txt","45")</f>
        <v>45</v>
      </c>
      <c r="H235">
        <v>1</v>
      </c>
      <c r="I235">
        <v>0</v>
      </c>
      <c r="J235">
        <f t="shared" si="12"/>
        <v>1</v>
      </c>
      <c r="K235" s="6">
        <f t="shared" si="13"/>
        <v>1</v>
      </c>
      <c r="L235" s="6" t="s">
        <v>3888</v>
      </c>
      <c r="M235" s="6" t="s">
        <v>3886</v>
      </c>
      <c r="N235" s="6" t="s">
        <v>3872</v>
      </c>
      <c r="O235" s="6">
        <v>0</v>
      </c>
      <c r="P235" s="6">
        <v>4.0999999999999996</v>
      </c>
      <c r="Q235" s="3">
        <v>454</v>
      </c>
      <c r="R235" s="3">
        <v>294</v>
      </c>
      <c r="S235" s="3" t="s">
        <v>3714</v>
      </c>
      <c r="T235" s="3">
        <v>1</v>
      </c>
      <c r="U235" t="str">
        <f>HYPERLINK(".\links\NR-LIGHT\TI_asb-401-NR-LIGHT.txt","hypothetical protein TcasGA2_TC012685")</f>
        <v>hypothetical protein TcasGA2_TC012685</v>
      </c>
      <c r="V235" t="str">
        <f>HYPERLINK("http://www.ncbi.nlm.nih.gov/sutils/blink.cgi?pid=270013992","3.5")</f>
        <v>3.5</v>
      </c>
      <c r="W235" t="str">
        <f>HYPERLINK(".\links\NR-LIGHT\TI_asb-401-NR-LIGHT.txt"," 3")</f>
        <v xml:space="preserve"> 3</v>
      </c>
      <c r="X235" t="str">
        <f>HYPERLINK("http://www.ncbi.nlm.nih.gov/protein/270013992","gi|270013992")</f>
        <v>gi|270013992</v>
      </c>
      <c r="Y235">
        <v>32.700000000000003</v>
      </c>
      <c r="Z235">
        <v>18</v>
      </c>
      <c r="AA235">
        <v>277</v>
      </c>
      <c r="AB235">
        <v>83</v>
      </c>
      <c r="AC235">
        <v>6</v>
      </c>
      <c r="AD235">
        <v>3</v>
      </c>
      <c r="AE235">
        <v>0</v>
      </c>
      <c r="AF235">
        <v>84</v>
      </c>
      <c r="AG235">
        <v>205</v>
      </c>
      <c r="AH235">
        <v>1</v>
      </c>
      <c r="AI235">
        <v>1</v>
      </c>
      <c r="AJ235" t="s">
        <v>53</v>
      </c>
      <c r="AK235" t="s">
        <v>54</v>
      </c>
      <c r="AL235" t="s">
        <v>79</v>
      </c>
      <c r="AM235" t="str">
        <f>HYPERLINK(".\links\SWISSP\TI_asb-401-SWISSP.txt","Lipoxygenase 5, chloroplastic OS=Arabidopsis thaliana GN=LOX5 PE=1 SV=2")</f>
        <v>Lipoxygenase 5, chloroplastic OS=Arabidopsis thaliana GN=LOX5 PE=1 SV=2</v>
      </c>
      <c r="AN235" s="19" t="str">
        <f>HYPERLINK("http://www.uniprot.org/uniprot/Q9LUW0","7.5")</f>
        <v>7.5</v>
      </c>
      <c r="AO235" t="str">
        <f>HYPERLINK(".\links\SWISSP\TI_asb-401-SWISSP.txt"," 2")</f>
        <v xml:space="preserve"> 2</v>
      </c>
      <c r="AP235" t="s">
        <v>2379</v>
      </c>
      <c r="AQ235">
        <v>29.6</v>
      </c>
      <c r="AR235">
        <v>25</v>
      </c>
      <c r="AS235">
        <v>886</v>
      </c>
      <c r="AT235">
        <v>40</v>
      </c>
      <c r="AU235">
        <v>3</v>
      </c>
      <c r="AV235">
        <v>15</v>
      </c>
      <c r="AW235">
        <v>0</v>
      </c>
      <c r="AX235">
        <v>667</v>
      </c>
      <c r="AY235">
        <v>171</v>
      </c>
      <c r="AZ235">
        <v>1</v>
      </c>
      <c r="BA235">
        <v>3</v>
      </c>
      <c r="BB235" t="s">
        <v>53</v>
      </c>
      <c r="BC235" t="s">
        <v>54</v>
      </c>
      <c r="BD235" t="s">
        <v>274</v>
      </c>
      <c r="BE235" t="s">
        <v>2380</v>
      </c>
      <c r="BF235" t="s">
        <v>2381</v>
      </c>
      <c r="BG235" t="str">
        <f>HYPERLINK(".\links\PREV-RHOD-PEP\TI_asb-401-PREV-RHOD-PEP.txt","Contig18031_39")</f>
        <v>Contig18031_39</v>
      </c>
      <c r="BH235" s="7">
        <v>8.0000000000000005E-9</v>
      </c>
      <c r="BI235" t="str">
        <f>HYPERLINK(".\links\PREV-RHOD-PEP\TI_asb-401-PREV-RHOD-PEP.txt"," 4")</f>
        <v xml:space="preserve"> 4</v>
      </c>
      <c r="BJ235" t="s">
        <v>2382</v>
      </c>
      <c r="BK235">
        <v>55.8</v>
      </c>
      <c r="BL235">
        <v>54</v>
      </c>
      <c r="BM235">
        <v>212</v>
      </c>
      <c r="BN235">
        <v>59</v>
      </c>
      <c r="BO235">
        <v>25</v>
      </c>
      <c r="BP235">
        <v>22</v>
      </c>
      <c r="BQ235">
        <v>1</v>
      </c>
      <c r="BR235">
        <v>53</v>
      </c>
      <c r="BS235">
        <v>205</v>
      </c>
      <c r="BT235">
        <v>1</v>
      </c>
      <c r="BU235" t="s">
        <v>54</v>
      </c>
      <c r="BV235" t="s">
        <v>2383</v>
      </c>
      <c r="BW235" t="s">
        <v>56</v>
      </c>
      <c r="BX235" t="str">
        <f>HYPERLINK(".\links\PREV-RHOD-CDS\TI_asb-401-PREV-RHOD-CDS.txt","Contig18031_39")</f>
        <v>Contig18031_39</v>
      </c>
      <c r="BY235" s="7">
        <v>2E-51</v>
      </c>
      <c r="BZ235" t="s">
        <v>2382</v>
      </c>
      <c r="CA235">
        <v>202</v>
      </c>
      <c r="CB235">
        <v>141</v>
      </c>
      <c r="CC235">
        <v>639</v>
      </c>
      <c r="CD235">
        <v>92</v>
      </c>
      <c r="CE235">
        <v>22</v>
      </c>
      <c r="CF235">
        <v>10</v>
      </c>
      <c r="CG235">
        <v>0</v>
      </c>
      <c r="CH235">
        <v>160</v>
      </c>
      <c r="CI235">
        <v>208</v>
      </c>
      <c r="CJ235">
        <v>1</v>
      </c>
      <c r="CK235" t="s">
        <v>54</v>
      </c>
      <c r="CL235" t="s">
        <v>2384</v>
      </c>
      <c r="CM235">
        <f>HYPERLINK(".\links\GO\TI_asb-401-GO.txt",4)</f>
        <v>4</v>
      </c>
      <c r="CN235" t="s">
        <v>2385</v>
      </c>
      <c r="CO235" t="s">
        <v>129</v>
      </c>
      <c r="CP235" t="s">
        <v>151</v>
      </c>
      <c r="CQ235" t="s">
        <v>2386</v>
      </c>
      <c r="CR235" s="6">
        <v>4</v>
      </c>
      <c r="CS235" t="s">
        <v>56</v>
      </c>
      <c r="CT235" t="s">
        <v>56</v>
      </c>
      <c r="CU235" t="s">
        <v>56</v>
      </c>
      <c r="CV235" t="s">
        <v>56</v>
      </c>
      <c r="CW235" s="6" t="s">
        <v>56</v>
      </c>
      <c r="CX235" t="s">
        <v>2387</v>
      </c>
      <c r="CY235" t="s">
        <v>129</v>
      </c>
      <c r="CZ235" t="s">
        <v>151</v>
      </c>
      <c r="DA235" t="s">
        <v>2388</v>
      </c>
      <c r="DB235" s="6">
        <v>4</v>
      </c>
      <c r="DC235" t="str">
        <f>HYPERLINK(".\links\CDD\TI_asb-401-CDD.txt","TT_ORF1")</f>
        <v>TT_ORF1</v>
      </c>
      <c r="DD235" t="str">
        <f>HYPERLINK("http://www.ncbi.nlm.nih.gov/Structure/cdd/cddsrv.cgi?uid=pfam02956&amp;version=v4.0","0.006")</f>
        <v>0.006</v>
      </c>
      <c r="DE235" t="s">
        <v>2389</v>
      </c>
      <c r="DF235" t="str">
        <f>HYPERLINK(".\links\PFAM\TI_asb-401-PFAM.txt","TT_ORF1")</f>
        <v>TT_ORF1</v>
      </c>
      <c r="DG235" t="str">
        <f>HYPERLINK("http://pfam.sanger.ac.uk/family?acc=PF02956","0.002")</f>
        <v>0.002</v>
      </c>
      <c r="DH235" t="str">
        <f>HYPERLINK(".\links\PRK\TI_asb-401-PRK.txt","NADH dehydrogenase subunit 6")</f>
        <v>NADH dehydrogenase subunit 6</v>
      </c>
      <c r="DI235" s="6">
        <v>2.8000000000000001E-2</v>
      </c>
      <c r="DJ235" s="6" t="str">
        <f>HYPERLINK(".\links\KOG\TI_asb-401-KOG.txt","Nuclear protein, contains WD40 repeats")</f>
        <v>Nuclear protein, contains WD40 repeats</v>
      </c>
      <c r="DK235" s="6" t="str">
        <f>HYPERLINK("http://www.ncbi.nlm.nih.gov/COG/grace/shokog.cgi?KOG1916","0.0")</f>
        <v>0.0</v>
      </c>
      <c r="DL235" s="6" t="s">
        <v>4337</v>
      </c>
      <c r="DM235" s="6" t="str">
        <f>HYPERLINK(".\links\KOG\TI_asb-401-KOG.txt","KOG1916")</f>
        <v>KOG1916</v>
      </c>
      <c r="DN235" t="s">
        <v>56</v>
      </c>
      <c r="DO235" t="s">
        <v>56</v>
      </c>
      <c r="DP235" s="3" t="s">
        <v>56</v>
      </c>
      <c r="ED235" s="3" t="s">
        <v>56</v>
      </c>
    </row>
    <row r="236" spans="1:134">
      <c r="A236" t="str">
        <f>HYPERLINK(".\links\seq\TI_asb-402-seq.txt","TI_asb-402")</f>
        <v>TI_asb-402</v>
      </c>
      <c r="B236">
        <v>402</v>
      </c>
      <c r="C236" t="str">
        <f>HYPERLINK(".\links\tsa\TI_asb-402-tsa.txt","1")</f>
        <v>1</v>
      </c>
      <c r="D236">
        <v>1</v>
      </c>
      <c r="E236">
        <v>157</v>
      </c>
      <c r="F236">
        <v>132</v>
      </c>
      <c r="G236" t="str">
        <f>HYPERLINK(".\links\qual\TI_asb-402-qual.txt","48")</f>
        <v>48</v>
      </c>
      <c r="H236">
        <v>1</v>
      </c>
      <c r="I236">
        <v>0</v>
      </c>
      <c r="J236">
        <f t="shared" si="12"/>
        <v>1</v>
      </c>
      <c r="K236" s="6">
        <f t="shared" si="13"/>
        <v>1</v>
      </c>
      <c r="L236" s="6" t="s">
        <v>3868</v>
      </c>
      <c r="M236" s="6" t="s">
        <v>3869</v>
      </c>
      <c r="N236" s="6"/>
      <c r="O236" s="6"/>
      <c r="P236" s="6"/>
      <c r="Q236" s="3">
        <v>157</v>
      </c>
      <c r="R236" s="3">
        <v>114</v>
      </c>
      <c r="S236" s="6" t="s">
        <v>3715</v>
      </c>
      <c r="T236" s="3">
        <v>1</v>
      </c>
      <c r="U236" t="s">
        <v>56</v>
      </c>
      <c r="V236" t="s">
        <v>56</v>
      </c>
      <c r="W236" t="s">
        <v>56</v>
      </c>
      <c r="X236" t="s">
        <v>56</v>
      </c>
      <c r="Y236" t="s">
        <v>56</v>
      </c>
      <c r="Z236" t="s">
        <v>56</v>
      </c>
      <c r="AA236" t="s">
        <v>56</v>
      </c>
      <c r="AB236" t="s">
        <v>56</v>
      </c>
      <c r="AC236" t="s">
        <v>56</v>
      </c>
      <c r="AD236" t="s">
        <v>56</v>
      </c>
      <c r="AE236" t="s">
        <v>56</v>
      </c>
      <c r="AF236" t="s">
        <v>56</v>
      </c>
      <c r="AG236" t="s">
        <v>56</v>
      </c>
      <c r="AH236" t="s">
        <v>56</v>
      </c>
      <c r="AI236" t="s">
        <v>56</v>
      </c>
      <c r="AJ236" t="s">
        <v>56</v>
      </c>
      <c r="AK236" t="s">
        <v>56</v>
      </c>
      <c r="AL236" t="s">
        <v>56</v>
      </c>
      <c r="AM236" t="s">
        <v>56</v>
      </c>
      <c r="AN236" s="19" t="s">
        <v>56</v>
      </c>
      <c r="AO236" t="s">
        <v>56</v>
      </c>
      <c r="AP236" t="s">
        <v>56</v>
      </c>
      <c r="AQ236" t="s">
        <v>56</v>
      </c>
      <c r="AR236" t="s">
        <v>56</v>
      </c>
      <c r="AS236" t="s">
        <v>56</v>
      </c>
      <c r="AT236" t="s">
        <v>56</v>
      </c>
      <c r="AU236" t="s">
        <v>56</v>
      </c>
      <c r="AV236" t="s">
        <v>56</v>
      </c>
      <c r="AW236" t="s">
        <v>56</v>
      </c>
      <c r="AX236" t="s">
        <v>56</v>
      </c>
      <c r="AY236" t="s">
        <v>56</v>
      </c>
      <c r="AZ236" t="s">
        <v>56</v>
      </c>
      <c r="BA236" t="s">
        <v>56</v>
      </c>
      <c r="BB236" t="s">
        <v>56</v>
      </c>
      <c r="BC236" t="s">
        <v>56</v>
      </c>
      <c r="BD236" t="s">
        <v>56</v>
      </c>
      <c r="BE236" t="s">
        <v>56</v>
      </c>
      <c r="BF236" t="s">
        <v>56</v>
      </c>
      <c r="BG236" t="str">
        <f>HYPERLINK(".\links\PREV-RHOD-PEP\TI_asb-402-PREV-RHOD-PEP.txt","Contig5396_2")</f>
        <v>Contig5396_2</v>
      </c>
      <c r="BH236" s="6">
        <v>2.9</v>
      </c>
      <c r="BI236" t="str">
        <f>HYPERLINK(".\links\PREV-RHOD-PEP\TI_asb-402-PREV-RHOD-PEP.txt"," 2")</f>
        <v xml:space="preserve"> 2</v>
      </c>
      <c r="BJ236" t="s">
        <v>2390</v>
      </c>
      <c r="BK236">
        <v>26.9</v>
      </c>
      <c r="BL236">
        <v>18</v>
      </c>
      <c r="BM236">
        <v>236</v>
      </c>
      <c r="BN236">
        <v>55</v>
      </c>
      <c r="BO236">
        <v>8</v>
      </c>
      <c r="BP236">
        <v>8</v>
      </c>
      <c r="BQ236">
        <v>0</v>
      </c>
      <c r="BR236">
        <v>79</v>
      </c>
      <c r="BS236">
        <v>9</v>
      </c>
      <c r="BT236">
        <v>1</v>
      </c>
      <c r="BU236" t="s">
        <v>64</v>
      </c>
      <c r="BV236" t="s">
        <v>2391</v>
      </c>
      <c r="BW236" t="s">
        <v>56</v>
      </c>
      <c r="BX236" t="str">
        <f>HYPERLINK(".\links\PREV-RHOD-CDS\TI_asb-402-PREV-RHOD-CDS.txt","Contig17773_33")</f>
        <v>Contig17773_33</v>
      </c>
      <c r="BY236" s="6">
        <v>0.28000000000000003</v>
      </c>
      <c r="BZ236" t="s">
        <v>2392</v>
      </c>
      <c r="CA236">
        <v>34.200000000000003</v>
      </c>
      <c r="CB236">
        <v>20</v>
      </c>
      <c r="CC236">
        <v>3297</v>
      </c>
      <c r="CD236">
        <v>95</v>
      </c>
      <c r="CE236">
        <v>1</v>
      </c>
      <c r="CF236">
        <v>1</v>
      </c>
      <c r="CG236">
        <v>0</v>
      </c>
      <c r="CH236">
        <v>1044</v>
      </c>
      <c r="CI236">
        <v>48</v>
      </c>
      <c r="CJ236">
        <v>1</v>
      </c>
      <c r="CK236" t="s">
        <v>64</v>
      </c>
      <c r="CL236" t="s">
        <v>56</v>
      </c>
      <c r="CM236" t="s">
        <v>56</v>
      </c>
      <c r="CN236" t="s">
        <v>56</v>
      </c>
      <c r="CO236" t="s">
        <v>56</v>
      </c>
      <c r="CP236" t="s">
        <v>56</v>
      </c>
      <c r="CQ236" t="s">
        <v>56</v>
      </c>
      <c r="CR236" s="5" t="s">
        <v>56</v>
      </c>
      <c r="CS236" t="s">
        <v>56</v>
      </c>
      <c r="CT236" t="s">
        <v>56</v>
      </c>
      <c r="CU236" t="s">
        <v>56</v>
      </c>
      <c r="CV236" t="s">
        <v>56</v>
      </c>
      <c r="CW236" s="6" t="s">
        <v>56</v>
      </c>
      <c r="CX236" t="s">
        <v>56</v>
      </c>
      <c r="CY236" t="s">
        <v>56</v>
      </c>
      <c r="CZ236" t="s">
        <v>56</v>
      </c>
      <c r="DA236" t="s">
        <v>56</v>
      </c>
      <c r="DB236" s="5" t="s">
        <v>56</v>
      </c>
      <c r="DC236" t="s">
        <v>56</v>
      </c>
      <c r="DD236" t="s">
        <v>56</v>
      </c>
      <c r="DE236" t="s">
        <v>56</v>
      </c>
      <c r="DF236" t="s">
        <v>56</v>
      </c>
      <c r="DG236" t="s">
        <v>56</v>
      </c>
      <c r="DH236" t="s">
        <v>56</v>
      </c>
      <c r="DI236" s="6" t="s">
        <v>56</v>
      </c>
      <c r="DJ236" s="6" t="s">
        <v>56</v>
      </c>
      <c r="DN236" t="str">
        <f>HYPERLINK(".\links\SMART\TI_asb-402-SMART.txt","LITAF")</f>
        <v>LITAF</v>
      </c>
      <c r="DO236" t="str">
        <f>HYPERLINK("http://smart.embl-heidelberg.de/smart/do_annotation.pl?DOMAIN=LITAF&amp;BLAST=DUMMY","0.012")</f>
        <v>0.012</v>
      </c>
      <c r="DP236" s="3" t="s">
        <v>56</v>
      </c>
      <c r="ED236" s="3" t="s">
        <v>56</v>
      </c>
    </row>
    <row r="237" spans="1:134">
      <c r="A237" t="str">
        <f>HYPERLINK(".\links\seq\TI_asb-403-seq.txt","TI_asb-403")</f>
        <v>TI_asb-403</v>
      </c>
      <c r="B237">
        <v>403</v>
      </c>
      <c r="C237" t="str">
        <f>HYPERLINK(".\links\tsa\TI_asb-403-tsa.txt","2")</f>
        <v>2</v>
      </c>
      <c r="D237">
        <v>2</v>
      </c>
      <c r="E237">
        <v>797</v>
      </c>
      <c r="F237">
        <v>763</v>
      </c>
      <c r="G237" t="str">
        <f>HYPERLINK(".\links\qual\TI_asb-403-qual.txt","44")</f>
        <v>44</v>
      </c>
      <c r="H237">
        <v>0</v>
      </c>
      <c r="I237">
        <v>2</v>
      </c>
      <c r="J237">
        <f t="shared" si="12"/>
        <v>2</v>
      </c>
      <c r="K237" s="6">
        <f t="shared" si="13"/>
        <v>-2</v>
      </c>
      <c r="L237" s="6" t="s">
        <v>4128</v>
      </c>
      <c r="M237" s="6" t="s">
        <v>3886</v>
      </c>
      <c r="N237" s="6" t="str">
        <f>HYPERLINK(".\links\PRK\TI_asb-403-PRK.txt","PRK")</f>
        <v>PRK</v>
      </c>
      <c r="O237" s="6">
        <v>8.9999999999999999E-11</v>
      </c>
      <c r="P237" s="6">
        <v>42.3</v>
      </c>
      <c r="Q237" s="3">
        <v>797</v>
      </c>
      <c r="R237" s="3">
        <v>243</v>
      </c>
      <c r="S237" s="6" t="s">
        <v>3716</v>
      </c>
      <c r="T237" s="3">
        <v>4</v>
      </c>
      <c r="U237" t="str">
        <f>HYPERLINK(".\links\NR-LIGHT\TI_asb-403-NR-LIGHT.txt","hypothetical protein")</f>
        <v>hypothetical protein</v>
      </c>
      <c r="V237" t="str">
        <f>HYPERLINK("http://www.ncbi.nlm.nih.gov/sutils/blink.cgi?pid=68061273","0.23")</f>
        <v>0.23</v>
      </c>
      <c r="W237" t="str">
        <f>HYPERLINK(".\links\NR-LIGHT\TI_asb-403-NR-LIGHT.txt"," 1")</f>
        <v xml:space="preserve"> 1</v>
      </c>
      <c r="X237" t="str">
        <f>HYPERLINK("http://www.ncbi.nlm.nih.gov/protein/68061273","gi|68061273")</f>
        <v>gi|68061273</v>
      </c>
      <c r="Y237">
        <v>38.5</v>
      </c>
      <c r="Z237">
        <v>44</v>
      </c>
      <c r="AA237">
        <v>90</v>
      </c>
      <c r="AB237">
        <v>43</v>
      </c>
      <c r="AC237">
        <v>49</v>
      </c>
      <c r="AD237">
        <v>25</v>
      </c>
      <c r="AE237">
        <v>0</v>
      </c>
      <c r="AF237">
        <v>4</v>
      </c>
      <c r="AG237">
        <v>17</v>
      </c>
      <c r="AH237">
        <v>1</v>
      </c>
      <c r="AI237">
        <v>2</v>
      </c>
      <c r="AJ237" t="s">
        <v>53</v>
      </c>
      <c r="AK237" t="s">
        <v>54</v>
      </c>
      <c r="AL237" t="s">
        <v>1117</v>
      </c>
      <c r="AM237" t="s">
        <v>56</v>
      </c>
      <c r="AN237" s="19" t="s">
        <v>56</v>
      </c>
      <c r="AO237" t="s">
        <v>56</v>
      </c>
      <c r="AP237" t="s">
        <v>56</v>
      </c>
      <c r="AQ237" t="s">
        <v>56</v>
      </c>
      <c r="AR237" t="s">
        <v>56</v>
      </c>
      <c r="AS237" t="s">
        <v>56</v>
      </c>
      <c r="AT237" t="s">
        <v>56</v>
      </c>
      <c r="AU237" t="s">
        <v>56</v>
      </c>
      <c r="AV237" t="s">
        <v>56</v>
      </c>
      <c r="AW237" t="s">
        <v>56</v>
      </c>
      <c r="AX237" t="s">
        <v>56</v>
      </c>
      <c r="AY237" t="s">
        <v>56</v>
      </c>
      <c r="AZ237" t="s">
        <v>56</v>
      </c>
      <c r="BA237" t="s">
        <v>56</v>
      </c>
      <c r="BB237" t="s">
        <v>56</v>
      </c>
      <c r="BC237" t="s">
        <v>56</v>
      </c>
      <c r="BD237" t="s">
        <v>56</v>
      </c>
      <c r="BE237" t="s">
        <v>56</v>
      </c>
      <c r="BF237" t="s">
        <v>56</v>
      </c>
      <c r="BG237" t="str">
        <f>HYPERLINK(".\links\PREV-RHOD-PEP\TI_asb-403-PREV-RHOD-PEP.txt","Contig8335_10")</f>
        <v>Contig8335_10</v>
      </c>
      <c r="BH237" s="6">
        <v>2.5</v>
      </c>
      <c r="BI237" t="str">
        <f>HYPERLINK(".\links\PREV-RHOD-PEP\TI_asb-403-PREV-RHOD-PEP.txt"," 2")</f>
        <v xml:space="preserve"> 2</v>
      </c>
      <c r="BJ237" t="s">
        <v>2393</v>
      </c>
      <c r="BK237">
        <v>28.9</v>
      </c>
      <c r="BL237">
        <v>24</v>
      </c>
      <c r="BM237">
        <v>613</v>
      </c>
      <c r="BN237">
        <v>54</v>
      </c>
      <c r="BO237">
        <v>4</v>
      </c>
      <c r="BP237">
        <v>11</v>
      </c>
      <c r="BQ237">
        <v>3</v>
      </c>
      <c r="BR237">
        <v>542</v>
      </c>
      <c r="BS237">
        <v>365</v>
      </c>
      <c r="BT237">
        <v>1</v>
      </c>
      <c r="BU237" t="s">
        <v>54</v>
      </c>
      <c r="BV237" t="s">
        <v>2394</v>
      </c>
      <c r="BW237" t="s">
        <v>56</v>
      </c>
      <c r="BX237" t="str">
        <f>HYPERLINK(".\links\PREV-RHOD-CDS\TI_asb-403-PREV-RHOD-CDS.txt","Contig17821_131")</f>
        <v>Contig17821_131</v>
      </c>
      <c r="BY237" s="6">
        <v>0.4</v>
      </c>
      <c r="BZ237" t="s">
        <v>2395</v>
      </c>
      <c r="CA237">
        <v>36.200000000000003</v>
      </c>
      <c r="CB237">
        <v>17</v>
      </c>
      <c r="CC237">
        <v>3081</v>
      </c>
      <c r="CD237">
        <v>100</v>
      </c>
      <c r="CE237">
        <v>1</v>
      </c>
      <c r="CF237">
        <v>0</v>
      </c>
      <c r="CG237">
        <v>0</v>
      </c>
      <c r="CH237">
        <v>2847</v>
      </c>
      <c r="CI237">
        <v>151</v>
      </c>
      <c r="CJ237">
        <v>1</v>
      </c>
      <c r="CK237" t="s">
        <v>54</v>
      </c>
      <c r="CL237" t="s">
        <v>2396</v>
      </c>
      <c r="CM237">
        <f>HYPERLINK(".\links\GO\TI_asb-403-GO.txt",9.1)</f>
        <v>9.1</v>
      </c>
      <c r="CN237" t="s">
        <v>58</v>
      </c>
      <c r="CO237" t="s">
        <v>58</v>
      </c>
      <c r="CQ237" t="s">
        <v>59</v>
      </c>
      <c r="CR237" s="6">
        <v>9.1</v>
      </c>
      <c r="CS237" t="s">
        <v>60</v>
      </c>
      <c r="CT237" t="s">
        <v>60</v>
      </c>
      <c r="CV237" t="s">
        <v>61</v>
      </c>
      <c r="CW237" s="6">
        <v>9.1</v>
      </c>
      <c r="CX237" t="s">
        <v>62</v>
      </c>
      <c r="CY237" t="s">
        <v>58</v>
      </c>
      <c r="DA237" t="s">
        <v>63</v>
      </c>
      <c r="DB237" s="6">
        <v>9.1</v>
      </c>
      <c r="DC237" t="str">
        <f>HYPERLINK(".\links\CDD\TI_asb-403-CDD.txt","ND5")</f>
        <v>ND5</v>
      </c>
      <c r="DD237" t="str">
        <f>HYPERLINK("http://www.ncbi.nlm.nih.gov/Structure/cdd/cddsrv.cgi?uid=MTH00095&amp;version=v4.0","2E-008")</f>
        <v>2E-008</v>
      </c>
      <c r="DE237" t="s">
        <v>2397</v>
      </c>
      <c r="DF237" t="str">
        <f>HYPERLINK(".\links\PFAM\TI_asb-403-PFAM.txt","PRANC")</f>
        <v>PRANC</v>
      </c>
      <c r="DG237" t="str">
        <f>HYPERLINK("http://pfam.sanger.ac.uk/family?acc=PF09372","3E-004")</f>
        <v>3E-004</v>
      </c>
      <c r="DH237" t="str">
        <f>HYPERLINK(".\links\PRK\TI_asb-403-PRK.txt","NADH dehydrogenase subunit 5")</f>
        <v>NADH dehydrogenase subunit 5</v>
      </c>
      <c r="DI237" s="7">
        <v>8.9999999999999999E-11</v>
      </c>
      <c r="DJ237" s="6" t="str">
        <f>HYPERLINK(".\links\KOG\TI_asb-403-KOG.txt","Permease of the major facilitator superfamily")</f>
        <v>Permease of the major facilitator superfamily</v>
      </c>
      <c r="DK237" s="6" t="str">
        <f>HYPERLINK("http://www.ncbi.nlm.nih.gov/COG/grace/shokog.cgi?KOG2533","0.076")</f>
        <v>0.076</v>
      </c>
      <c r="DL237" s="6" t="s">
        <v>4341</v>
      </c>
      <c r="DM237" s="6" t="str">
        <f>HYPERLINK(".\links\KOG\TI_asb-403-KOG.txt","KOG2533")</f>
        <v>KOG2533</v>
      </c>
      <c r="DN237" t="str">
        <f>HYPERLINK(".\links\SMART\TI_asb-403-SMART.txt","AgrB")</f>
        <v>AgrB</v>
      </c>
      <c r="DO237" t="str">
        <f>HYPERLINK("http://smart.embl-heidelberg.de/smart/do_annotation.pl?DOMAIN=AgrB&amp;BLAST=DUMMY","0.009")</f>
        <v>0.009</v>
      </c>
      <c r="DP237" s="3" t="s">
        <v>56</v>
      </c>
      <c r="ED237" s="3" t="s">
        <v>56</v>
      </c>
    </row>
    <row r="238" spans="1:134">
      <c r="A238" t="str">
        <f>HYPERLINK(".\links\seq\TI_asb-404-seq.txt","TI_asb-404")</f>
        <v>TI_asb-404</v>
      </c>
      <c r="B238">
        <v>404</v>
      </c>
      <c r="C238" t="str">
        <f>HYPERLINK(".\links\tsa\TI_asb-404-tsa.txt","1")</f>
        <v>1</v>
      </c>
      <c r="D238">
        <v>1</v>
      </c>
      <c r="E238">
        <v>641</v>
      </c>
      <c r="G238" t="str">
        <f>HYPERLINK(".\links\qual\TI_asb-404-qual.txt","52")</f>
        <v>52</v>
      </c>
      <c r="H238">
        <v>0</v>
      </c>
      <c r="I238">
        <v>1</v>
      </c>
      <c r="J238">
        <f t="shared" si="12"/>
        <v>1</v>
      </c>
      <c r="K238" s="6">
        <f t="shared" si="13"/>
        <v>-1</v>
      </c>
      <c r="L238" s="6" t="s">
        <v>3880</v>
      </c>
      <c r="M238" s="6" t="s">
        <v>3881</v>
      </c>
      <c r="N238" s="6" t="s">
        <v>3864</v>
      </c>
      <c r="O238" s="6">
        <v>0</v>
      </c>
      <c r="P238" s="6">
        <v>47.4</v>
      </c>
      <c r="Q238" s="3">
        <v>641</v>
      </c>
      <c r="R238" s="3">
        <v>555</v>
      </c>
      <c r="S238" s="3" t="s">
        <v>3717</v>
      </c>
      <c r="T238" s="3">
        <v>1</v>
      </c>
      <c r="U238" t="str">
        <f>HYPERLINK(".\links\NR-LIGHT\TI_asb-404-NR-LIGHT.txt","cathepsin D")</f>
        <v>cathepsin D</v>
      </c>
      <c r="V238" t="str">
        <f>HYPERLINK("http://www.ncbi.nlm.nih.gov/sutils/blink.cgi?pid=301030231","1E-107")</f>
        <v>1E-107</v>
      </c>
      <c r="W238" t="str">
        <f>HYPERLINK(".\links\NR-LIGHT\TI_asb-404-NR-LIGHT.txt"," 10")</f>
        <v xml:space="preserve"> 10</v>
      </c>
      <c r="X238" t="str">
        <f>HYPERLINK("http://www.ncbi.nlm.nih.gov/protein/301030231","gi|301030231")</f>
        <v>gi|301030231</v>
      </c>
      <c r="Y238">
        <v>375</v>
      </c>
      <c r="Z238">
        <v>185</v>
      </c>
      <c r="AA238">
        <v>390</v>
      </c>
      <c r="AB238">
        <v>100</v>
      </c>
      <c r="AC238">
        <v>47</v>
      </c>
      <c r="AD238">
        <v>0</v>
      </c>
      <c r="AE238">
        <v>0</v>
      </c>
      <c r="AF238">
        <v>1</v>
      </c>
      <c r="AG238">
        <v>3</v>
      </c>
      <c r="AH238">
        <v>2</v>
      </c>
      <c r="AI238">
        <v>1</v>
      </c>
      <c r="AJ238" t="s">
        <v>65</v>
      </c>
      <c r="AK238" t="s">
        <v>54</v>
      </c>
      <c r="AL238" t="s">
        <v>55</v>
      </c>
      <c r="AM238" t="str">
        <f>HYPERLINK(".\links\SWISSP\TI_asb-404-SWISSP.txt","Cathepsin D OS=Gallus gallus GN=CTSD PE=1 SV=1")</f>
        <v>Cathepsin D OS=Gallus gallus GN=CTSD PE=1 SV=1</v>
      </c>
      <c r="AN238" s="19" t="str">
        <f>HYPERLINK("http://www.uniprot.org/uniprot/Q05744","2E-041")</f>
        <v>2E-041</v>
      </c>
      <c r="AO238" t="str">
        <f>HYPERLINK(".\links\SWISSP\TI_asb-404-SWISSP.txt"," 10")</f>
        <v xml:space="preserve"> 10</v>
      </c>
      <c r="AP238" t="s">
        <v>158</v>
      </c>
      <c r="AQ238">
        <v>168</v>
      </c>
      <c r="AR238">
        <v>154</v>
      </c>
      <c r="AS238">
        <v>398</v>
      </c>
      <c r="AT238">
        <v>50</v>
      </c>
      <c r="AU238">
        <v>39</v>
      </c>
      <c r="AV238">
        <v>76</v>
      </c>
      <c r="AW238">
        <v>2</v>
      </c>
      <c r="AX238">
        <v>68</v>
      </c>
      <c r="AY238">
        <v>184</v>
      </c>
      <c r="AZ238">
        <v>1</v>
      </c>
      <c r="BA238">
        <v>1</v>
      </c>
      <c r="BB238" t="s">
        <v>53</v>
      </c>
      <c r="BC238" t="s">
        <v>54</v>
      </c>
      <c r="BD238" t="s">
        <v>159</v>
      </c>
      <c r="BE238" t="s">
        <v>2398</v>
      </c>
      <c r="BF238" t="s">
        <v>2399</v>
      </c>
      <c r="BG238" t="str">
        <f>HYPERLINK(".\links\PREV-RHOD-PEP\TI_asb-404-PREV-RHOD-PEP.txt","Contig17955_3")</f>
        <v>Contig17955_3</v>
      </c>
      <c r="BH238" s="7">
        <v>1.9999999999999999E-76</v>
      </c>
      <c r="BI238" t="str">
        <f>HYPERLINK(".\links\PREV-RHOD-PEP\TI_asb-404-PREV-RHOD-PEP.txt"," 10")</f>
        <v xml:space="preserve"> 10</v>
      </c>
      <c r="BJ238" t="s">
        <v>162</v>
      </c>
      <c r="BK238">
        <v>281</v>
      </c>
      <c r="BL238">
        <v>185</v>
      </c>
      <c r="BM238">
        <v>371</v>
      </c>
      <c r="BN238">
        <v>71</v>
      </c>
      <c r="BO238">
        <v>50</v>
      </c>
      <c r="BP238">
        <v>52</v>
      </c>
      <c r="BQ238">
        <v>0</v>
      </c>
      <c r="BR238">
        <v>10</v>
      </c>
      <c r="BS238">
        <v>85</v>
      </c>
      <c r="BT238">
        <v>1</v>
      </c>
      <c r="BU238" t="s">
        <v>54</v>
      </c>
      <c r="BV238" t="s">
        <v>2400</v>
      </c>
      <c r="BW238" t="s">
        <v>56</v>
      </c>
      <c r="BX238" t="str">
        <f>HYPERLINK(".\links\PREV-RHOD-CDS\TI_asb-404-PREV-RHOD-CDS.txt","Contig17955_3")</f>
        <v>Contig17955_3</v>
      </c>
      <c r="BY238" s="7">
        <v>5.0000000000000003E-34</v>
      </c>
      <c r="BZ238" t="s">
        <v>162</v>
      </c>
      <c r="CA238">
        <v>145</v>
      </c>
      <c r="CB238">
        <v>196</v>
      </c>
      <c r="CC238">
        <v>1116</v>
      </c>
      <c r="CD238">
        <v>84</v>
      </c>
      <c r="CE238">
        <v>18</v>
      </c>
      <c r="CF238">
        <v>31</v>
      </c>
      <c r="CG238">
        <v>0</v>
      </c>
      <c r="CH238">
        <v>28</v>
      </c>
      <c r="CI238">
        <v>85</v>
      </c>
      <c r="CJ238">
        <v>1</v>
      </c>
      <c r="CK238" t="s">
        <v>54</v>
      </c>
      <c r="CL238" t="s">
        <v>2401</v>
      </c>
      <c r="CM238">
        <f>HYPERLINK(".\links\GO\TI_asb-404-GO.txt",3E-41)</f>
        <v>2.9999999999999999E-41</v>
      </c>
      <c r="CN238" t="s">
        <v>165</v>
      </c>
      <c r="CO238" t="s">
        <v>129</v>
      </c>
      <c r="CP238" t="s">
        <v>166</v>
      </c>
      <c r="CQ238" t="s">
        <v>167</v>
      </c>
      <c r="CR238" s="7">
        <v>6.9999999999999999E-41</v>
      </c>
      <c r="CS238" t="s">
        <v>168</v>
      </c>
      <c r="CT238" t="s">
        <v>75</v>
      </c>
      <c r="CU238" t="s">
        <v>76</v>
      </c>
      <c r="CV238" t="s">
        <v>169</v>
      </c>
      <c r="CW238" s="7">
        <v>6.9999999999999999E-41</v>
      </c>
      <c r="CX238" t="s">
        <v>170</v>
      </c>
      <c r="CY238" t="s">
        <v>129</v>
      </c>
      <c r="CZ238" t="s">
        <v>166</v>
      </c>
      <c r="DA238" t="s">
        <v>171</v>
      </c>
      <c r="DB238" s="7">
        <v>6.9999999999999999E-41</v>
      </c>
      <c r="DC238" t="str">
        <f>HYPERLINK(".\links\CDD\TI_asb-404-CDD.txt","Proteinase_A_fu")</f>
        <v>Proteinase_A_fu</v>
      </c>
      <c r="DD238" t="str">
        <f>HYPERLINK("http://www.ncbi.nlm.nih.gov/Structure/cdd/cddsrv.cgi?uid=cd05488&amp;version=v4.0","5E-056")</f>
        <v>5E-056</v>
      </c>
      <c r="DE238" t="s">
        <v>2402</v>
      </c>
      <c r="DF238" t="str">
        <f>HYPERLINK(".\links\PFAM\TI_asb-404-PFAM.txt","Asp")</f>
        <v>Asp</v>
      </c>
      <c r="DG238" t="str">
        <f>HYPERLINK("http://pfam.sanger.ac.uk/family?acc=PF00026","4E-054")</f>
        <v>4E-054</v>
      </c>
      <c r="DH238" t="str">
        <f>HYPERLINK(".\links\PRK\TI_asb-404-PRK.txt","aspartyl protease")</f>
        <v>aspartyl protease</v>
      </c>
      <c r="DI238" s="7">
        <v>3.0000000000000002E-40</v>
      </c>
      <c r="DJ238" s="6" t="str">
        <f>HYPERLINK(".\links\KOG\TI_asb-404-KOG.txt","Aspartyl protease")</f>
        <v>Aspartyl protease</v>
      </c>
      <c r="DK238" s="6" t="str">
        <f>HYPERLINK("http://www.ncbi.nlm.nih.gov/COG/grace/shokog.cgi?KOG1339","3E-031")</f>
        <v>3E-031</v>
      </c>
      <c r="DL238" s="6" t="s">
        <v>4340</v>
      </c>
      <c r="DM238" s="6" t="str">
        <f>HYPERLINK(".\links\KOG\TI_asb-404-KOG.txt","KOG1339")</f>
        <v>KOG1339</v>
      </c>
      <c r="DN238" t="s">
        <v>56</v>
      </c>
      <c r="DO238" t="s">
        <v>56</v>
      </c>
      <c r="DP238" s="3" t="s">
        <v>56</v>
      </c>
      <c r="ED238" s="3" t="s">
        <v>56</v>
      </c>
    </row>
    <row r="239" spans="1:134">
      <c r="A239" t="str">
        <f>HYPERLINK(".\links\seq\TI_asb-405-seq.txt","TI_asb-405")</f>
        <v>TI_asb-405</v>
      </c>
      <c r="B239">
        <v>405</v>
      </c>
      <c r="C239" t="str">
        <f>HYPERLINK(".\links\tsa\TI_asb-405-tsa.txt","1")</f>
        <v>1</v>
      </c>
      <c r="D239">
        <v>1</v>
      </c>
      <c r="E239">
        <v>832</v>
      </c>
      <c r="G239" t="str">
        <f>HYPERLINK(".\links\qual\TI_asb-405-qual.txt","32")</f>
        <v>32</v>
      </c>
      <c r="H239">
        <v>1</v>
      </c>
      <c r="I239">
        <v>0</v>
      </c>
      <c r="J239">
        <f t="shared" si="12"/>
        <v>1</v>
      </c>
      <c r="K239" s="6">
        <f t="shared" si="13"/>
        <v>1</v>
      </c>
      <c r="L239" s="6" t="s">
        <v>4030</v>
      </c>
      <c r="M239" s="6" t="s">
        <v>3866</v>
      </c>
      <c r="N239" s="6" t="s">
        <v>3884</v>
      </c>
      <c r="O239" s="7">
        <v>6.9999999999999998E-57</v>
      </c>
      <c r="P239" s="6">
        <v>16.600000000000001</v>
      </c>
      <c r="Q239" s="3">
        <v>832</v>
      </c>
      <c r="R239" s="3">
        <v>489</v>
      </c>
      <c r="S239" s="6" t="s">
        <v>3718</v>
      </c>
      <c r="T239" s="3">
        <v>3</v>
      </c>
      <c r="U239" t="str">
        <f>HYPERLINK(".\links\NR-LIGHT\TI_asb-405-NR-LIGHT.txt","Cytoplasmic polyadenylation element-binding protein, putative")</f>
        <v>Cytoplasmic polyadenylation element-binding protein, putative</v>
      </c>
      <c r="V239" t="str">
        <f>HYPERLINK("http://www.ncbi.nlm.nih.gov/sutils/blink.cgi?pid=242019529","2E-058")</f>
        <v>2E-058</v>
      </c>
      <c r="W239" t="str">
        <f>HYPERLINK(".\links\NR-LIGHT\TI_asb-405-NR-LIGHT.txt"," 10")</f>
        <v xml:space="preserve"> 10</v>
      </c>
      <c r="X239" t="str">
        <f>HYPERLINK("http://www.ncbi.nlm.nih.gov/protein/242019529","gi|242019529")</f>
        <v>gi|242019529</v>
      </c>
      <c r="Y239">
        <v>228</v>
      </c>
      <c r="Z239">
        <v>146</v>
      </c>
      <c r="AA239">
        <v>375</v>
      </c>
      <c r="AB239">
        <v>71</v>
      </c>
      <c r="AC239">
        <v>39</v>
      </c>
      <c r="AD239">
        <v>42</v>
      </c>
      <c r="AE239">
        <v>0</v>
      </c>
      <c r="AF239">
        <v>217</v>
      </c>
      <c r="AG239">
        <v>39</v>
      </c>
      <c r="AH239">
        <v>1</v>
      </c>
      <c r="AI239">
        <v>3</v>
      </c>
      <c r="AJ239" t="s">
        <v>53</v>
      </c>
      <c r="AK239" t="s">
        <v>54</v>
      </c>
      <c r="AL239" t="s">
        <v>141</v>
      </c>
      <c r="AM239" t="str">
        <f>HYPERLINK(".\links\SWISSP\TI_asb-405-SWISSP.txt","Cytoplasmic polyadenylation element-binding protein 1-B OS=Xenopus laevis")</f>
        <v>Cytoplasmic polyadenylation element-binding protein 1-B OS=Xenopus laevis</v>
      </c>
      <c r="AN239" s="19" t="str">
        <f>HYPERLINK("http://www.uniprot.org/uniprot/Q52KN7","2E-056")</f>
        <v>2E-056</v>
      </c>
      <c r="AO239" t="str">
        <f>HYPERLINK(".\links\SWISSP\TI_asb-405-SWISSP.txt"," 10")</f>
        <v xml:space="preserve"> 10</v>
      </c>
      <c r="AP239" t="s">
        <v>2403</v>
      </c>
      <c r="AQ239">
        <v>219</v>
      </c>
      <c r="AR239">
        <v>140</v>
      </c>
      <c r="AS239">
        <v>568</v>
      </c>
      <c r="AT239">
        <v>70</v>
      </c>
      <c r="AU239">
        <v>25</v>
      </c>
      <c r="AV239">
        <v>41</v>
      </c>
      <c r="AW239">
        <v>0</v>
      </c>
      <c r="AX239">
        <v>425</v>
      </c>
      <c r="AY239">
        <v>36</v>
      </c>
      <c r="AZ239">
        <v>1</v>
      </c>
      <c r="BA239">
        <v>3</v>
      </c>
      <c r="BB239" t="s">
        <v>53</v>
      </c>
      <c r="BC239" t="s">
        <v>54</v>
      </c>
      <c r="BD239" t="s">
        <v>832</v>
      </c>
      <c r="BE239" t="s">
        <v>2404</v>
      </c>
      <c r="BF239" t="s">
        <v>2405</v>
      </c>
      <c r="BG239" t="str">
        <f>HYPERLINK(".\links\PREV-RHOD-PEP\TI_asb-405-PREV-RHOD-PEP.txt","Contig8391_3")</f>
        <v>Contig8391_3</v>
      </c>
      <c r="BH239" s="7">
        <v>5.9999999999999998E-56</v>
      </c>
      <c r="BI239" t="str">
        <f>HYPERLINK(".\links\PREV-RHOD-PEP\TI_asb-405-PREV-RHOD-PEP.txt"," 5")</f>
        <v xml:space="preserve"> 5</v>
      </c>
      <c r="BJ239" t="s">
        <v>2406</v>
      </c>
      <c r="BK239">
        <v>213</v>
      </c>
      <c r="BL239">
        <v>120</v>
      </c>
      <c r="BM239">
        <v>579</v>
      </c>
      <c r="BN239">
        <v>88</v>
      </c>
      <c r="BO239">
        <v>21</v>
      </c>
      <c r="BP239">
        <v>14</v>
      </c>
      <c r="BQ239">
        <v>5</v>
      </c>
      <c r="BR239">
        <v>438</v>
      </c>
      <c r="BS239">
        <v>18</v>
      </c>
      <c r="BT239">
        <v>1</v>
      </c>
      <c r="BU239" t="s">
        <v>54</v>
      </c>
      <c r="BV239" t="s">
        <v>2407</v>
      </c>
      <c r="BW239" t="s">
        <v>56</v>
      </c>
      <c r="BX239" t="str">
        <f>HYPERLINK(".\links\PREV-RHOD-CDS\TI_asb-405-PREV-RHOD-CDS.txt","Contig8391_3")</f>
        <v>Contig8391_3</v>
      </c>
      <c r="BY239" s="7">
        <v>1.0000000000000001E-111</v>
      </c>
      <c r="BZ239" t="s">
        <v>2406</v>
      </c>
      <c r="CA239">
        <v>402</v>
      </c>
      <c r="CB239">
        <v>294</v>
      </c>
      <c r="CC239">
        <v>1740</v>
      </c>
      <c r="CD239">
        <v>92</v>
      </c>
      <c r="CE239">
        <v>17</v>
      </c>
      <c r="CF239">
        <v>23</v>
      </c>
      <c r="CG239">
        <v>0</v>
      </c>
      <c r="CH239">
        <v>1378</v>
      </c>
      <c r="CI239">
        <v>69</v>
      </c>
      <c r="CJ239">
        <v>1</v>
      </c>
      <c r="CK239" t="s">
        <v>54</v>
      </c>
      <c r="CL239" t="s">
        <v>2408</v>
      </c>
      <c r="CM239">
        <f>HYPERLINK(".\links\GO\TI_asb-405-GO.txt",7E-57)</f>
        <v>6.9999999999999998E-57</v>
      </c>
      <c r="CN239" t="s">
        <v>2409</v>
      </c>
      <c r="CO239" t="s">
        <v>185</v>
      </c>
      <c r="CP239" t="s">
        <v>222</v>
      </c>
      <c r="CQ239" t="s">
        <v>2410</v>
      </c>
      <c r="CR239" s="7">
        <v>6.9999999999999998E-57</v>
      </c>
      <c r="CS239" t="s">
        <v>74</v>
      </c>
      <c r="CT239" t="s">
        <v>75</v>
      </c>
      <c r="CU239" t="s">
        <v>76</v>
      </c>
      <c r="CV239" t="s">
        <v>77</v>
      </c>
      <c r="CW239" s="7">
        <v>6.9999999999999998E-57</v>
      </c>
      <c r="CX239" t="s">
        <v>2411</v>
      </c>
      <c r="CY239" t="s">
        <v>185</v>
      </c>
      <c r="CZ239" t="s">
        <v>222</v>
      </c>
      <c r="DA239" t="s">
        <v>2412</v>
      </c>
      <c r="DB239" s="7">
        <v>6.9999999999999998E-57</v>
      </c>
      <c r="DC239" t="str">
        <f>HYPERLINK(".\links\CDD\TI_asb-405-CDD.txt","ND5")</f>
        <v>ND5</v>
      </c>
      <c r="DD239" t="str">
        <f>HYPERLINK("http://www.ncbi.nlm.nih.gov/Structure/cdd/cddsrv.cgi?uid=MTH00095&amp;version=v4.0","2E-005")</f>
        <v>2E-005</v>
      </c>
      <c r="DE239" t="s">
        <v>2413</v>
      </c>
      <c r="DF239" t="str">
        <f>HYPERLINK(".\links\PFAM\TI_asb-405-PFAM.txt","DUF443")</f>
        <v>DUF443</v>
      </c>
      <c r="DG239" t="str">
        <f>HYPERLINK("http://pfam.sanger.ac.uk/family?acc=PF04276","2E-004")</f>
        <v>2E-004</v>
      </c>
      <c r="DH239" t="str">
        <f>HYPERLINK(".\links\PRK\TI_asb-405-PRK.txt","NADH dehydrogenase subunit 5")</f>
        <v>NADH dehydrogenase subunit 5</v>
      </c>
      <c r="DI239" s="7">
        <v>6.0000000000000002E-6</v>
      </c>
      <c r="DJ239" s="6" t="str">
        <f>HYPERLINK(".\links\KOG\TI_asb-405-KOG.txt","Predicted RNA-binding protein (RRM superfamily)")</f>
        <v>Predicted RNA-binding protein (RRM superfamily)</v>
      </c>
      <c r="DK239" s="6" t="str">
        <f>HYPERLINK("http://www.ncbi.nlm.nih.gov/COG/grace/shokog.cgi?KOG0129","2E-048")</f>
        <v>2E-048</v>
      </c>
      <c r="DL239" s="6" t="s">
        <v>4333</v>
      </c>
      <c r="DM239" s="6" t="str">
        <f>HYPERLINK(".\links\KOG\TI_asb-405-KOG.txt","KOG0129")</f>
        <v>KOG0129</v>
      </c>
      <c r="DN239" t="str">
        <f>HYPERLINK(".\links\SMART\TI_asb-405-SMART.txt","PSN")</f>
        <v>PSN</v>
      </c>
      <c r="DO239" t="str">
        <f>HYPERLINK("http://smart.embl-heidelberg.de/smart/do_annotation.pl?DOMAIN=PSN&amp;BLAST=DUMMY","0.021")</f>
        <v>0.021</v>
      </c>
      <c r="DP239" s="3" t="s">
        <v>56</v>
      </c>
      <c r="ED239" s="3" t="s">
        <v>56</v>
      </c>
    </row>
    <row r="240" spans="1:134">
      <c r="A240" t="str">
        <f>HYPERLINK(".\links\seq\TI_asb-406-seq.txt","TI_asb-406")</f>
        <v>TI_asb-406</v>
      </c>
      <c r="B240">
        <v>406</v>
      </c>
      <c r="C240" t="str">
        <f>HYPERLINK(".\links\tsa\TI_asb-406-tsa.txt","1")</f>
        <v>1</v>
      </c>
      <c r="D240">
        <v>1</v>
      </c>
      <c r="E240">
        <v>332</v>
      </c>
      <c r="G240" t="str">
        <f>HYPERLINK(".\links\qual\TI_asb-406-qual.txt","25")</f>
        <v>25</v>
      </c>
      <c r="H240">
        <v>1</v>
      </c>
      <c r="I240">
        <v>0</v>
      </c>
      <c r="J240">
        <f t="shared" si="12"/>
        <v>1</v>
      </c>
      <c r="K240" s="6">
        <f t="shared" si="13"/>
        <v>1</v>
      </c>
      <c r="L240" s="6" t="s">
        <v>3932</v>
      </c>
      <c r="M240" s="6" t="s">
        <v>3912</v>
      </c>
      <c r="N240" s="6" t="str">
        <f>HYPERLINK(".\links\PFAM\TI_asb-406-PFAM.txt","PFAM")</f>
        <v>PFAM</v>
      </c>
      <c r="O240" s="6">
        <v>2E-8</v>
      </c>
      <c r="P240" s="6">
        <v>33.799999999999997</v>
      </c>
      <c r="Q240" s="3">
        <v>332</v>
      </c>
      <c r="R240" s="3">
        <v>147</v>
      </c>
      <c r="S240" s="3" t="s">
        <v>3719</v>
      </c>
      <c r="T240" s="3">
        <v>6</v>
      </c>
      <c r="U240" t="s">
        <v>56</v>
      </c>
      <c r="V240" t="s">
        <v>56</v>
      </c>
      <c r="W240" t="s">
        <v>56</v>
      </c>
      <c r="X240" t="s">
        <v>56</v>
      </c>
      <c r="Y240" t="s">
        <v>56</v>
      </c>
      <c r="Z240" t="s">
        <v>56</v>
      </c>
      <c r="AA240" t="s">
        <v>56</v>
      </c>
      <c r="AB240" t="s">
        <v>56</v>
      </c>
      <c r="AC240" t="s">
        <v>56</v>
      </c>
      <c r="AD240" t="s">
        <v>56</v>
      </c>
      <c r="AE240" t="s">
        <v>56</v>
      </c>
      <c r="AF240" t="s">
        <v>56</v>
      </c>
      <c r="AG240" t="s">
        <v>56</v>
      </c>
      <c r="AH240" t="s">
        <v>56</v>
      </c>
      <c r="AI240" t="s">
        <v>56</v>
      </c>
      <c r="AJ240" t="s">
        <v>56</v>
      </c>
      <c r="AK240" t="s">
        <v>56</v>
      </c>
      <c r="AL240" t="s">
        <v>56</v>
      </c>
      <c r="AM240" t="s">
        <v>56</v>
      </c>
      <c r="AN240" s="19" t="s">
        <v>56</v>
      </c>
      <c r="AO240" t="s">
        <v>56</v>
      </c>
      <c r="AP240" t="s">
        <v>56</v>
      </c>
      <c r="AQ240" t="s">
        <v>56</v>
      </c>
      <c r="AR240" t="s">
        <v>56</v>
      </c>
      <c r="AS240" t="s">
        <v>56</v>
      </c>
      <c r="AT240" t="s">
        <v>56</v>
      </c>
      <c r="AU240" t="s">
        <v>56</v>
      </c>
      <c r="AV240" t="s">
        <v>56</v>
      </c>
      <c r="AW240" t="s">
        <v>56</v>
      </c>
      <c r="AX240" t="s">
        <v>56</v>
      </c>
      <c r="AY240" t="s">
        <v>56</v>
      </c>
      <c r="AZ240" t="s">
        <v>56</v>
      </c>
      <c r="BA240" t="s">
        <v>56</v>
      </c>
      <c r="BB240" t="s">
        <v>56</v>
      </c>
      <c r="BC240" t="s">
        <v>56</v>
      </c>
      <c r="BD240" t="s">
        <v>56</v>
      </c>
      <c r="BE240" t="s">
        <v>56</v>
      </c>
      <c r="BF240" t="s">
        <v>56</v>
      </c>
      <c r="BG240" t="s">
        <v>56</v>
      </c>
      <c r="BH240" s="6" t="s">
        <v>56</v>
      </c>
      <c r="BI240" t="s">
        <v>56</v>
      </c>
      <c r="BJ240" t="s">
        <v>56</v>
      </c>
      <c r="BK240" t="s">
        <v>56</v>
      </c>
      <c r="BL240" t="s">
        <v>56</v>
      </c>
      <c r="BM240" t="s">
        <v>56</v>
      </c>
      <c r="BN240" t="s">
        <v>56</v>
      </c>
      <c r="BO240" t="s">
        <v>56</v>
      </c>
      <c r="BP240" t="s">
        <v>56</v>
      </c>
      <c r="BQ240" t="s">
        <v>56</v>
      </c>
      <c r="BR240" t="s">
        <v>56</v>
      </c>
      <c r="BS240" t="s">
        <v>56</v>
      </c>
      <c r="BT240" t="s">
        <v>56</v>
      </c>
      <c r="BU240" t="s">
        <v>56</v>
      </c>
      <c r="BV240" t="s">
        <v>56</v>
      </c>
      <c r="BW240" t="s">
        <v>56</v>
      </c>
      <c r="BX240" t="str">
        <f>HYPERLINK(".\links\PREV-RHOD-CDS\TI_asb-406-PREV-RHOD-CDS.txt","Contig17965_33")</f>
        <v>Contig17965_33</v>
      </c>
      <c r="BY240" s="6">
        <v>2.5</v>
      </c>
      <c r="BZ240" t="s">
        <v>2414</v>
      </c>
      <c r="CA240">
        <v>32.200000000000003</v>
      </c>
      <c r="CB240">
        <v>15</v>
      </c>
      <c r="CC240">
        <v>1557</v>
      </c>
      <c r="CD240">
        <v>100</v>
      </c>
      <c r="CE240">
        <v>1</v>
      </c>
      <c r="CF240">
        <v>0</v>
      </c>
      <c r="CG240">
        <v>0</v>
      </c>
      <c r="CH240">
        <v>180</v>
      </c>
      <c r="CI240">
        <v>40</v>
      </c>
      <c r="CJ240">
        <v>1</v>
      </c>
      <c r="CK240" t="s">
        <v>54</v>
      </c>
      <c r="CL240" t="s">
        <v>56</v>
      </c>
      <c r="CM240" t="s">
        <v>56</v>
      </c>
      <c r="CN240" t="s">
        <v>56</v>
      </c>
      <c r="CO240" t="s">
        <v>56</v>
      </c>
      <c r="CP240" t="s">
        <v>56</v>
      </c>
      <c r="CQ240" t="s">
        <v>56</v>
      </c>
      <c r="CR240" s="6" t="s">
        <v>56</v>
      </c>
      <c r="CS240" t="s">
        <v>56</v>
      </c>
      <c r="CT240" t="s">
        <v>56</v>
      </c>
      <c r="CU240" t="s">
        <v>56</v>
      </c>
      <c r="CV240" t="s">
        <v>56</v>
      </c>
      <c r="CW240" s="6" t="s">
        <v>56</v>
      </c>
      <c r="CX240" t="s">
        <v>56</v>
      </c>
      <c r="CY240" t="s">
        <v>56</v>
      </c>
      <c r="CZ240" t="s">
        <v>56</v>
      </c>
      <c r="DA240" t="s">
        <v>56</v>
      </c>
      <c r="DB240" s="6" t="s">
        <v>56</v>
      </c>
      <c r="DC240" t="str">
        <f>HYPERLINK(".\links\CDD\TI_asb-406-CDD.txt","7TM_GPCR_Srz")</f>
        <v>7TM_GPCR_Srz</v>
      </c>
      <c r="DD240" t="str">
        <f>HYPERLINK("http://www.ncbi.nlm.nih.gov/Structure/cdd/cddsrv.cgi?uid=pfam10325&amp;version=v4.0","7E-008")</f>
        <v>7E-008</v>
      </c>
      <c r="DE240" t="s">
        <v>2415</v>
      </c>
      <c r="DF240" t="str">
        <f>HYPERLINK(".\links\PFAM\TI_asb-406-PFAM.txt","7TM_GPCR_Srz")</f>
        <v>7TM_GPCR_Srz</v>
      </c>
      <c r="DG240" t="str">
        <f>HYPERLINK("http://pfam.sanger.ac.uk/family?acc=PF10325","2E-008")</f>
        <v>2E-008</v>
      </c>
      <c r="DH240" t="str">
        <f>HYPERLINK(".\links\PRK\TI_asb-406-PRK.txt","NADH dehydrogenase subunit 6")</f>
        <v>NADH dehydrogenase subunit 6</v>
      </c>
      <c r="DI240" s="7">
        <v>5.9999999999999997E-7</v>
      </c>
      <c r="DJ240" s="6" t="str">
        <f>HYPERLINK(".\links\KOG\TI_asb-406-KOG.txt","ATP synthase F0 subunit 6 and related proteins")</f>
        <v>ATP synthase F0 subunit 6 and related proteins</v>
      </c>
      <c r="DK240" s="6" t="str">
        <f>HYPERLINK("http://www.ncbi.nlm.nih.gov/COG/grace/shokog.cgi?KOG4665","5E-004")</f>
        <v>5E-004</v>
      </c>
      <c r="DL240" s="6" t="s">
        <v>4349</v>
      </c>
      <c r="DM240" s="6" t="str">
        <f>HYPERLINK(".\links\KOG\TI_asb-406-KOG.txt","KOG4665")</f>
        <v>KOG4665</v>
      </c>
      <c r="DN240" t="str">
        <f>HYPERLINK(".\links\SMART\TI_asb-406-SMART.txt","PSN")</f>
        <v>PSN</v>
      </c>
      <c r="DO240" t="str">
        <f>HYPERLINK("http://smart.embl-heidelberg.de/smart/do_annotation.pl?DOMAIN=PSN&amp;BLAST=DUMMY","1E-004")</f>
        <v>1E-004</v>
      </c>
      <c r="DP240" s="3" t="s">
        <v>56</v>
      </c>
      <c r="ED240" s="3" t="s">
        <v>56</v>
      </c>
    </row>
    <row r="241" spans="1:147">
      <c r="A241" t="str">
        <f>HYPERLINK(".\links\seq\TI_asb-407-seq.txt","TI_asb-407")</f>
        <v>TI_asb-407</v>
      </c>
      <c r="B241">
        <v>407</v>
      </c>
      <c r="C241" t="str">
        <f>HYPERLINK(".\links\tsa\TI_asb-407-tsa.txt","1")</f>
        <v>1</v>
      </c>
      <c r="D241">
        <v>1</v>
      </c>
      <c r="E241">
        <v>328</v>
      </c>
      <c r="G241" t="str">
        <f>HYPERLINK(".\links\qual\TI_asb-407-qual.txt","31")</f>
        <v>31</v>
      </c>
      <c r="H241">
        <v>1</v>
      </c>
      <c r="I241">
        <v>0</v>
      </c>
      <c r="J241">
        <f t="shared" si="12"/>
        <v>1</v>
      </c>
      <c r="K241" s="6">
        <f t="shared" si="13"/>
        <v>1</v>
      </c>
      <c r="L241" s="6" t="s">
        <v>3888</v>
      </c>
      <c r="M241" s="6" t="s">
        <v>3886</v>
      </c>
      <c r="N241" s="6" t="s">
        <v>3872</v>
      </c>
      <c r="O241" s="6">
        <v>0</v>
      </c>
      <c r="P241" s="6">
        <v>6.7</v>
      </c>
      <c r="Q241" s="3">
        <v>328</v>
      </c>
      <c r="R241" s="3">
        <v>177</v>
      </c>
      <c r="S241" s="6" t="s">
        <v>3720</v>
      </c>
      <c r="T241" s="3">
        <v>2</v>
      </c>
      <c r="U241" t="str">
        <f>HYPERLINK(".\links\NR-LIGHT\TI_asb-407-NR-LIGHT.txt","Aquaporin AQPcic, putative")</f>
        <v>Aquaporin AQPcic, putative</v>
      </c>
      <c r="V241" t="str">
        <f>HYPERLINK("http://www.ncbi.nlm.nih.gov/sutils/blink.cgi?pid=242018018","5E-013")</f>
        <v>5E-013</v>
      </c>
      <c r="W241" t="str">
        <f>HYPERLINK(".\links\NR-LIGHT\TI_asb-407-NR-LIGHT.txt"," 10")</f>
        <v xml:space="preserve"> 10</v>
      </c>
      <c r="X241" t="str">
        <f>HYPERLINK("http://www.ncbi.nlm.nih.gov/protein/242018018","gi|242018018")</f>
        <v>gi|242018018</v>
      </c>
      <c r="Y241">
        <v>75.5</v>
      </c>
      <c r="Z241">
        <v>52</v>
      </c>
      <c r="AA241">
        <v>263</v>
      </c>
      <c r="AB241">
        <v>65</v>
      </c>
      <c r="AC241">
        <v>20</v>
      </c>
      <c r="AD241">
        <v>18</v>
      </c>
      <c r="AE241">
        <v>0</v>
      </c>
      <c r="AF241">
        <v>198</v>
      </c>
      <c r="AG241">
        <v>1</v>
      </c>
      <c r="AH241">
        <v>1</v>
      </c>
      <c r="AI241">
        <v>1</v>
      </c>
      <c r="AJ241" t="s">
        <v>53</v>
      </c>
      <c r="AK241" t="s">
        <v>54</v>
      </c>
      <c r="AL241" t="s">
        <v>141</v>
      </c>
      <c r="AM241" t="str">
        <f>HYPERLINK(".\links\SWISSP\TI_asb-407-SWISSP.txt","Aquaporin-4 OS=Mus musculus GN=Aqp4 PE=2 SV=2")</f>
        <v>Aquaporin-4 OS=Mus musculus GN=Aqp4 PE=2 SV=2</v>
      </c>
      <c r="AN241" s="19" t="str">
        <f>HYPERLINK("http://www.uniprot.org/uniprot/P55088","1E-010")</f>
        <v>1E-010</v>
      </c>
      <c r="AO241" t="str">
        <f>HYPERLINK(".\links\SWISSP\TI_asb-407-SWISSP.txt"," 10")</f>
        <v xml:space="preserve"> 10</v>
      </c>
      <c r="AP241" t="s">
        <v>2416</v>
      </c>
      <c r="AQ241">
        <v>65.5</v>
      </c>
      <c r="AR241">
        <v>51</v>
      </c>
      <c r="AS241">
        <v>323</v>
      </c>
      <c r="AT241">
        <v>50</v>
      </c>
      <c r="AU241">
        <v>16</v>
      </c>
      <c r="AV241">
        <v>25</v>
      </c>
      <c r="AW241">
        <v>0</v>
      </c>
      <c r="AX241">
        <v>210</v>
      </c>
      <c r="AY241">
        <v>1</v>
      </c>
      <c r="AZ241">
        <v>1</v>
      </c>
      <c r="BA241">
        <v>1</v>
      </c>
      <c r="BB241" t="s">
        <v>53</v>
      </c>
      <c r="BC241" t="s">
        <v>54</v>
      </c>
      <c r="BD241" t="s">
        <v>214</v>
      </c>
      <c r="BE241" t="s">
        <v>2417</v>
      </c>
      <c r="BF241" t="s">
        <v>2418</v>
      </c>
      <c r="BG241" t="str">
        <f>HYPERLINK(".\links\PREV-RHOD-PEP\TI_asb-407-PREV-RHOD-PEP.txt","Contig4234_4")</f>
        <v>Contig4234_4</v>
      </c>
      <c r="BH241" s="7">
        <v>4.0000000000000002E-22</v>
      </c>
      <c r="BI241" t="str">
        <f>HYPERLINK(".\links\PREV-RHOD-PEP\TI_asb-407-PREV-RHOD-PEP.txt"," 10")</f>
        <v xml:space="preserve"> 10</v>
      </c>
      <c r="BJ241" t="s">
        <v>2419</v>
      </c>
      <c r="BK241">
        <v>99.8</v>
      </c>
      <c r="BL241">
        <v>50</v>
      </c>
      <c r="BM241">
        <v>326</v>
      </c>
      <c r="BN241">
        <v>92</v>
      </c>
      <c r="BO241">
        <v>15</v>
      </c>
      <c r="BP241">
        <v>4</v>
      </c>
      <c r="BQ241">
        <v>0</v>
      </c>
      <c r="BR241">
        <v>154</v>
      </c>
      <c r="BS241">
        <v>1</v>
      </c>
      <c r="BT241">
        <v>1</v>
      </c>
      <c r="BU241" t="s">
        <v>54</v>
      </c>
      <c r="BV241" t="s">
        <v>2420</v>
      </c>
      <c r="BW241" t="s">
        <v>56</v>
      </c>
      <c r="BX241" t="str">
        <f>HYPERLINK(".\links\PREV-RHOD-CDS\TI_asb-407-PREV-RHOD-CDS.txt","Contig4234_4")</f>
        <v>Contig4234_4</v>
      </c>
      <c r="BY241" s="7">
        <v>2.9999999999999999E-21</v>
      </c>
      <c r="BZ241" t="s">
        <v>2419</v>
      </c>
      <c r="CA241">
        <v>101</v>
      </c>
      <c r="CB241">
        <v>146</v>
      </c>
      <c r="CC241">
        <v>981</v>
      </c>
      <c r="CD241">
        <v>83</v>
      </c>
      <c r="CE241">
        <v>15</v>
      </c>
      <c r="CF241">
        <v>24</v>
      </c>
      <c r="CG241">
        <v>0</v>
      </c>
      <c r="CH241">
        <v>463</v>
      </c>
      <c r="CI241">
        <v>4</v>
      </c>
      <c r="CJ241">
        <v>1</v>
      </c>
      <c r="CK241" t="s">
        <v>54</v>
      </c>
      <c r="CL241" t="s">
        <v>2421</v>
      </c>
      <c r="CM241">
        <f>HYPERLINK(".\links\GO\TI_asb-407-GO.txt",0.00000000001)</f>
        <v>9.9999999999999994E-12</v>
      </c>
      <c r="CN241" t="s">
        <v>2422</v>
      </c>
      <c r="CO241" t="s">
        <v>88</v>
      </c>
      <c r="CP241" t="s">
        <v>276</v>
      </c>
      <c r="CQ241" t="s">
        <v>2423</v>
      </c>
      <c r="CR241" s="6">
        <v>1.9999999999999999E-11</v>
      </c>
      <c r="CS241" t="s">
        <v>277</v>
      </c>
      <c r="CT241" t="s">
        <v>75</v>
      </c>
      <c r="CU241" t="s">
        <v>92</v>
      </c>
      <c r="CV241" t="s">
        <v>278</v>
      </c>
      <c r="CW241" s="6">
        <v>1.9999999999999999E-11</v>
      </c>
      <c r="CX241" t="s">
        <v>1088</v>
      </c>
      <c r="CY241" t="s">
        <v>88</v>
      </c>
      <c r="CZ241" t="s">
        <v>276</v>
      </c>
      <c r="DA241" t="s">
        <v>1089</v>
      </c>
      <c r="DB241" s="6">
        <v>1.9999999999999999E-11</v>
      </c>
      <c r="DC241" t="str">
        <f>HYPERLINK(".\links\CDD\TI_asb-407-CDD.txt","MIP")</f>
        <v>MIP</v>
      </c>
      <c r="DD241" t="str">
        <f>HYPERLINK("http://www.ncbi.nlm.nih.gov/Structure/cdd/cddsrv.cgi?uid=pfam00230&amp;version=v4.0","7E-014")</f>
        <v>7E-014</v>
      </c>
      <c r="DE241" t="s">
        <v>2424</v>
      </c>
      <c r="DF241" t="str">
        <f>HYPERLINK(".\links\PFAM\TI_asb-407-PFAM.txt","MIP")</f>
        <v>MIP</v>
      </c>
      <c r="DG241" t="str">
        <f>HYPERLINK("http://pfam.sanger.ac.uk/family?acc=PF00230","3E-015")</f>
        <v>3E-015</v>
      </c>
      <c r="DH241" t="str">
        <f>HYPERLINK(".\links\PRK\TI_asb-407-PRK.txt","aquaporin TIP")</f>
        <v>aquaporin TIP</v>
      </c>
      <c r="DI241" s="7">
        <v>9.9999999999999998E-13</v>
      </c>
      <c r="DJ241" s="6" t="str">
        <f>HYPERLINK(".\links\KOG\TI_asb-407-KOG.txt","Nuclear protein, contains WD40 repeats")</f>
        <v>Nuclear protein, contains WD40 repeats</v>
      </c>
      <c r="DK241" s="6" t="str">
        <f>HYPERLINK("http://www.ncbi.nlm.nih.gov/COG/grace/shokog.cgi?KOG1916","0.0")</f>
        <v>0.0</v>
      </c>
      <c r="DL241" s="6" t="s">
        <v>4337</v>
      </c>
      <c r="DM241" s="6" t="str">
        <f>HYPERLINK(".\links\KOG\TI_asb-407-KOG.txt","KOG1916")</f>
        <v>KOG1916</v>
      </c>
      <c r="DN241" t="str">
        <f>HYPERLINK(".\links\SMART\TI_asb-407-SMART.txt","PTB")</f>
        <v>PTB</v>
      </c>
      <c r="DO241" t="str">
        <f>HYPERLINK("http://smart.embl-heidelberg.de/smart/do_annotation.pl?DOMAIN=PTB&amp;BLAST=DUMMY","0.012")</f>
        <v>0.012</v>
      </c>
      <c r="DP241" s="3" t="s">
        <v>56</v>
      </c>
      <c r="ED241" s="3" t="s">
        <v>56</v>
      </c>
    </row>
    <row r="242" spans="1:147">
      <c r="A242" t="str">
        <f>HYPERLINK(".\links\seq\TI_asb-408-seq.txt","TI_asb-408")</f>
        <v>TI_asb-408</v>
      </c>
      <c r="B242">
        <v>408</v>
      </c>
      <c r="C242" t="str">
        <f>HYPERLINK(".\links\tsa\TI_asb-408-tsa.txt","1")</f>
        <v>1</v>
      </c>
      <c r="D242">
        <v>1</v>
      </c>
      <c r="E242">
        <v>386</v>
      </c>
      <c r="G242" t="str">
        <f>HYPERLINK(".\links\qual\TI_asb-408-qual.txt","14")</f>
        <v>14</v>
      </c>
      <c r="H242">
        <v>1</v>
      </c>
      <c r="I242">
        <v>0</v>
      </c>
      <c r="J242">
        <f t="shared" si="12"/>
        <v>1</v>
      </c>
      <c r="K242" s="6">
        <f t="shared" si="13"/>
        <v>1</v>
      </c>
      <c r="L242" s="6" t="s">
        <v>3868</v>
      </c>
      <c r="M242" s="6" t="s">
        <v>3869</v>
      </c>
      <c r="N242" s="6"/>
      <c r="O242" s="6"/>
      <c r="P242" s="6"/>
      <c r="Q242" s="3">
        <v>386</v>
      </c>
      <c r="R242" s="3">
        <v>162</v>
      </c>
      <c r="S242" s="6" t="s">
        <v>3721</v>
      </c>
      <c r="T242" s="3">
        <v>4</v>
      </c>
      <c r="U242" t="str">
        <f>HYPERLINK(".\links\NR-LIGHT\TI_asb-408-NR-LIGHT.txt","polyprotein")</f>
        <v>polyprotein</v>
      </c>
      <c r="V242" t="str">
        <f>HYPERLINK("http://www.ncbi.nlm.nih.gov/sutils/blink.cgi?pid=297578409","0.001")</f>
        <v>0.001</v>
      </c>
      <c r="W242" t="str">
        <f>HYPERLINK(".\links\NR-LIGHT\TI_asb-408-NR-LIGHT.txt"," 10")</f>
        <v xml:space="preserve"> 10</v>
      </c>
      <c r="X242" t="str">
        <f>HYPERLINK("http://www.ncbi.nlm.nih.gov/protein/297578409","gi|297578409")</f>
        <v>gi|297578409</v>
      </c>
      <c r="Y242">
        <v>44.3</v>
      </c>
      <c r="Z242">
        <v>96</v>
      </c>
      <c r="AA242">
        <v>2964</v>
      </c>
      <c r="AB242">
        <v>32</v>
      </c>
      <c r="AC242">
        <v>3</v>
      </c>
      <c r="AD242">
        <v>65</v>
      </c>
      <c r="AE242">
        <v>0</v>
      </c>
      <c r="AF242">
        <v>2626</v>
      </c>
      <c r="AG242">
        <v>82</v>
      </c>
      <c r="AH242">
        <v>1</v>
      </c>
      <c r="AI242">
        <v>1</v>
      </c>
      <c r="AJ242" t="s">
        <v>53</v>
      </c>
      <c r="AK242" t="s">
        <v>54</v>
      </c>
      <c r="AL242" t="s">
        <v>1431</v>
      </c>
      <c r="AM242" t="str">
        <f>HYPERLINK(".\links\SWISSP\TI_asb-408-SWISSP.txt","30S ribosomal protein S11 OS=Synechococcus sp. GN=rpsK PE=3 SV=1")</f>
        <v>30S ribosomal protein S11 OS=Synechococcus sp. GN=rpsK PE=3 SV=1</v>
      </c>
      <c r="AN242" s="19" t="str">
        <f>HYPERLINK("http://www.uniprot.org/uniprot/Q2JL75","2.1")</f>
        <v>2.1</v>
      </c>
      <c r="AO242" t="str">
        <f>HYPERLINK(".\links\SWISSP\TI_asb-408-SWISSP.txt"," 3")</f>
        <v xml:space="preserve"> 3</v>
      </c>
      <c r="AP242" t="s">
        <v>2425</v>
      </c>
      <c r="AQ242">
        <v>31.2</v>
      </c>
      <c r="AR242">
        <v>72</v>
      </c>
      <c r="AS242">
        <v>128</v>
      </c>
      <c r="AT242">
        <v>34</v>
      </c>
      <c r="AU242">
        <v>56</v>
      </c>
      <c r="AV242">
        <v>47</v>
      </c>
      <c r="AW242">
        <v>3</v>
      </c>
      <c r="AX242">
        <v>14</v>
      </c>
      <c r="AY242">
        <v>156</v>
      </c>
      <c r="AZ242">
        <v>1</v>
      </c>
      <c r="BA242">
        <v>-1</v>
      </c>
      <c r="BB242" t="s">
        <v>53</v>
      </c>
      <c r="BC242" t="s">
        <v>64</v>
      </c>
      <c r="BD242" t="s">
        <v>2426</v>
      </c>
      <c r="BE242" t="s">
        <v>2427</v>
      </c>
      <c r="BF242" t="s">
        <v>2428</v>
      </c>
      <c r="BG242" t="str">
        <f>HYPERLINK(".\links\PREV-RHOD-PEP\TI_asb-408-PREV-RHOD-PEP.txt","Contig17900_121")</f>
        <v>Contig17900_121</v>
      </c>
      <c r="BH242" s="6">
        <v>6.5</v>
      </c>
      <c r="BI242" t="str">
        <f>HYPERLINK(".\links\PREV-RHOD-PEP\TI_asb-408-PREV-RHOD-PEP.txt"," 3")</f>
        <v xml:space="preserve"> 3</v>
      </c>
      <c r="BJ242" t="s">
        <v>2429</v>
      </c>
      <c r="BK242">
        <v>25.8</v>
      </c>
      <c r="BL242">
        <v>32</v>
      </c>
      <c r="BM242">
        <v>250</v>
      </c>
      <c r="BN242">
        <v>31</v>
      </c>
      <c r="BO242">
        <v>13</v>
      </c>
      <c r="BP242">
        <v>22</v>
      </c>
      <c r="BQ242">
        <v>1</v>
      </c>
      <c r="BR242">
        <v>88</v>
      </c>
      <c r="BS242">
        <v>107</v>
      </c>
      <c r="BT242">
        <v>1</v>
      </c>
      <c r="BU242" t="s">
        <v>54</v>
      </c>
      <c r="BV242" t="s">
        <v>2430</v>
      </c>
      <c r="BW242" t="s">
        <v>56</v>
      </c>
      <c r="BX242" t="str">
        <f>HYPERLINK(".\links\PREV-RHOD-CDS\TI_asb-408-PREV-RHOD-CDS.txt","Contig1978_6")</f>
        <v>Contig1978_6</v>
      </c>
      <c r="BY242" s="6">
        <v>0.19</v>
      </c>
      <c r="BZ242" t="s">
        <v>2431</v>
      </c>
      <c r="CA242">
        <v>36.200000000000003</v>
      </c>
      <c r="CB242">
        <v>17</v>
      </c>
      <c r="CC242">
        <v>1389</v>
      </c>
      <c r="CD242">
        <v>100</v>
      </c>
      <c r="CE242">
        <v>1</v>
      </c>
      <c r="CF242">
        <v>0</v>
      </c>
      <c r="CG242">
        <v>0</v>
      </c>
      <c r="CH242">
        <v>676</v>
      </c>
      <c r="CI242">
        <v>91</v>
      </c>
      <c r="CJ242">
        <v>1</v>
      </c>
      <c r="CK242" t="s">
        <v>54</v>
      </c>
      <c r="CL242" t="s">
        <v>56</v>
      </c>
      <c r="CM242" t="s">
        <v>56</v>
      </c>
      <c r="CN242" t="s">
        <v>56</v>
      </c>
      <c r="CO242" t="s">
        <v>56</v>
      </c>
      <c r="CP242" t="s">
        <v>56</v>
      </c>
      <c r="CQ242" t="s">
        <v>56</v>
      </c>
      <c r="CR242" s="6" t="s">
        <v>56</v>
      </c>
      <c r="CS242" t="s">
        <v>56</v>
      </c>
      <c r="CT242" t="s">
        <v>56</v>
      </c>
      <c r="CU242" t="s">
        <v>56</v>
      </c>
      <c r="CV242" t="s">
        <v>56</v>
      </c>
      <c r="CW242" s="6" t="s">
        <v>56</v>
      </c>
      <c r="CX242" t="s">
        <v>56</v>
      </c>
      <c r="CY242" t="s">
        <v>56</v>
      </c>
      <c r="CZ242" t="s">
        <v>56</v>
      </c>
      <c r="DA242" t="s">
        <v>56</v>
      </c>
      <c r="DB242" s="6" t="s">
        <v>56</v>
      </c>
      <c r="DC242" t="s">
        <v>56</v>
      </c>
      <c r="DD242" t="s">
        <v>56</v>
      </c>
      <c r="DE242" t="s">
        <v>56</v>
      </c>
      <c r="DF242" t="s">
        <v>56</v>
      </c>
      <c r="DG242" t="s">
        <v>56</v>
      </c>
      <c r="DH242" t="s">
        <v>56</v>
      </c>
      <c r="DI242" s="6" t="s">
        <v>56</v>
      </c>
      <c r="DJ242" s="6" t="s">
        <v>56</v>
      </c>
      <c r="DN242" t="s">
        <v>56</v>
      </c>
      <c r="DO242" t="s">
        <v>56</v>
      </c>
      <c r="DP242" s="3" t="s">
        <v>56</v>
      </c>
      <c r="ED242" s="3" t="s">
        <v>56</v>
      </c>
    </row>
    <row r="243" spans="1:147">
      <c r="A243" t="str">
        <f>HYPERLINK(".\links\seq\TI_asb-409-seq.txt","TI_asb-409")</f>
        <v>TI_asb-409</v>
      </c>
      <c r="B243">
        <v>409</v>
      </c>
      <c r="C243" t="str">
        <f>HYPERLINK(".\links\tsa\TI_asb-409-tsa.txt","1")</f>
        <v>1</v>
      </c>
      <c r="D243">
        <v>1</v>
      </c>
      <c r="E243">
        <v>522</v>
      </c>
      <c r="G243" t="str">
        <f>HYPERLINK(".\links\qual\TI_asb-409-qual.txt","38")</f>
        <v>38</v>
      </c>
      <c r="H243">
        <v>1</v>
      </c>
      <c r="I243">
        <v>0</v>
      </c>
      <c r="J243">
        <f t="shared" si="12"/>
        <v>1</v>
      </c>
      <c r="K243" s="6">
        <f t="shared" si="13"/>
        <v>1</v>
      </c>
      <c r="L243" s="6" t="s">
        <v>4031</v>
      </c>
      <c r="M243" s="6" t="s">
        <v>3886</v>
      </c>
      <c r="N243" s="6" t="s">
        <v>3867</v>
      </c>
      <c r="O243" s="7">
        <v>6.9999999999999996E-47</v>
      </c>
      <c r="P243" s="6">
        <v>63.3</v>
      </c>
      <c r="Q243" s="3">
        <v>522</v>
      </c>
      <c r="R243" s="3">
        <v>285</v>
      </c>
      <c r="S243" s="3" t="s">
        <v>3722</v>
      </c>
      <c r="T243" s="3">
        <v>5</v>
      </c>
      <c r="U243" t="str">
        <f>HYPERLINK(".\links\NR-LIGHT\TI_asb-409-NR-LIGHT.txt","pre-mRNA-splicing factor cwc15, putative")</f>
        <v>pre-mRNA-splicing factor cwc15, putative</v>
      </c>
      <c r="V243" t="str">
        <f>HYPERLINK("http://www.ncbi.nlm.nih.gov/sutils/blink.cgi?pid=242007951","1E-020")</f>
        <v>1E-020</v>
      </c>
      <c r="W243" t="str">
        <f>HYPERLINK(".\links\NR-LIGHT\TI_asb-409-NR-LIGHT.txt"," 10")</f>
        <v xml:space="preserve"> 10</v>
      </c>
      <c r="X243" t="str">
        <f>HYPERLINK("http://www.ncbi.nlm.nih.gov/protein/242007951","gi|242007951")</f>
        <v>gi|242007951</v>
      </c>
      <c r="Y243">
        <v>101</v>
      </c>
      <c r="Z243">
        <v>50</v>
      </c>
      <c r="AA243">
        <v>232</v>
      </c>
      <c r="AB243">
        <v>96</v>
      </c>
      <c r="AC243">
        <v>22</v>
      </c>
      <c r="AD243">
        <v>2</v>
      </c>
      <c r="AE243">
        <v>0</v>
      </c>
      <c r="AF243">
        <v>1</v>
      </c>
      <c r="AG243">
        <v>121</v>
      </c>
      <c r="AH243">
        <v>1</v>
      </c>
      <c r="AI243">
        <v>1</v>
      </c>
      <c r="AJ243" t="s">
        <v>53</v>
      </c>
      <c r="AK243" t="s">
        <v>54</v>
      </c>
      <c r="AL243" t="s">
        <v>141</v>
      </c>
      <c r="AM243" t="str">
        <f>HYPERLINK(".\links\SWISSP\TI_asb-409-SWISSP.txt","Protein CWC15 homolog OS=Drosophila melanogaster GN=c12.1 PE=1 SV=1")</f>
        <v>Protein CWC15 homolog OS=Drosophila melanogaster GN=c12.1 PE=1 SV=1</v>
      </c>
      <c r="AN243" s="19" t="str">
        <f>HYPERLINK("http://www.uniprot.org/uniprot/Q9V3B6","3E-019")</f>
        <v>3E-019</v>
      </c>
      <c r="AO243" t="str">
        <f>HYPERLINK(".\links\SWISSP\TI_asb-409-SWISSP.txt"," 10")</f>
        <v xml:space="preserve"> 10</v>
      </c>
      <c r="AP243" t="s">
        <v>2432</v>
      </c>
      <c r="AQ243">
        <v>94.7</v>
      </c>
      <c r="AR243">
        <v>50</v>
      </c>
      <c r="AS243">
        <v>259</v>
      </c>
      <c r="AT243">
        <v>88</v>
      </c>
      <c r="AU243">
        <v>19</v>
      </c>
      <c r="AV243">
        <v>6</v>
      </c>
      <c r="AW243">
        <v>0</v>
      </c>
      <c r="AX243">
        <v>1</v>
      </c>
      <c r="AY243">
        <v>121</v>
      </c>
      <c r="AZ243">
        <v>1</v>
      </c>
      <c r="BA243">
        <v>1</v>
      </c>
      <c r="BB243" t="s">
        <v>53</v>
      </c>
      <c r="BC243" t="s">
        <v>54</v>
      </c>
      <c r="BD243" t="s">
        <v>143</v>
      </c>
      <c r="BE243" t="s">
        <v>2433</v>
      </c>
      <c r="BF243" t="s">
        <v>2434</v>
      </c>
      <c r="BG243" t="str">
        <f>HYPERLINK(".\links\PREV-RHOD-PEP\TI_asb-409-PREV-RHOD-PEP.txt","Contig17852_77")</f>
        <v>Contig17852_77</v>
      </c>
      <c r="BH243" s="7">
        <v>1.9999999999999999E-28</v>
      </c>
      <c r="BI243" t="str">
        <f>HYPERLINK(".\links\PREV-RHOD-PEP\TI_asb-409-PREV-RHOD-PEP.txt"," 10")</f>
        <v xml:space="preserve"> 10</v>
      </c>
      <c r="BJ243" t="s">
        <v>2435</v>
      </c>
      <c r="BK243">
        <v>121</v>
      </c>
      <c r="BL243">
        <v>134</v>
      </c>
      <c r="BM243">
        <v>215</v>
      </c>
      <c r="BN243">
        <v>53</v>
      </c>
      <c r="BO243">
        <v>62</v>
      </c>
      <c r="BP243">
        <v>62</v>
      </c>
      <c r="BQ243">
        <v>0</v>
      </c>
      <c r="BR243">
        <v>1</v>
      </c>
      <c r="BS243">
        <v>121</v>
      </c>
      <c r="BT243">
        <v>1</v>
      </c>
      <c r="BU243" t="s">
        <v>54</v>
      </c>
      <c r="BV243" t="s">
        <v>2436</v>
      </c>
      <c r="BW243" t="s">
        <v>56</v>
      </c>
      <c r="BX243" t="str">
        <f>HYPERLINK(".\links\PREV-RHOD-CDS\TI_asb-409-PREV-RHOD-CDS.txt","Contig17852_77")</f>
        <v>Contig17852_77</v>
      </c>
      <c r="BY243" s="7">
        <v>1E-58</v>
      </c>
      <c r="BZ243" t="s">
        <v>2435</v>
      </c>
      <c r="CA243">
        <v>226</v>
      </c>
      <c r="CB243">
        <v>388</v>
      </c>
      <c r="CC243">
        <v>648</v>
      </c>
      <c r="CD243">
        <v>91</v>
      </c>
      <c r="CE243">
        <v>60</v>
      </c>
      <c r="CF243">
        <v>14</v>
      </c>
      <c r="CG243">
        <v>0</v>
      </c>
      <c r="CH243">
        <v>1</v>
      </c>
      <c r="CI243">
        <v>121</v>
      </c>
      <c r="CJ243">
        <v>2</v>
      </c>
      <c r="CK243" t="s">
        <v>54</v>
      </c>
      <c r="CL243" t="s">
        <v>2437</v>
      </c>
      <c r="CM243">
        <f>HYPERLINK(".\links\GO\TI_asb-409-GO.txt",8E-20)</f>
        <v>7.9999999999999996E-20</v>
      </c>
      <c r="CN243" t="s">
        <v>58</v>
      </c>
      <c r="CO243" t="s">
        <v>58</v>
      </c>
      <c r="CQ243" t="s">
        <v>59</v>
      </c>
      <c r="CR243" s="6">
        <v>1.0000000000000001E-15</v>
      </c>
      <c r="CS243" t="s">
        <v>60</v>
      </c>
      <c r="CT243" t="s">
        <v>60</v>
      </c>
      <c r="CV243" t="s">
        <v>61</v>
      </c>
      <c r="CW243" s="6">
        <v>1.0000000000000001E-15</v>
      </c>
      <c r="CX243" t="s">
        <v>1313</v>
      </c>
      <c r="CY243" t="s">
        <v>58</v>
      </c>
      <c r="DA243" t="s">
        <v>1314</v>
      </c>
      <c r="DB243" s="6">
        <v>1.0000000000000001E-15</v>
      </c>
      <c r="DC243" t="str">
        <f>HYPERLINK(".\links\CDD\TI_asb-409-CDD.txt","Cwf_Cwc_15")</f>
        <v>Cwf_Cwc_15</v>
      </c>
      <c r="DD243" t="str">
        <f>HYPERLINK("http://www.ncbi.nlm.nih.gov/Structure/cdd/cddsrv.cgi?uid=pfam04889&amp;version=v4.0","3E-046")</f>
        <v>3E-046</v>
      </c>
      <c r="DE243" t="s">
        <v>2438</v>
      </c>
      <c r="DF243" t="str">
        <f>HYPERLINK(".\links\PFAM\TI_asb-409-PFAM.txt","Cwf_Cwc_15")</f>
        <v>Cwf_Cwc_15</v>
      </c>
      <c r="DG243" t="str">
        <f>HYPERLINK("http://pfam.sanger.ac.uk/family?acc=PF04889","7E-047")</f>
        <v>7E-047</v>
      </c>
      <c r="DH243" t="str">
        <f>HYPERLINK(".\links\PRK\TI_asb-409-PRK.txt","US22 family homolog")</f>
        <v>US22 family homolog</v>
      </c>
      <c r="DI243" s="6">
        <v>2E-3</v>
      </c>
      <c r="DJ243" s="6" t="str">
        <f>HYPERLINK(".\links\KOG\TI_asb-409-KOG.txt","Uncharacterized conserved protein")</f>
        <v>Uncharacterized conserved protein</v>
      </c>
      <c r="DK243" s="6" t="str">
        <f>HYPERLINK("http://www.ncbi.nlm.nih.gov/COG/grace/shokog.cgi?KOG3228","8E-040")</f>
        <v>8E-040</v>
      </c>
      <c r="DL243" s="6" t="s">
        <v>4347</v>
      </c>
      <c r="DM243" s="6" t="str">
        <f>HYPERLINK(".\links\KOG\TI_asb-409-KOG.txt","KOG3228")</f>
        <v>KOG3228</v>
      </c>
      <c r="DN243" t="str">
        <f>HYPERLINK(".\links\SMART\TI_asb-409-SMART.txt","OSTEO")</f>
        <v>OSTEO</v>
      </c>
      <c r="DO243" t="str">
        <f>HYPERLINK("http://smart.embl-heidelberg.de/smart/do_annotation.pl?DOMAIN=OSTEO&amp;BLAST=DUMMY","0.001")</f>
        <v>0.001</v>
      </c>
      <c r="DP243" s="3" t="s">
        <v>56</v>
      </c>
      <c r="ED243" s="3" t="s">
        <v>56</v>
      </c>
    </row>
    <row r="244" spans="1:147">
      <c r="A244" t="str">
        <f>HYPERLINK(".\links\seq\TI_asb-410-seq.txt","TI_asb-410")</f>
        <v>TI_asb-410</v>
      </c>
      <c r="B244">
        <v>410</v>
      </c>
      <c r="C244" t="str">
        <f>HYPERLINK(".\links\tsa\TI_asb-410-tsa.txt","1")</f>
        <v>1</v>
      </c>
      <c r="D244">
        <v>1</v>
      </c>
      <c r="E244">
        <v>396</v>
      </c>
      <c r="G244" t="str">
        <f>HYPERLINK(".\links\qual\TI_asb-410-qual.txt","30")</f>
        <v>30</v>
      </c>
      <c r="H244">
        <v>1</v>
      </c>
      <c r="I244">
        <v>0</v>
      </c>
      <c r="J244">
        <f t="shared" si="12"/>
        <v>1</v>
      </c>
      <c r="K244" s="6">
        <f t="shared" si="13"/>
        <v>1</v>
      </c>
      <c r="L244" s="6" t="s">
        <v>4032</v>
      </c>
      <c r="M244" s="6" t="s">
        <v>3912</v>
      </c>
      <c r="N244" s="6" t="s">
        <v>3864</v>
      </c>
      <c r="O244" s="7">
        <v>1E-42</v>
      </c>
      <c r="P244" s="6">
        <v>2.7</v>
      </c>
      <c r="Q244" s="3">
        <v>396</v>
      </c>
      <c r="R244" s="3">
        <v>393</v>
      </c>
      <c r="S244" s="6" t="s">
        <v>3723</v>
      </c>
      <c r="T244" s="3">
        <v>2</v>
      </c>
      <c r="U244" t="str">
        <f>HYPERLINK(".\links\NR-LIGHT\TI_asb-410-NR-LIGHT.txt","low-density lipoprotein receptor, putative")</f>
        <v>low-density lipoprotein receptor, putative</v>
      </c>
      <c r="V244" t="str">
        <f>HYPERLINK("http://www.ncbi.nlm.nih.gov/sutils/blink.cgi?pid=242018517","1E-042")</f>
        <v>1E-042</v>
      </c>
      <c r="W244" t="str">
        <f>HYPERLINK(".\links\NR-LIGHT\TI_asb-410-NR-LIGHT.txt"," 10")</f>
        <v xml:space="preserve"> 10</v>
      </c>
      <c r="X244" t="str">
        <f>HYPERLINK("http://www.ncbi.nlm.nih.gov/protein/242018517","gi|242018517")</f>
        <v>gi|242018517</v>
      </c>
      <c r="Y244">
        <v>173</v>
      </c>
      <c r="Z244">
        <v>128</v>
      </c>
      <c r="AA244">
        <v>4603</v>
      </c>
      <c r="AB244">
        <v>64</v>
      </c>
      <c r="AC244">
        <v>3</v>
      </c>
      <c r="AD244">
        <v>46</v>
      </c>
      <c r="AE244">
        <v>0</v>
      </c>
      <c r="AF244">
        <v>214</v>
      </c>
      <c r="AG244">
        <v>2</v>
      </c>
      <c r="AH244">
        <v>11</v>
      </c>
      <c r="AI244">
        <v>2</v>
      </c>
      <c r="AJ244" t="s">
        <v>53</v>
      </c>
      <c r="AK244" t="s">
        <v>54</v>
      </c>
      <c r="AL244" t="s">
        <v>141</v>
      </c>
      <c r="AM244" t="str">
        <f>HYPERLINK(".\links\SWISSP\TI_asb-410-SWISSP.txt","Low-density lipoprotein receptor-related protein 1 OS=Gallus gallus GN=LRP1 PE=2")</f>
        <v>Low-density lipoprotein receptor-related protein 1 OS=Gallus gallus GN=LRP1 PE=2</v>
      </c>
      <c r="AN244" s="19" t="str">
        <f>HYPERLINK("http://www.uniprot.org/uniprot/P98157","3E-028")</f>
        <v>3E-028</v>
      </c>
      <c r="AO244" t="str">
        <f>HYPERLINK(".\links\SWISSP\TI_asb-410-SWISSP.txt"," 10")</f>
        <v xml:space="preserve"> 10</v>
      </c>
      <c r="AP244" t="s">
        <v>2439</v>
      </c>
      <c r="AQ244">
        <v>123</v>
      </c>
      <c r="AR244">
        <v>134</v>
      </c>
      <c r="AS244">
        <v>4543</v>
      </c>
      <c r="AT244">
        <v>45</v>
      </c>
      <c r="AU244">
        <v>3</v>
      </c>
      <c r="AV244">
        <v>73</v>
      </c>
      <c r="AW244">
        <v>6</v>
      </c>
      <c r="AX244">
        <v>341</v>
      </c>
      <c r="AY244">
        <v>8</v>
      </c>
      <c r="AZ244">
        <v>13</v>
      </c>
      <c r="BA244">
        <v>2</v>
      </c>
      <c r="BB244" t="s">
        <v>53</v>
      </c>
      <c r="BC244" t="s">
        <v>54</v>
      </c>
      <c r="BD244" t="s">
        <v>159</v>
      </c>
      <c r="BE244" t="s">
        <v>2440</v>
      </c>
      <c r="BF244" t="s">
        <v>2441</v>
      </c>
      <c r="BG244" t="str">
        <f>HYPERLINK(".\links\PREV-RHOD-PEP\TI_asb-410-PREV-RHOD-PEP.txt","Contig17836_23")</f>
        <v>Contig17836_23</v>
      </c>
      <c r="BH244" s="7">
        <v>3E-23</v>
      </c>
      <c r="BI244" t="str">
        <f>HYPERLINK(".\links\PREV-RHOD-PEP\TI_asb-410-PREV-RHOD-PEP.txt"," 10")</f>
        <v xml:space="preserve"> 10</v>
      </c>
      <c r="BJ244" t="s">
        <v>2442</v>
      </c>
      <c r="BK244">
        <v>103</v>
      </c>
      <c r="BL244">
        <v>57</v>
      </c>
      <c r="BM244">
        <v>4848</v>
      </c>
      <c r="BN244">
        <v>87</v>
      </c>
      <c r="BO244">
        <v>1</v>
      </c>
      <c r="BP244">
        <v>7</v>
      </c>
      <c r="BQ244">
        <v>0</v>
      </c>
      <c r="BR244">
        <v>12</v>
      </c>
      <c r="BS244">
        <v>8</v>
      </c>
      <c r="BT244">
        <v>11</v>
      </c>
      <c r="BU244" t="s">
        <v>54</v>
      </c>
      <c r="BV244" t="s">
        <v>2443</v>
      </c>
      <c r="BW244" t="s">
        <v>56</v>
      </c>
      <c r="BX244" t="str">
        <f>HYPERLINK(".\links\PREV-RHOD-CDS\TI_asb-410-PREV-RHOD-CDS.txt","Contig17836_23")</f>
        <v>Contig17836_23</v>
      </c>
      <c r="BY244" s="7">
        <v>2.0000000000000001E-32</v>
      </c>
      <c r="BZ244" t="s">
        <v>2442</v>
      </c>
      <c r="CA244">
        <v>139</v>
      </c>
      <c r="CB244">
        <v>157</v>
      </c>
      <c r="CC244">
        <v>14547</v>
      </c>
      <c r="CD244">
        <v>86</v>
      </c>
      <c r="CE244">
        <v>1</v>
      </c>
      <c r="CF244">
        <v>22</v>
      </c>
      <c r="CG244">
        <v>0</v>
      </c>
      <c r="CH244">
        <v>37</v>
      </c>
      <c r="CI244">
        <v>227</v>
      </c>
      <c r="CJ244">
        <v>1</v>
      </c>
      <c r="CK244" t="s">
        <v>54</v>
      </c>
      <c r="CL244" t="s">
        <v>2444</v>
      </c>
      <c r="CM244">
        <f>HYPERLINK(".\links\GO\TI_asb-410-GO.txt",4E-28)</f>
        <v>3.9999999999999999E-28</v>
      </c>
      <c r="CN244" t="s">
        <v>208</v>
      </c>
      <c r="CO244" t="s">
        <v>185</v>
      </c>
      <c r="CP244" t="s">
        <v>186</v>
      </c>
      <c r="CQ244" t="s">
        <v>209</v>
      </c>
      <c r="CR244" s="7">
        <v>3.9999999999999999E-28</v>
      </c>
      <c r="CS244" t="s">
        <v>951</v>
      </c>
      <c r="CT244" t="s">
        <v>75</v>
      </c>
      <c r="CU244" t="s">
        <v>555</v>
      </c>
      <c r="CV244" t="s">
        <v>952</v>
      </c>
      <c r="CW244" s="7">
        <v>3.9999999999999999E-28</v>
      </c>
      <c r="CX244" t="s">
        <v>2445</v>
      </c>
      <c r="CY244" t="s">
        <v>185</v>
      </c>
      <c r="CZ244" t="s">
        <v>186</v>
      </c>
      <c r="DA244" t="s">
        <v>2446</v>
      </c>
      <c r="DB244" s="7">
        <v>3.9999999999999999E-28</v>
      </c>
      <c r="DC244" t="str">
        <f>HYPERLINK(".\links\CDD\TI_asb-410-CDD.txt","LY")</f>
        <v>LY</v>
      </c>
      <c r="DD244" t="str">
        <f>HYPERLINK("http://www.ncbi.nlm.nih.gov/Structure/cdd/cddsrv.cgi?uid=smart00135&amp;version=v4.0","3E-008")</f>
        <v>3E-008</v>
      </c>
      <c r="DE244" t="s">
        <v>2447</v>
      </c>
      <c r="DF244" t="str">
        <f>HYPERLINK(".\links\PFAM\TI_asb-410-PFAM.txt","VWD")</f>
        <v>VWD</v>
      </c>
      <c r="DG244" t="str">
        <f>HYPERLINK("http://pfam.sanger.ac.uk/family?acc=PF00094","0.023")</f>
        <v>0.023</v>
      </c>
      <c r="DH244" t="str">
        <f>HYPERLINK(".\links\PRK\TI_asb-410-PRK.txt","argininosuccinate lyase")</f>
        <v>argininosuccinate lyase</v>
      </c>
      <c r="DI244" s="6">
        <v>7.6999999999999999E-2</v>
      </c>
      <c r="DJ244" s="6" t="str">
        <f>HYPERLINK(".\links\KOG\TI_asb-410-KOG.txt","Low-density lipoprotein receptors containing Ca2+-binding EGF-like domains")</f>
        <v>Low-density lipoprotein receptors containing Ca2+-binding EGF-like domains</v>
      </c>
      <c r="DK244" s="6" t="str">
        <f>HYPERLINK("http://www.ncbi.nlm.nih.gov/COG/grace/shokog.cgi?KOG1215","4E-014")</f>
        <v>4E-014</v>
      </c>
      <c r="DL244" s="6" t="s">
        <v>4342</v>
      </c>
      <c r="DM244" s="6" t="str">
        <f>HYPERLINK(".\links\KOG\TI_asb-410-KOG.txt","KOG1215")</f>
        <v>KOG1215</v>
      </c>
      <c r="DN244" t="str">
        <f>HYPERLINK(".\links\SMART\TI_asb-410-SMART.txt","LY")</f>
        <v>LY</v>
      </c>
      <c r="DO244" t="str">
        <f>HYPERLINK("http://smart.embl-heidelberg.de/smart/do_annotation.pl?DOMAIN=LY&amp;BLAST=DUMMY","4E-010")</f>
        <v>4E-010</v>
      </c>
      <c r="DP244" s="3" t="s">
        <v>56</v>
      </c>
      <c r="ED244" s="3" t="s">
        <v>56</v>
      </c>
    </row>
    <row r="245" spans="1:147">
      <c r="A245" t="str">
        <f>HYPERLINK(".\links\seq\TI_asb-412-seq.txt","TI_asb-412")</f>
        <v>TI_asb-412</v>
      </c>
      <c r="B245">
        <v>412</v>
      </c>
      <c r="C245" t="str">
        <f>HYPERLINK(".\links\tsa\TI_asb-412-tsa.txt","2")</f>
        <v>2</v>
      </c>
      <c r="D245">
        <v>2</v>
      </c>
      <c r="E245">
        <v>806</v>
      </c>
      <c r="F245">
        <v>771</v>
      </c>
      <c r="G245" t="str">
        <f>HYPERLINK(".\links\qual\TI_asb-412-qual.txt","49")</f>
        <v>49</v>
      </c>
      <c r="H245">
        <v>1</v>
      </c>
      <c r="I245">
        <v>1</v>
      </c>
      <c r="J245">
        <f t="shared" si="12"/>
        <v>0</v>
      </c>
      <c r="K245" s="6">
        <f t="shared" si="13"/>
        <v>0</v>
      </c>
      <c r="L245" s="6" t="s">
        <v>4033</v>
      </c>
      <c r="M245" s="6" t="s">
        <v>3917</v>
      </c>
      <c r="N245" s="6" t="s">
        <v>3872</v>
      </c>
      <c r="O245" s="6">
        <v>8.0000000000000002E-8</v>
      </c>
      <c r="P245" s="6">
        <v>78.5</v>
      </c>
      <c r="Q245" s="3">
        <v>806</v>
      </c>
      <c r="R245" s="3">
        <v>651</v>
      </c>
      <c r="S245" s="6" t="s">
        <v>3724</v>
      </c>
      <c r="T245" s="3">
        <v>3</v>
      </c>
      <c r="U245" t="str">
        <f>HYPERLINK(".\links\NR-LIGHT\TI_asb-412-NR-LIGHT.txt","Bombyrin")</f>
        <v>Bombyrin</v>
      </c>
      <c r="V245" t="str">
        <f>HYPERLINK("http://www.ncbi.nlm.nih.gov/sutils/blink.cgi?pid=112983654","2E-008")</f>
        <v>2E-008</v>
      </c>
      <c r="W245" t="str">
        <f>HYPERLINK(".\links\NR-LIGHT\TI_asb-412-NR-LIGHT.txt"," 10")</f>
        <v xml:space="preserve"> 10</v>
      </c>
      <c r="X245" t="str">
        <f>HYPERLINK("http://www.ncbi.nlm.nih.gov/protein/112983654","gi|112983654")</f>
        <v>gi|112983654</v>
      </c>
      <c r="Y245">
        <v>62.4</v>
      </c>
      <c r="Z245">
        <v>164</v>
      </c>
      <c r="AA245">
        <v>201</v>
      </c>
      <c r="AB245">
        <v>29</v>
      </c>
      <c r="AC245">
        <v>82</v>
      </c>
      <c r="AD245">
        <v>115</v>
      </c>
      <c r="AE245">
        <v>4</v>
      </c>
      <c r="AF245">
        <v>20</v>
      </c>
      <c r="AG245">
        <v>126</v>
      </c>
      <c r="AH245">
        <v>1</v>
      </c>
      <c r="AI245">
        <v>3</v>
      </c>
      <c r="AJ245" t="s">
        <v>53</v>
      </c>
      <c r="AK245" t="s">
        <v>54</v>
      </c>
      <c r="AL245" t="s">
        <v>279</v>
      </c>
      <c r="AM245" t="str">
        <f>HYPERLINK(".\links\SWISSP\TI_asb-412-SWISSP.txt","Apolipoprotein D OS=Macaca fascicularis GN=APOD PE=2 SV=1")</f>
        <v>Apolipoprotein D OS=Macaca fascicularis GN=APOD PE=2 SV=1</v>
      </c>
      <c r="AN245" s="19" t="str">
        <f>HYPERLINK("http://www.uniprot.org/uniprot/Q8SPI0","1E-005")</f>
        <v>1E-005</v>
      </c>
      <c r="AO245" t="str">
        <f>HYPERLINK(".\links\SWISSP\TI_asb-412-SWISSP.txt"," 10")</f>
        <v xml:space="preserve"> 10</v>
      </c>
      <c r="AP245" t="s">
        <v>2448</v>
      </c>
      <c r="AQ245">
        <v>50.4</v>
      </c>
      <c r="AR245">
        <v>177</v>
      </c>
      <c r="AS245">
        <v>189</v>
      </c>
      <c r="AT245">
        <v>29</v>
      </c>
      <c r="AU245">
        <v>94</v>
      </c>
      <c r="AV245">
        <v>124</v>
      </c>
      <c r="AW245">
        <v>5</v>
      </c>
      <c r="AX245">
        <v>23</v>
      </c>
      <c r="AY245">
        <v>120</v>
      </c>
      <c r="AZ245">
        <v>1</v>
      </c>
      <c r="BA245">
        <v>3</v>
      </c>
      <c r="BB245" t="s">
        <v>53</v>
      </c>
      <c r="BC245" t="s">
        <v>54</v>
      </c>
      <c r="BD245" t="s">
        <v>2449</v>
      </c>
      <c r="BE245" t="s">
        <v>2450</v>
      </c>
      <c r="BF245" t="s">
        <v>2451</v>
      </c>
      <c r="BG245" t="str">
        <f>HYPERLINK(".\links\PREV-RHOD-PEP\TI_asb-412-PREV-RHOD-PEP.txt","Contig17512_3")</f>
        <v>Contig17512_3</v>
      </c>
      <c r="BH245" s="7">
        <v>1E-73</v>
      </c>
      <c r="BI245" t="str">
        <f>HYPERLINK(".\links\PREV-RHOD-PEP\TI_asb-412-PREV-RHOD-PEP.txt"," 10")</f>
        <v xml:space="preserve"> 10</v>
      </c>
      <c r="BJ245" t="s">
        <v>2452</v>
      </c>
      <c r="BK245">
        <v>272</v>
      </c>
      <c r="BL245">
        <v>199</v>
      </c>
      <c r="BM245">
        <v>206</v>
      </c>
      <c r="BN245">
        <v>64</v>
      </c>
      <c r="BO245">
        <v>97</v>
      </c>
      <c r="BP245">
        <v>70</v>
      </c>
      <c r="BQ245">
        <v>0</v>
      </c>
      <c r="BR245">
        <v>11</v>
      </c>
      <c r="BS245">
        <v>57</v>
      </c>
      <c r="BT245">
        <v>1</v>
      </c>
      <c r="BU245" t="s">
        <v>54</v>
      </c>
      <c r="BV245" t="s">
        <v>2453</v>
      </c>
      <c r="BW245" t="s">
        <v>56</v>
      </c>
      <c r="BX245" t="str">
        <f>HYPERLINK(".\links\PREV-RHOD-CDS\TI_asb-412-PREV-RHOD-CDS.txt","Contig17512_3")</f>
        <v>Contig17512_3</v>
      </c>
      <c r="BY245" s="7">
        <v>2.0000000000000002E-15</v>
      </c>
      <c r="BZ245" t="s">
        <v>2452</v>
      </c>
      <c r="CA245">
        <v>83.8</v>
      </c>
      <c r="CB245">
        <v>486</v>
      </c>
      <c r="CC245">
        <v>621</v>
      </c>
      <c r="CD245">
        <v>83</v>
      </c>
      <c r="CE245">
        <v>78</v>
      </c>
      <c r="CF245">
        <v>19</v>
      </c>
      <c r="CG245">
        <v>0</v>
      </c>
      <c r="CH245">
        <v>128</v>
      </c>
      <c r="CI245">
        <v>160</v>
      </c>
      <c r="CJ245">
        <v>2</v>
      </c>
      <c r="CK245" t="s">
        <v>54</v>
      </c>
      <c r="CL245" t="s">
        <v>2454</v>
      </c>
      <c r="CM245">
        <f>HYPERLINK(".\links\GO\TI_asb-412-GO.txt",0.0002)</f>
        <v>2.0000000000000001E-4</v>
      </c>
      <c r="CN245" t="s">
        <v>185</v>
      </c>
      <c r="CO245" t="s">
        <v>185</v>
      </c>
      <c r="CQ245" t="s">
        <v>2455</v>
      </c>
      <c r="CR245" s="6">
        <v>8.0000000000000004E-4</v>
      </c>
      <c r="CS245" t="s">
        <v>1136</v>
      </c>
      <c r="CT245" t="s">
        <v>540</v>
      </c>
      <c r="CU245" t="s">
        <v>1137</v>
      </c>
      <c r="CV245" t="s">
        <v>1138</v>
      </c>
      <c r="CW245" s="6">
        <v>8.0000000000000004E-4</v>
      </c>
      <c r="CX245" t="s">
        <v>924</v>
      </c>
      <c r="CY245" t="s">
        <v>185</v>
      </c>
      <c r="DA245" t="s">
        <v>925</v>
      </c>
      <c r="DB245" s="6">
        <v>8.0000000000000004E-4</v>
      </c>
      <c r="DC245" t="str">
        <f>HYPERLINK(".\links\CDD\TI_asb-412-CDD.txt","Lipocalin")</f>
        <v>Lipocalin</v>
      </c>
      <c r="DD245" t="str">
        <f>HYPERLINK("http://www.ncbi.nlm.nih.gov/Structure/cdd/cddsrv.cgi?uid=pfam00061&amp;version=v4.0","1E-005")</f>
        <v>1E-005</v>
      </c>
      <c r="DE245" t="s">
        <v>2456</v>
      </c>
      <c r="DF245" t="str">
        <f>HYPERLINK(".\links\PFAM\TI_asb-412-PFAM.txt","Lipocalin")</f>
        <v>Lipocalin</v>
      </c>
      <c r="DG245" t="str">
        <f>HYPERLINK("http://pfam.sanger.ac.uk/family?acc=PF00061","3E-006")</f>
        <v>3E-006</v>
      </c>
      <c r="DH245" t="str">
        <f>HYPERLINK(".\links\PRK\TI_asb-412-PRK.txt","V-type ATP synthase subunit I")</f>
        <v>V-type ATP synthase subunit I</v>
      </c>
      <c r="DI245" s="6">
        <v>2E-3</v>
      </c>
      <c r="DJ245" s="6" t="str">
        <f>HYPERLINK(".\links\KOG\TI_asb-412-KOG.txt","Apolipoprotein D/Lipocalin")</f>
        <v>Apolipoprotein D/Lipocalin</v>
      </c>
      <c r="DK245" s="6" t="str">
        <f>HYPERLINK("http://www.ncbi.nlm.nih.gov/COG/grace/shokog.cgi?KOG4824","8E-008")</f>
        <v>8E-008</v>
      </c>
      <c r="DL245" s="6" t="s">
        <v>4366</v>
      </c>
      <c r="DM245" s="6" t="str">
        <f>HYPERLINK(".\links\KOG\TI_asb-412-KOG.txt","KOG4824")</f>
        <v>KOG4824</v>
      </c>
      <c r="DN245" t="str">
        <f>HYPERLINK(".\links\SMART\TI_asb-412-SMART.txt","LamNT")</f>
        <v>LamNT</v>
      </c>
      <c r="DO245" t="str">
        <f>HYPERLINK("http://smart.embl-heidelberg.de/smart/do_annotation.pl?DOMAIN=LamNT&amp;BLAST=DUMMY","0.012")</f>
        <v>0.012</v>
      </c>
      <c r="DP245" s="3" t="s">
        <v>56</v>
      </c>
      <c r="ED245" s="3" t="s">
        <v>56</v>
      </c>
    </row>
    <row r="246" spans="1:147">
      <c r="A246" t="str">
        <f>HYPERLINK(".\links\seq\TI_asb-414-seq.txt","TI_asb-414")</f>
        <v>TI_asb-414</v>
      </c>
      <c r="B246">
        <v>414</v>
      </c>
      <c r="C246" t="str">
        <f>HYPERLINK(".\links\tsa\TI_asb-414-tsa.txt","1")</f>
        <v>1</v>
      </c>
      <c r="D246">
        <v>1</v>
      </c>
      <c r="E246">
        <v>475</v>
      </c>
      <c r="G246" t="str">
        <f>HYPERLINK(".\links\qual\TI_asb-414-qual.txt","34")</f>
        <v>34</v>
      </c>
      <c r="H246">
        <v>1</v>
      </c>
      <c r="I246">
        <v>0</v>
      </c>
      <c r="J246">
        <f t="shared" si="12"/>
        <v>1</v>
      </c>
      <c r="K246" s="6">
        <f t="shared" si="13"/>
        <v>1</v>
      </c>
      <c r="L246" s="6" t="s">
        <v>3959</v>
      </c>
      <c r="M246" s="6" t="s">
        <v>3947</v>
      </c>
      <c r="N246" s="6" t="s">
        <v>3867</v>
      </c>
      <c r="O246" s="7">
        <v>2E-19</v>
      </c>
      <c r="P246" s="6">
        <v>108.3</v>
      </c>
      <c r="Q246" s="3">
        <v>475</v>
      </c>
      <c r="R246" s="3">
        <v>441</v>
      </c>
      <c r="S246" s="3" t="s">
        <v>3725</v>
      </c>
      <c r="T246" s="3">
        <v>2</v>
      </c>
      <c r="U246" t="str">
        <f>HYPERLINK(".\links\NR-LIGHT\TI_asb-414-NR-LIGHT.txt","CG3919")</f>
        <v>CG3919</v>
      </c>
      <c r="V246" t="str">
        <f>HYPERLINK("http://www.ncbi.nlm.nih.gov/sutils/blink.cgi?pid=221331158","1E-007")</f>
        <v>1E-007</v>
      </c>
      <c r="W246" t="str">
        <f>HYPERLINK(".\links\NR-LIGHT\TI_asb-414-NR-LIGHT.txt"," 10")</f>
        <v xml:space="preserve"> 10</v>
      </c>
      <c r="X246" t="str">
        <f>HYPERLINK("http://www.ncbi.nlm.nih.gov/protein/221331158","gi|221331158")</f>
        <v>gi|221331158</v>
      </c>
      <c r="Y246">
        <v>57.4</v>
      </c>
      <c r="Z246">
        <v>60</v>
      </c>
      <c r="AA246">
        <v>302</v>
      </c>
      <c r="AB246">
        <v>40</v>
      </c>
      <c r="AC246">
        <v>20</v>
      </c>
      <c r="AD246">
        <v>36</v>
      </c>
      <c r="AE246">
        <v>0</v>
      </c>
      <c r="AF246">
        <v>20</v>
      </c>
      <c r="AG246">
        <v>74</v>
      </c>
      <c r="AH246">
        <v>1</v>
      </c>
      <c r="AI246">
        <v>2</v>
      </c>
      <c r="AJ246" t="s">
        <v>53</v>
      </c>
      <c r="AK246" t="s">
        <v>54</v>
      </c>
      <c r="AL246" t="s">
        <v>143</v>
      </c>
      <c r="AM246" t="str">
        <f>HYPERLINK(".\links\SWISSP\TI_asb-414-SWISSP.txt","Transcription factor Adf-1 OS=Drosophila melanogaster GN=Adf1 PE=1 SV=2")</f>
        <v>Transcription factor Adf-1 OS=Drosophila melanogaster GN=Adf1 PE=1 SV=2</v>
      </c>
      <c r="AN246" s="19" t="str">
        <f>HYPERLINK("http://www.uniprot.org/uniprot/P05552","4E-004")</f>
        <v>4E-004</v>
      </c>
      <c r="AO246" t="str">
        <f>HYPERLINK(".\links\SWISSP\TI_asb-414-SWISSP.txt"," 10")</f>
        <v xml:space="preserve"> 10</v>
      </c>
      <c r="AP246" t="s">
        <v>2459</v>
      </c>
      <c r="AQ246">
        <v>43.9</v>
      </c>
      <c r="AR246">
        <v>109</v>
      </c>
      <c r="AS246">
        <v>262</v>
      </c>
      <c r="AT246">
        <v>22</v>
      </c>
      <c r="AU246">
        <v>42</v>
      </c>
      <c r="AV246">
        <v>84</v>
      </c>
      <c r="AW246">
        <v>0</v>
      </c>
      <c r="AX246">
        <v>25</v>
      </c>
      <c r="AY246">
        <v>77</v>
      </c>
      <c r="AZ246">
        <v>1</v>
      </c>
      <c r="BA246">
        <v>2</v>
      </c>
      <c r="BB246" t="s">
        <v>53</v>
      </c>
      <c r="BC246" t="s">
        <v>54</v>
      </c>
      <c r="BD246" t="s">
        <v>143</v>
      </c>
      <c r="BE246" t="s">
        <v>2460</v>
      </c>
      <c r="BF246" t="s">
        <v>2461</v>
      </c>
      <c r="BG246" t="str">
        <f>HYPERLINK(".\links\PREV-RHOD-PEP\TI_asb-414-PREV-RHOD-PEP.txt","Contig2539_5")</f>
        <v>Contig2539_5</v>
      </c>
      <c r="BH246" s="7">
        <v>9.9999999999999996E-76</v>
      </c>
      <c r="BI246" t="str">
        <f>HYPERLINK(".\links\PREV-RHOD-PEP\TI_asb-414-PREV-RHOD-PEP.txt"," 10")</f>
        <v xml:space="preserve"> 10</v>
      </c>
      <c r="BJ246" t="s">
        <v>2462</v>
      </c>
      <c r="BK246">
        <v>277</v>
      </c>
      <c r="BL246">
        <v>146</v>
      </c>
      <c r="BM246">
        <v>219</v>
      </c>
      <c r="BN246">
        <v>91</v>
      </c>
      <c r="BO246">
        <v>67</v>
      </c>
      <c r="BP246">
        <v>12</v>
      </c>
      <c r="BQ246">
        <v>0</v>
      </c>
      <c r="BR246">
        <v>1</v>
      </c>
      <c r="BS246">
        <v>38</v>
      </c>
      <c r="BT246">
        <v>1</v>
      </c>
      <c r="BU246" t="s">
        <v>54</v>
      </c>
      <c r="BV246" t="s">
        <v>2463</v>
      </c>
      <c r="BW246" t="s">
        <v>56</v>
      </c>
      <c r="BX246" t="str">
        <f>HYPERLINK(".\links\PREV-RHOD-CDS\TI_asb-414-PREV-RHOD-CDS.txt","Contig2539_5")</f>
        <v>Contig2539_5</v>
      </c>
      <c r="BY246" s="7">
        <v>5.0000000000000001E-92</v>
      </c>
      <c r="BZ246" t="s">
        <v>2462</v>
      </c>
      <c r="CA246">
        <v>337</v>
      </c>
      <c r="CB246">
        <v>437</v>
      </c>
      <c r="CC246">
        <v>660</v>
      </c>
      <c r="CD246">
        <v>84</v>
      </c>
      <c r="CE246">
        <v>66</v>
      </c>
      <c r="CF246">
        <v>67</v>
      </c>
      <c r="CG246">
        <v>0</v>
      </c>
      <c r="CH246">
        <v>1</v>
      </c>
      <c r="CI246">
        <v>38</v>
      </c>
      <c r="CJ246">
        <v>1</v>
      </c>
      <c r="CK246" t="s">
        <v>54</v>
      </c>
      <c r="CL246" t="s">
        <v>2464</v>
      </c>
      <c r="CM246">
        <f>HYPERLINK(".\links\GO\TI_asb-414-GO.txt",0.00006)</f>
        <v>6.0000000000000002E-5</v>
      </c>
      <c r="CN246" t="s">
        <v>1803</v>
      </c>
      <c r="CO246" t="s">
        <v>1012</v>
      </c>
      <c r="CP246" t="s">
        <v>1631</v>
      </c>
      <c r="CQ246" t="s">
        <v>1804</v>
      </c>
      <c r="CR246" s="6">
        <v>1E-4</v>
      </c>
      <c r="CS246" t="s">
        <v>224</v>
      </c>
      <c r="CT246" t="s">
        <v>75</v>
      </c>
      <c r="CU246" t="s">
        <v>76</v>
      </c>
      <c r="CV246" t="s">
        <v>225</v>
      </c>
      <c r="CW246" s="6">
        <v>1E-4</v>
      </c>
      <c r="CX246" t="s">
        <v>2217</v>
      </c>
      <c r="CY246" t="s">
        <v>1012</v>
      </c>
      <c r="CZ246" t="s">
        <v>1631</v>
      </c>
      <c r="DA246" t="s">
        <v>2218</v>
      </c>
      <c r="DB246" s="6">
        <v>1E-4</v>
      </c>
      <c r="DC246" t="str">
        <f>HYPERLINK(".\links\CDD\TI_asb-414-CDD.txt","MADF")</f>
        <v>MADF</v>
      </c>
      <c r="DD246" t="str">
        <f>HYPERLINK("http://www.ncbi.nlm.nih.gov/Structure/cdd/cddsrv.cgi?uid=smart00595&amp;version=v4.0","1E-019")</f>
        <v>1E-019</v>
      </c>
      <c r="DE246" t="s">
        <v>2465</v>
      </c>
      <c r="DF246" t="str">
        <f>HYPERLINK(".\links\PFAM\TI_asb-414-PFAM.txt","MADF_DNA_bdg")</f>
        <v>MADF_DNA_bdg</v>
      </c>
      <c r="DG246" t="str">
        <f>HYPERLINK("http://pfam.sanger.ac.uk/family?acc=PF10545","2E-019")</f>
        <v>2E-019</v>
      </c>
      <c r="DH246" t="s">
        <v>56</v>
      </c>
      <c r="DI246" s="6" t="s">
        <v>56</v>
      </c>
      <c r="DJ246" s="6" t="s">
        <v>56</v>
      </c>
      <c r="DN246" t="str">
        <f>HYPERLINK(".\links\SMART\TI_asb-414-SMART.txt","MADF")</f>
        <v>MADF</v>
      </c>
      <c r="DO246" t="str">
        <f>HYPERLINK("http://smart.embl-heidelberg.de/smart/do_annotation.pl?DOMAIN=MADF&amp;BLAST=DUMMY","8E-023")</f>
        <v>8E-023</v>
      </c>
      <c r="DP246" s="3" t="s">
        <v>56</v>
      </c>
      <c r="ED246" s="3" t="s">
        <v>56</v>
      </c>
    </row>
    <row r="247" spans="1:147">
      <c r="A247" t="str">
        <f>HYPERLINK(".\links\seq\TI_asb-415-seq.txt","TI_asb-415")</f>
        <v>TI_asb-415</v>
      </c>
      <c r="B247">
        <v>415</v>
      </c>
      <c r="C247" t="str">
        <f>HYPERLINK(".\links\tsa\TI_asb-415-tsa.txt","1")</f>
        <v>1</v>
      </c>
      <c r="D247">
        <v>1</v>
      </c>
      <c r="E247">
        <v>476</v>
      </c>
      <c r="G247" t="str">
        <f>HYPERLINK(".\links\qual\TI_asb-415-qual.txt","49")</f>
        <v>49</v>
      </c>
      <c r="H247">
        <v>1</v>
      </c>
      <c r="I247">
        <v>0</v>
      </c>
      <c r="J247">
        <f t="shared" si="12"/>
        <v>1</v>
      </c>
      <c r="K247" s="6">
        <f t="shared" si="13"/>
        <v>1</v>
      </c>
      <c r="L247" s="6" t="s">
        <v>4035</v>
      </c>
      <c r="M247" s="6" t="s">
        <v>3886</v>
      </c>
      <c r="N247" s="6" t="s">
        <v>3864</v>
      </c>
      <c r="O247" s="7">
        <v>1E-22</v>
      </c>
      <c r="P247" s="6">
        <v>72.2</v>
      </c>
      <c r="Q247" s="3">
        <v>476</v>
      </c>
      <c r="R247" s="3">
        <v>276</v>
      </c>
      <c r="S247" s="6" t="s">
        <v>3726</v>
      </c>
      <c r="T247" s="3">
        <v>3</v>
      </c>
      <c r="U247" t="str">
        <f>HYPERLINK(".\links\NR-LIGHT\TI_asb-415-NR-LIGHT.txt","conserved hypothetical protein")</f>
        <v>conserved hypothetical protein</v>
      </c>
      <c r="V247" t="str">
        <f>HYPERLINK("http://www.ncbi.nlm.nih.gov/sutils/blink.cgi?pid=237702461","1E-022")</f>
        <v>1E-022</v>
      </c>
      <c r="W247" t="str">
        <f>HYPERLINK(".\links\NR-LIGHT\TI_asb-415-NR-LIGHT.txt"," 10")</f>
        <v xml:space="preserve"> 10</v>
      </c>
      <c r="X247" t="str">
        <f>HYPERLINK("http://www.ncbi.nlm.nih.gov/protein/237702461","gi|237702461")</f>
        <v>gi|237702461</v>
      </c>
      <c r="Y247">
        <v>107</v>
      </c>
      <c r="Z247">
        <v>73</v>
      </c>
      <c r="AA247">
        <v>101</v>
      </c>
      <c r="AB247">
        <v>72</v>
      </c>
      <c r="AC247">
        <v>72</v>
      </c>
      <c r="AD247">
        <v>20</v>
      </c>
      <c r="AE247">
        <v>0</v>
      </c>
      <c r="AF247">
        <v>27</v>
      </c>
      <c r="AG247">
        <v>258</v>
      </c>
      <c r="AH247">
        <v>1</v>
      </c>
      <c r="AI247">
        <v>-1</v>
      </c>
      <c r="AJ247" t="s">
        <v>53</v>
      </c>
      <c r="AK247" t="s">
        <v>64</v>
      </c>
      <c r="AL247" t="s">
        <v>2466</v>
      </c>
      <c r="AM247" t="str">
        <f>HYPERLINK(".\links\SWISSP\TI_asb-415-SWISSP.txt","Nuclear receptor coactivator 2 OS=Homo sapiens GN=NCOA2 PE=1 SV=2")</f>
        <v>Nuclear receptor coactivator 2 OS=Homo sapiens GN=NCOA2 PE=1 SV=2</v>
      </c>
      <c r="AN247" s="19" t="str">
        <f>HYPERLINK("http://www.uniprot.org/uniprot/Q15596","1.0")</f>
        <v>1.0</v>
      </c>
      <c r="AO247" t="str">
        <f>HYPERLINK(".\links\SWISSP\TI_asb-415-SWISSP.txt"," 2")</f>
        <v xml:space="preserve"> 2</v>
      </c>
      <c r="AP247" t="s">
        <v>2467</v>
      </c>
      <c r="AQ247">
        <v>32.700000000000003</v>
      </c>
      <c r="AR247">
        <v>54</v>
      </c>
      <c r="AS247">
        <v>1464</v>
      </c>
      <c r="AT247">
        <v>38</v>
      </c>
      <c r="AU247">
        <v>4</v>
      </c>
      <c r="AV247">
        <v>33</v>
      </c>
      <c r="AW247">
        <v>4</v>
      </c>
      <c r="AX247">
        <v>597</v>
      </c>
      <c r="AY247">
        <v>207</v>
      </c>
      <c r="AZ247">
        <v>1</v>
      </c>
      <c r="BA247">
        <v>3</v>
      </c>
      <c r="BB247" t="s">
        <v>53</v>
      </c>
      <c r="BC247" t="s">
        <v>54</v>
      </c>
      <c r="BD247" t="s">
        <v>330</v>
      </c>
      <c r="BE247" t="s">
        <v>2468</v>
      </c>
      <c r="BF247" t="s">
        <v>2469</v>
      </c>
      <c r="BG247" t="str">
        <f>HYPERLINK(".\links\PREV-RHOD-PEP\TI_asb-415-PREV-RHOD-PEP.txt","Contig17380_71")</f>
        <v>Contig17380_71</v>
      </c>
      <c r="BH247" s="6">
        <v>1.1000000000000001</v>
      </c>
      <c r="BI247" t="str">
        <f>HYPERLINK(".\links\PREV-RHOD-PEP\TI_asb-415-PREV-RHOD-PEP.txt"," 10")</f>
        <v xml:space="preserve"> 10</v>
      </c>
      <c r="BJ247" t="s">
        <v>2470</v>
      </c>
      <c r="BK247">
        <v>28.9</v>
      </c>
      <c r="BL247">
        <v>36</v>
      </c>
      <c r="BM247">
        <v>399</v>
      </c>
      <c r="BN247">
        <v>44</v>
      </c>
      <c r="BO247">
        <v>9</v>
      </c>
      <c r="BP247">
        <v>20</v>
      </c>
      <c r="BQ247">
        <v>1</v>
      </c>
      <c r="BR247">
        <v>153</v>
      </c>
      <c r="BS247">
        <v>219</v>
      </c>
      <c r="BT247">
        <v>1</v>
      </c>
      <c r="BU247" t="s">
        <v>54</v>
      </c>
      <c r="BV247" t="s">
        <v>2471</v>
      </c>
      <c r="BW247" t="s">
        <v>56</v>
      </c>
      <c r="BX247" t="str">
        <f>HYPERLINK(".\links\PREV-RHOD-CDS\TI_asb-415-PREV-RHOD-CDS.txt","Contig17982_5")</f>
        <v>Contig17982_5</v>
      </c>
      <c r="BY247" s="6">
        <v>0.23</v>
      </c>
      <c r="BZ247" t="s">
        <v>2472</v>
      </c>
      <c r="CA247">
        <v>36.200000000000003</v>
      </c>
      <c r="CB247">
        <v>17</v>
      </c>
      <c r="CC247">
        <v>396</v>
      </c>
      <c r="CD247">
        <v>100</v>
      </c>
      <c r="CE247">
        <v>5</v>
      </c>
      <c r="CF247">
        <v>0</v>
      </c>
      <c r="CG247">
        <v>0</v>
      </c>
      <c r="CH247">
        <v>213</v>
      </c>
      <c r="CI247">
        <v>305</v>
      </c>
      <c r="CJ247">
        <v>1</v>
      </c>
      <c r="CK247" t="s">
        <v>64</v>
      </c>
      <c r="CL247" t="s">
        <v>2473</v>
      </c>
      <c r="CM247">
        <f>HYPERLINK(".\links\GO\TI_asb-415-GO.txt",0.91)</f>
        <v>0.91</v>
      </c>
      <c r="CN247" t="s">
        <v>58</v>
      </c>
      <c r="CO247" t="s">
        <v>58</v>
      </c>
      <c r="CQ247" t="s">
        <v>59</v>
      </c>
      <c r="CR247" s="6">
        <v>0.91</v>
      </c>
      <c r="CS247" t="s">
        <v>60</v>
      </c>
      <c r="CT247" t="s">
        <v>60</v>
      </c>
      <c r="CV247" t="s">
        <v>61</v>
      </c>
      <c r="CW247" s="6">
        <v>0.91</v>
      </c>
      <c r="CX247" t="s">
        <v>62</v>
      </c>
      <c r="CY247" t="s">
        <v>58</v>
      </c>
      <c r="DA247" t="s">
        <v>63</v>
      </c>
      <c r="DB247" s="6">
        <v>0.91</v>
      </c>
      <c r="DC247" t="s">
        <v>56</v>
      </c>
      <c r="DD247" t="s">
        <v>56</v>
      </c>
      <c r="DE247" t="s">
        <v>56</v>
      </c>
      <c r="DF247" t="str">
        <f>HYPERLINK(".\links\PFAM\TI_asb-415-PFAM.txt","Sof1")</f>
        <v>Sof1</v>
      </c>
      <c r="DG247" t="str">
        <f>HYPERLINK("http://pfam.sanger.ac.uk/family?acc=PF04158","0.024")</f>
        <v>0.024</v>
      </c>
      <c r="DH247" t="s">
        <v>56</v>
      </c>
      <c r="DI247" s="6" t="s">
        <v>56</v>
      </c>
      <c r="DJ247" s="6" t="str">
        <f>HYPERLINK(".\links\KOG\TI_asb-415-KOG.txt","Protein transporter of the TRAM (translocating chain-associating membrane) superfamily")</f>
        <v>Protein transporter of the TRAM (translocating chain-associating membrane) superfamily</v>
      </c>
      <c r="DK247" s="6" t="str">
        <f>HYPERLINK("http://www.ncbi.nlm.nih.gov/COG/grace/shokog.cgi?KOG1608","0.080")</f>
        <v>0.080</v>
      </c>
      <c r="DL247" s="6" t="s">
        <v>4352</v>
      </c>
      <c r="DM247" s="6" t="str">
        <f>HYPERLINK(".\links\KOG\TI_asb-415-KOG.txt","KOG1608")</f>
        <v>KOG1608</v>
      </c>
      <c r="DN247" t="str">
        <f>HYPERLINK(".\links\SMART\TI_asb-415-SMART.txt","SEP")</f>
        <v>SEP</v>
      </c>
      <c r="DO247" t="str">
        <f>HYPERLINK("http://smart.embl-heidelberg.de/smart/do_annotation.pl?DOMAIN=SEP&amp;BLAST=DUMMY","0.086")</f>
        <v>0.086</v>
      </c>
      <c r="DP247" s="3" t="str">
        <f>HYPERLINK(".\links\RRNA\TI_asb-415-RRNA.txt","E.coli 23S rRNA")</f>
        <v>E.coli 23S rRNA</v>
      </c>
      <c r="DQ247" s="3" t="str">
        <f>HYPERLINK("http://www.ncbi.nlm.nih.gov/entrez/viewer.fcgi?db=nucleotide&amp;val=174368","1E-109")</f>
        <v>1E-109</v>
      </c>
      <c r="DR247" s="3" t="str">
        <f>HYPERLINK("http://www.ncbi.nlm.nih.gov/entrez/viewer.fcgi?db=nucleotide&amp;val=174368","gi|174368")</f>
        <v>gi|174368</v>
      </c>
      <c r="DS247" s="3">
        <v>391</v>
      </c>
      <c r="DT247" s="3">
        <v>441</v>
      </c>
      <c r="DU247" s="3">
        <v>542</v>
      </c>
      <c r="DV247" s="3">
        <v>86</v>
      </c>
      <c r="DW247" s="3">
        <v>82</v>
      </c>
      <c r="DX247" s="3">
        <v>58</v>
      </c>
      <c r="DY247" s="3">
        <v>6</v>
      </c>
      <c r="DZ247" s="3">
        <v>12</v>
      </c>
      <c r="EA247" s="3">
        <v>39</v>
      </c>
      <c r="EB247" s="3">
        <v>1</v>
      </c>
      <c r="EC247" s="3" t="s">
        <v>54</v>
      </c>
      <c r="ED247" s="3" t="str">
        <f>HYPERLINK(".\links\MIT-PLA\TI_asb-415-MIT-PLA.txt","Guillardia theta chloroplast, complete genome")</f>
        <v>Guillardia theta chloroplast, complete genome</v>
      </c>
      <c r="EE247" s="3" t="str">
        <f>HYPERLINK("http://www.ncbi.nlm.nih.gov/entrez/viewer.fcgi?db=nucleotide&amp;val=11467607","5E-014")</f>
        <v>5E-014</v>
      </c>
      <c r="EF247" s="3" t="str">
        <f>HYPERLINK("http://www.ncbi.nlm.nih.gov/entrez/viewer.fcgi?db=nucleotide&amp;val=11467607","gi|11467607")</f>
        <v>gi|11467607</v>
      </c>
      <c r="EG247" s="3">
        <v>77.8</v>
      </c>
      <c r="EH247" s="3">
        <v>21140</v>
      </c>
      <c r="EI247" s="3">
        <v>121524</v>
      </c>
      <c r="EJ247" s="3">
        <v>87</v>
      </c>
      <c r="EK247" s="3">
        <v>17</v>
      </c>
      <c r="EL247" s="3">
        <v>10</v>
      </c>
      <c r="EM247" s="3">
        <v>0</v>
      </c>
      <c r="EN247" s="3">
        <v>19130</v>
      </c>
      <c r="EO247" s="3">
        <v>203</v>
      </c>
      <c r="EP247" s="3">
        <v>2</v>
      </c>
      <c r="EQ247" s="3" t="s">
        <v>54</v>
      </c>
    </row>
    <row r="248" spans="1:147">
      <c r="A248" t="str">
        <f>HYPERLINK(".\links\seq\TI_asb-416-seq.txt","TI_asb-416")</f>
        <v>TI_asb-416</v>
      </c>
      <c r="B248">
        <v>416</v>
      </c>
      <c r="C248" t="str">
        <f>HYPERLINK(".\links\tsa\TI_asb-416-tsa.txt","1")</f>
        <v>1</v>
      </c>
      <c r="D248">
        <v>1</v>
      </c>
      <c r="E248">
        <v>567</v>
      </c>
      <c r="G248" t="str">
        <f>HYPERLINK(".\links\qual\TI_asb-416-qual.txt","38")</f>
        <v>38</v>
      </c>
      <c r="H248">
        <v>1</v>
      </c>
      <c r="I248">
        <v>0</v>
      </c>
      <c r="J248">
        <f t="shared" si="12"/>
        <v>1</v>
      </c>
      <c r="K248" s="6">
        <f t="shared" si="13"/>
        <v>1</v>
      </c>
      <c r="L248" s="6" t="s">
        <v>3868</v>
      </c>
      <c r="M248" s="6" t="s">
        <v>3869</v>
      </c>
      <c r="N248" s="6"/>
      <c r="O248" s="6"/>
      <c r="P248" s="6"/>
      <c r="Q248" s="3">
        <v>567</v>
      </c>
      <c r="R248" s="3">
        <v>213</v>
      </c>
      <c r="S248" s="3" t="s">
        <v>3727</v>
      </c>
      <c r="T248" s="3">
        <v>5</v>
      </c>
      <c r="U248" t="s">
        <v>56</v>
      </c>
      <c r="V248" t="s">
        <v>56</v>
      </c>
      <c r="W248" t="s">
        <v>56</v>
      </c>
      <c r="X248" t="s">
        <v>56</v>
      </c>
      <c r="Y248" t="s">
        <v>56</v>
      </c>
      <c r="Z248" t="s">
        <v>56</v>
      </c>
      <c r="AA248" t="s">
        <v>56</v>
      </c>
      <c r="AB248" t="s">
        <v>56</v>
      </c>
      <c r="AC248" t="s">
        <v>56</v>
      </c>
      <c r="AD248" t="s">
        <v>56</v>
      </c>
      <c r="AE248" t="s">
        <v>56</v>
      </c>
      <c r="AF248" t="s">
        <v>56</v>
      </c>
      <c r="AG248" t="s">
        <v>56</v>
      </c>
      <c r="AH248" t="s">
        <v>56</v>
      </c>
      <c r="AI248" t="s">
        <v>56</v>
      </c>
      <c r="AJ248" t="s">
        <v>56</v>
      </c>
      <c r="AK248" t="s">
        <v>56</v>
      </c>
      <c r="AL248" t="s">
        <v>56</v>
      </c>
      <c r="AM248" t="str">
        <f>HYPERLINK(".\links\SWISSP\TI_asb-416-SWISSP.txt","SET domain-containing protein C1709.13c OS=Schizosaccharomyces pombe")</f>
        <v>SET domain-containing protein C1709.13c OS=Schizosaccharomyces pombe</v>
      </c>
      <c r="AN248" s="19" t="str">
        <f>HYPERLINK("http://www.uniprot.org/uniprot/O74738","2.6")</f>
        <v>2.6</v>
      </c>
      <c r="AO248" t="str">
        <f>HYPERLINK(".\links\SWISSP\TI_asb-416-SWISSP.txt"," 1")</f>
        <v xml:space="preserve"> 1</v>
      </c>
      <c r="AP248" t="s">
        <v>2474</v>
      </c>
      <c r="AQ248">
        <v>32</v>
      </c>
      <c r="AR248">
        <v>62</v>
      </c>
      <c r="AS248">
        <v>547</v>
      </c>
      <c r="AT248">
        <v>29</v>
      </c>
      <c r="AU248">
        <v>11</v>
      </c>
      <c r="AV248">
        <v>44</v>
      </c>
      <c r="AW248">
        <v>0</v>
      </c>
      <c r="AX248">
        <v>147</v>
      </c>
      <c r="AY248">
        <v>114</v>
      </c>
      <c r="AZ248">
        <v>1</v>
      </c>
      <c r="BA248">
        <v>-2</v>
      </c>
      <c r="BB248" t="s">
        <v>53</v>
      </c>
      <c r="BC248" t="s">
        <v>64</v>
      </c>
      <c r="BD248" t="s">
        <v>1064</v>
      </c>
      <c r="BE248" t="s">
        <v>2475</v>
      </c>
      <c r="BF248" t="s">
        <v>2476</v>
      </c>
      <c r="BG248" t="s">
        <v>56</v>
      </c>
      <c r="BH248" s="6" t="s">
        <v>56</v>
      </c>
      <c r="BI248" t="s">
        <v>56</v>
      </c>
      <c r="BJ248" t="s">
        <v>56</v>
      </c>
      <c r="BK248" t="s">
        <v>56</v>
      </c>
      <c r="BL248" t="s">
        <v>56</v>
      </c>
      <c r="BM248" t="s">
        <v>56</v>
      </c>
      <c r="BN248" t="s">
        <v>56</v>
      </c>
      <c r="BO248" t="s">
        <v>56</v>
      </c>
      <c r="BP248" t="s">
        <v>56</v>
      </c>
      <c r="BQ248" t="s">
        <v>56</v>
      </c>
      <c r="BR248" t="s">
        <v>56</v>
      </c>
      <c r="BS248" t="s">
        <v>56</v>
      </c>
      <c r="BT248" t="s">
        <v>56</v>
      </c>
      <c r="BU248" t="s">
        <v>56</v>
      </c>
      <c r="BV248" t="s">
        <v>56</v>
      </c>
      <c r="BW248" t="s">
        <v>56</v>
      </c>
      <c r="BX248" t="str">
        <f>HYPERLINK(".\links\PREV-RHOD-CDS\TI_asb-416-PREV-RHOD-CDS.txt","Contig6716_7")</f>
        <v>Contig6716_7</v>
      </c>
      <c r="BY248" s="6">
        <v>1.1000000000000001</v>
      </c>
      <c r="BZ248" t="s">
        <v>2477</v>
      </c>
      <c r="CA248">
        <v>34.200000000000003</v>
      </c>
      <c r="CB248">
        <v>16</v>
      </c>
      <c r="CC248">
        <v>1965</v>
      </c>
      <c r="CD248">
        <v>100</v>
      </c>
      <c r="CE248">
        <v>1</v>
      </c>
      <c r="CF248">
        <v>0</v>
      </c>
      <c r="CG248">
        <v>0</v>
      </c>
      <c r="CH248">
        <v>465</v>
      </c>
      <c r="CI248">
        <v>383</v>
      </c>
      <c r="CJ248">
        <v>1</v>
      </c>
      <c r="CK248" t="s">
        <v>64</v>
      </c>
      <c r="CL248" t="s">
        <v>2478</v>
      </c>
      <c r="CM248">
        <f>HYPERLINK(".\links\GO\TI_asb-416-GO.txt",0.77)</f>
        <v>0.77</v>
      </c>
      <c r="CN248" t="s">
        <v>2479</v>
      </c>
      <c r="CO248" t="s">
        <v>129</v>
      </c>
      <c r="CP248" t="s">
        <v>151</v>
      </c>
      <c r="CQ248" t="s">
        <v>2480</v>
      </c>
      <c r="CR248" s="6">
        <v>0.77</v>
      </c>
      <c r="CS248" t="s">
        <v>224</v>
      </c>
      <c r="CT248" t="s">
        <v>75</v>
      </c>
      <c r="CU248" t="s">
        <v>76</v>
      </c>
      <c r="CV248" t="s">
        <v>225</v>
      </c>
      <c r="CW248" s="6">
        <v>0.77</v>
      </c>
      <c r="CX248" t="s">
        <v>2481</v>
      </c>
      <c r="CY248" t="s">
        <v>129</v>
      </c>
      <c r="CZ248" t="s">
        <v>151</v>
      </c>
      <c r="DA248" t="s">
        <v>2482</v>
      </c>
      <c r="DB248" s="6">
        <v>0.77</v>
      </c>
      <c r="DC248" t="str">
        <f>HYPERLINK(".\links\CDD\TI_asb-416-CDD.txt","COG5523")</f>
        <v>COG5523</v>
      </c>
      <c r="DD248" t="str">
        <f>HYPERLINK("http://www.ncbi.nlm.nih.gov/Structure/cdd/cddsrv.cgi?uid=COG5523&amp;version=v4.0","0.090")</f>
        <v>0.090</v>
      </c>
      <c r="DE248" t="s">
        <v>2483</v>
      </c>
      <c r="DF248" t="str">
        <f>HYPERLINK(".\links\PFAM\TI_asb-416-PFAM.txt","DUF2206")</f>
        <v>DUF2206</v>
      </c>
      <c r="DG248" t="str">
        <f>HYPERLINK("http://pfam.sanger.ac.uk/family?acc=PF09971","0.007")</f>
        <v>0.007</v>
      </c>
      <c r="DH248" t="str">
        <f>HYPERLINK(".\links\PRK\TI_asb-416-PRK.txt","NADH dehydrogenase subunit 4")</f>
        <v>NADH dehydrogenase subunit 4</v>
      </c>
      <c r="DI248" s="7">
        <v>2.0000000000000001E-4</v>
      </c>
      <c r="DJ248" s="6" t="s">
        <v>56</v>
      </c>
      <c r="DN248" t="s">
        <v>56</v>
      </c>
      <c r="DO248" t="s">
        <v>56</v>
      </c>
      <c r="DP248" s="3" t="s">
        <v>56</v>
      </c>
      <c r="ED248" s="3" t="s">
        <v>56</v>
      </c>
    </row>
    <row r="249" spans="1:147">
      <c r="A249" t="str">
        <f>HYPERLINK(".\links\seq\TI_asb-417-seq.txt","TI_asb-417")</f>
        <v>TI_asb-417</v>
      </c>
      <c r="B249">
        <v>417</v>
      </c>
      <c r="C249" t="str">
        <f>HYPERLINK(".\links\tsa\TI_asb-417-tsa.txt","2")</f>
        <v>2</v>
      </c>
      <c r="D249">
        <v>2</v>
      </c>
      <c r="E249">
        <v>803</v>
      </c>
      <c r="F249">
        <v>773</v>
      </c>
      <c r="G249" t="str">
        <f>HYPERLINK(".\links\qual\TI_asb-417-qual.txt","72")</f>
        <v>72</v>
      </c>
      <c r="H249">
        <v>0</v>
      </c>
      <c r="I249">
        <v>2</v>
      </c>
      <c r="J249">
        <f t="shared" si="12"/>
        <v>2</v>
      </c>
      <c r="K249" s="6">
        <f t="shared" si="13"/>
        <v>-2</v>
      </c>
      <c r="L249" s="6" t="s">
        <v>4036</v>
      </c>
      <c r="M249" s="6" t="s">
        <v>3919</v>
      </c>
      <c r="N249" s="6" t="s">
        <v>3872</v>
      </c>
      <c r="O249" s="7">
        <v>1.9999999999999999E-57</v>
      </c>
      <c r="P249" s="6">
        <v>100</v>
      </c>
      <c r="Q249" s="3">
        <v>803</v>
      </c>
      <c r="R249" s="3">
        <v>486</v>
      </c>
      <c r="S249" s="6" t="s">
        <v>3728</v>
      </c>
      <c r="T249" s="3">
        <v>1</v>
      </c>
      <c r="U249" t="str">
        <f>HYPERLINK(".\links\NR-LIGHT\TI_asb-417-NR-LIGHT.txt","AGAP002385-PA")</f>
        <v>AGAP002385-PA</v>
      </c>
      <c r="V249" t="str">
        <f>HYPERLINK("http://www.ncbi.nlm.nih.gov/sutils/blink.cgi?pid=58383485","2E-055")</f>
        <v>2E-055</v>
      </c>
      <c r="W249" t="str">
        <f>HYPERLINK(".\links\NR-LIGHT\TI_asb-417-NR-LIGHT.txt"," 10")</f>
        <v xml:space="preserve"> 10</v>
      </c>
      <c r="X249" t="str">
        <f>HYPERLINK("http://www.ncbi.nlm.nih.gov/protein/58383485","gi|58383485")</f>
        <v>gi|58383485</v>
      </c>
      <c r="Y249">
        <v>218</v>
      </c>
      <c r="Z249">
        <v>142</v>
      </c>
      <c r="AA249">
        <v>154</v>
      </c>
      <c r="AB249">
        <v>70</v>
      </c>
      <c r="AC249">
        <v>92</v>
      </c>
      <c r="AD249">
        <v>42</v>
      </c>
      <c r="AE249">
        <v>0</v>
      </c>
      <c r="AF249">
        <v>12</v>
      </c>
      <c r="AG249">
        <v>73</v>
      </c>
      <c r="AH249">
        <v>1</v>
      </c>
      <c r="AI249">
        <v>1</v>
      </c>
      <c r="AJ249" t="s">
        <v>53</v>
      </c>
      <c r="AK249" t="s">
        <v>54</v>
      </c>
      <c r="AL249" t="s">
        <v>1161</v>
      </c>
      <c r="AM249" t="str">
        <f>HYPERLINK(".\links\SWISSP\TI_asb-417-SWISSP.txt","Trafficking protein particle complex subunit 6B OS=Homo sapiens GN=TRAPPC6B PE=1")</f>
        <v>Trafficking protein particle complex subunit 6B OS=Homo sapiens GN=TRAPPC6B PE=1</v>
      </c>
      <c r="AN249" s="19" t="str">
        <f>HYPERLINK("http://www.uniprot.org/uniprot/Q86SZ2","2E-039")</f>
        <v>2E-039</v>
      </c>
      <c r="AO249" t="str">
        <f>HYPERLINK(".\links\SWISSP\TI_asb-417-SWISSP.txt"," 10")</f>
        <v xml:space="preserve"> 10</v>
      </c>
      <c r="AP249" t="s">
        <v>2484</v>
      </c>
      <c r="AQ249">
        <v>162</v>
      </c>
      <c r="AR249">
        <v>125</v>
      </c>
      <c r="AS249">
        <v>158</v>
      </c>
      <c r="AT249">
        <v>59</v>
      </c>
      <c r="AU249">
        <v>79</v>
      </c>
      <c r="AV249">
        <v>51</v>
      </c>
      <c r="AW249">
        <v>0</v>
      </c>
      <c r="AX249">
        <v>33</v>
      </c>
      <c r="AY249">
        <v>124</v>
      </c>
      <c r="AZ249">
        <v>1</v>
      </c>
      <c r="BA249">
        <v>1</v>
      </c>
      <c r="BB249" t="s">
        <v>53</v>
      </c>
      <c r="BC249" t="s">
        <v>54</v>
      </c>
      <c r="BD249" t="s">
        <v>330</v>
      </c>
      <c r="BE249" t="s">
        <v>2485</v>
      </c>
      <c r="BF249" t="s">
        <v>2486</v>
      </c>
      <c r="BG249" t="str">
        <f>HYPERLINK(".\links\PREV-RHOD-PEP\TI_asb-417-PREV-RHOD-PEP.txt","Contig17272_21")</f>
        <v>Contig17272_21</v>
      </c>
      <c r="BH249" s="6">
        <v>1.1000000000000001</v>
      </c>
      <c r="BI249" t="str">
        <f>HYPERLINK(".\links\PREV-RHOD-PEP\TI_asb-417-PREV-RHOD-PEP.txt"," 7")</f>
        <v xml:space="preserve"> 7</v>
      </c>
      <c r="BJ249" t="s">
        <v>2487</v>
      </c>
      <c r="BK249">
        <v>30</v>
      </c>
      <c r="BL249">
        <v>66</v>
      </c>
      <c r="BM249">
        <v>702</v>
      </c>
      <c r="BN249">
        <v>27</v>
      </c>
      <c r="BO249">
        <v>9</v>
      </c>
      <c r="BP249">
        <v>48</v>
      </c>
      <c r="BQ249">
        <v>0</v>
      </c>
      <c r="BR249">
        <v>497</v>
      </c>
      <c r="BS249">
        <v>205</v>
      </c>
      <c r="BT249">
        <v>1</v>
      </c>
      <c r="BU249" t="s">
        <v>54</v>
      </c>
      <c r="BV249" t="s">
        <v>2488</v>
      </c>
      <c r="BW249" t="s">
        <v>56</v>
      </c>
      <c r="BX249" t="str">
        <f>HYPERLINK(".\links\PREV-RHOD-CDS\TI_asb-417-PREV-RHOD-CDS.txt","Contig7959_1")</f>
        <v>Contig7959_1</v>
      </c>
      <c r="BY249" s="6">
        <v>0.4</v>
      </c>
      <c r="BZ249" t="s">
        <v>2489</v>
      </c>
      <c r="CA249">
        <v>36.200000000000003</v>
      </c>
      <c r="CB249">
        <v>17</v>
      </c>
      <c r="CC249">
        <v>714</v>
      </c>
      <c r="CD249">
        <v>100</v>
      </c>
      <c r="CE249">
        <v>3</v>
      </c>
      <c r="CF249">
        <v>0</v>
      </c>
      <c r="CG249">
        <v>0</v>
      </c>
      <c r="CH249">
        <v>689</v>
      </c>
      <c r="CI249">
        <v>664</v>
      </c>
      <c r="CJ249">
        <v>1</v>
      </c>
      <c r="CK249" t="s">
        <v>54</v>
      </c>
      <c r="CL249" t="s">
        <v>2490</v>
      </c>
      <c r="CM249">
        <f>HYPERLINK(".\links\GO\TI_asb-417-GO.txt",2E-21)</f>
        <v>1.9999999999999998E-21</v>
      </c>
      <c r="CN249" t="s">
        <v>58</v>
      </c>
      <c r="CO249" t="s">
        <v>58</v>
      </c>
      <c r="CQ249" t="s">
        <v>59</v>
      </c>
      <c r="CR249" s="7">
        <v>1.9999999999999998E-21</v>
      </c>
      <c r="CS249" t="s">
        <v>2491</v>
      </c>
      <c r="CT249" t="s">
        <v>247</v>
      </c>
      <c r="CU249" t="s">
        <v>247</v>
      </c>
      <c r="CV249" t="s">
        <v>2492</v>
      </c>
      <c r="CW249" s="7">
        <v>1.9999999999999998E-21</v>
      </c>
      <c r="CX249" t="s">
        <v>661</v>
      </c>
      <c r="CY249" t="s">
        <v>58</v>
      </c>
      <c r="DA249" t="s">
        <v>662</v>
      </c>
      <c r="DB249" s="7">
        <v>1.9999999999999998E-21</v>
      </c>
      <c r="DC249" t="str">
        <f>HYPERLINK(".\links\CDD\TI_asb-417-CDD.txt","TRAPP")</f>
        <v>TRAPP</v>
      </c>
      <c r="DD249" t="str">
        <f>HYPERLINK("http://www.ncbi.nlm.nih.gov/Structure/cdd/cddsrv.cgi?uid=pfam04051&amp;version=v4.0","4E-039")</f>
        <v>4E-039</v>
      </c>
      <c r="DE249" t="s">
        <v>2493</v>
      </c>
      <c r="DF249" t="str">
        <f>HYPERLINK(".\links\PFAM\TI_asb-417-PFAM.txt","TRAPP")</f>
        <v>TRAPP</v>
      </c>
      <c r="DG249" t="str">
        <f>HYPERLINK("http://pfam.sanger.ac.uk/family?acc=PF04051","9E-040")</f>
        <v>9E-040</v>
      </c>
      <c r="DH249" t="str">
        <f>HYPERLINK(".\links\PRK\TI_asb-417-PRK.txt","NADH dehydrogenase subunit 4")</f>
        <v>NADH dehydrogenase subunit 4</v>
      </c>
      <c r="DI249" s="7">
        <v>5.9999999999999995E-4</v>
      </c>
      <c r="DJ249" s="6" t="str">
        <f>HYPERLINK(".\links\KOG\TI_asb-417-KOG.txt","Transport protein particle (TRAPP) complex subunit")</f>
        <v>Transport protein particle (TRAPP) complex subunit</v>
      </c>
      <c r="DK249" s="6" t="str">
        <f>HYPERLINK("http://www.ncbi.nlm.nih.gov/COG/grace/shokog.cgi?KOG3316","2E-057")</f>
        <v>2E-057</v>
      </c>
      <c r="DL249" s="6" t="s">
        <v>4352</v>
      </c>
      <c r="DM249" s="6" t="str">
        <f>HYPERLINK(".\links\KOG\TI_asb-417-KOG.txt","KOG3316")</f>
        <v>KOG3316</v>
      </c>
      <c r="DN249" t="str">
        <f>HYPERLINK(".\links\SMART\TI_asb-417-SMART.txt","TOP2c")</f>
        <v>TOP2c</v>
      </c>
      <c r="DO249" t="str">
        <f>HYPERLINK("http://smart.embl-heidelberg.de/smart/do_annotation.pl?DOMAIN=TOP2c&amp;BLAST=DUMMY","0.090")</f>
        <v>0.090</v>
      </c>
      <c r="DP249" s="3" t="s">
        <v>56</v>
      </c>
      <c r="ED249" s="3" t="s">
        <v>56</v>
      </c>
    </row>
    <row r="250" spans="1:147">
      <c r="A250" t="str">
        <f>HYPERLINK(".\links\seq\TI_asb-418-seq.txt","TI_asb-418")</f>
        <v>TI_asb-418</v>
      </c>
      <c r="B250">
        <v>418</v>
      </c>
      <c r="C250" t="str">
        <f>HYPERLINK(".\links\tsa\TI_asb-418-tsa.txt","2")</f>
        <v>2</v>
      </c>
      <c r="D250">
        <v>2</v>
      </c>
      <c r="E250">
        <v>623</v>
      </c>
      <c r="G250" t="str">
        <f>HYPERLINK(".\links\qual\TI_asb-418-qual.txt","69")</f>
        <v>69</v>
      </c>
      <c r="H250">
        <v>0</v>
      </c>
      <c r="I250">
        <v>2</v>
      </c>
      <c r="J250">
        <f t="shared" si="12"/>
        <v>2</v>
      </c>
      <c r="K250" s="6">
        <f t="shared" si="13"/>
        <v>-2</v>
      </c>
      <c r="L250" s="6" t="s">
        <v>3980</v>
      </c>
      <c r="M250" s="6" t="s">
        <v>3866</v>
      </c>
      <c r="N250" s="6" t="s">
        <v>3872</v>
      </c>
      <c r="O250" s="7">
        <v>1.9999999999999999E-82</v>
      </c>
      <c r="P250" s="6">
        <v>75.5</v>
      </c>
      <c r="Q250" s="3">
        <v>623</v>
      </c>
      <c r="R250" s="3">
        <v>597</v>
      </c>
      <c r="S250" s="6" t="s">
        <v>3729</v>
      </c>
      <c r="T250" s="3">
        <v>1</v>
      </c>
      <c r="U250" t="str">
        <f>HYPERLINK(".\links\NR-LIGHT\TI_asb-418-NR-LIGHT.txt","60S acidic ribosomal protein P0")</f>
        <v>60S acidic ribosomal protein P0</v>
      </c>
      <c r="V250" t="str">
        <f>HYPERLINK("http://www.ncbi.nlm.nih.gov/sutils/blink.cgi?pid=263173401","2E-094")</f>
        <v>2E-094</v>
      </c>
      <c r="W250" t="str">
        <f>HYPERLINK(".\links\NR-LIGHT\TI_asb-418-NR-LIGHT.txt"," 10")</f>
        <v xml:space="preserve"> 10</v>
      </c>
      <c r="X250" t="str">
        <f>HYPERLINK("http://www.ncbi.nlm.nih.gov/protein/263173401","gi|263173401")</f>
        <v>gi|263173401</v>
      </c>
      <c r="Y250">
        <v>345</v>
      </c>
      <c r="Z250">
        <v>190</v>
      </c>
      <c r="AA250">
        <v>320</v>
      </c>
      <c r="AB250">
        <v>91</v>
      </c>
      <c r="AC250">
        <v>59</v>
      </c>
      <c r="AD250">
        <v>17</v>
      </c>
      <c r="AE250">
        <v>0</v>
      </c>
      <c r="AF250">
        <v>16</v>
      </c>
      <c r="AG250">
        <v>6</v>
      </c>
      <c r="AH250">
        <v>2</v>
      </c>
      <c r="AI250">
        <v>1</v>
      </c>
      <c r="AJ250" t="s">
        <v>65</v>
      </c>
      <c r="AK250" t="s">
        <v>54</v>
      </c>
      <c r="AL250" t="s">
        <v>2494</v>
      </c>
      <c r="AM250" t="str">
        <f>HYPERLINK(".\links\SWISSP\TI_asb-418-SWISSP.txt","60S acidic ribosomal protein P0 OS=Ceratitis capitata GN=RpLP0 PE=3 SV=1")</f>
        <v>60S acidic ribosomal protein P0 OS=Ceratitis capitata GN=RpLP0 PE=3 SV=1</v>
      </c>
      <c r="AN250" s="19" t="str">
        <f>HYPERLINK("http://www.uniprot.org/uniprot/Q9U3U0","2E-084")</f>
        <v>2E-084</v>
      </c>
      <c r="AO250" t="str">
        <f>HYPERLINK(".\links\SWISSP\TI_asb-418-SWISSP.txt"," 10")</f>
        <v xml:space="preserve"> 10</v>
      </c>
      <c r="AP250" t="s">
        <v>2495</v>
      </c>
      <c r="AQ250">
        <v>311</v>
      </c>
      <c r="AR250">
        <v>189</v>
      </c>
      <c r="AS250">
        <v>317</v>
      </c>
      <c r="AT250">
        <v>83</v>
      </c>
      <c r="AU250">
        <v>60</v>
      </c>
      <c r="AV250">
        <v>31</v>
      </c>
      <c r="AW250">
        <v>0</v>
      </c>
      <c r="AX250">
        <v>30</v>
      </c>
      <c r="AY250">
        <v>49</v>
      </c>
      <c r="AZ250">
        <v>1</v>
      </c>
      <c r="BA250">
        <v>1</v>
      </c>
      <c r="BB250" t="s">
        <v>53</v>
      </c>
      <c r="BC250" t="s">
        <v>54</v>
      </c>
      <c r="BD250" t="s">
        <v>1973</v>
      </c>
      <c r="BE250" t="s">
        <v>2496</v>
      </c>
      <c r="BF250" t="s">
        <v>2497</v>
      </c>
      <c r="BG250" t="str">
        <f>HYPERLINK(".\links\PREV-RHOD-PEP\TI_asb-418-PREV-RHOD-PEP.txt","Contig4545_2")</f>
        <v>Contig4545_2</v>
      </c>
      <c r="BH250" s="7">
        <v>3E-98</v>
      </c>
      <c r="BI250" t="str">
        <f>HYPERLINK(".\links\PREV-RHOD-PEP\TI_asb-418-PREV-RHOD-PEP.txt"," 10")</f>
        <v xml:space="preserve"> 10</v>
      </c>
      <c r="BJ250" t="s">
        <v>1534</v>
      </c>
      <c r="BK250">
        <v>353</v>
      </c>
      <c r="BL250">
        <v>197</v>
      </c>
      <c r="BM250">
        <v>728</v>
      </c>
      <c r="BN250">
        <v>93</v>
      </c>
      <c r="BO250">
        <v>27</v>
      </c>
      <c r="BP250">
        <v>13</v>
      </c>
      <c r="BQ250">
        <v>7</v>
      </c>
      <c r="BR250">
        <v>437</v>
      </c>
      <c r="BS250">
        <v>49</v>
      </c>
      <c r="BT250">
        <v>1</v>
      </c>
      <c r="BU250" t="s">
        <v>54</v>
      </c>
      <c r="BV250" t="s">
        <v>2498</v>
      </c>
      <c r="BW250" t="s">
        <v>56</v>
      </c>
      <c r="BX250" t="str">
        <f>HYPERLINK(".\links\PREV-RHOD-CDS\TI_asb-418-PREV-RHOD-CDS.txt","Contig4545_2")</f>
        <v>Contig4545_2</v>
      </c>
      <c r="BY250" s="7">
        <v>1.0000000000000001E-152</v>
      </c>
      <c r="BZ250" t="s">
        <v>1534</v>
      </c>
      <c r="CA250">
        <v>537</v>
      </c>
      <c r="CB250">
        <v>627</v>
      </c>
      <c r="CC250">
        <v>2187</v>
      </c>
      <c r="CD250">
        <v>86</v>
      </c>
      <c r="CE250">
        <v>29</v>
      </c>
      <c r="CF250">
        <v>83</v>
      </c>
      <c r="CG250">
        <v>22</v>
      </c>
      <c r="CH250">
        <v>1276</v>
      </c>
      <c r="CI250">
        <v>15</v>
      </c>
      <c r="CJ250">
        <v>2</v>
      </c>
      <c r="CK250" t="s">
        <v>54</v>
      </c>
      <c r="CL250" t="s">
        <v>1535</v>
      </c>
      <c r="CM250">
        <f>HYPERLINK(".\links\GO\TI_asb-418-GO.txt",3E-84)</f>
        <v>3.0000000000000001E-84</v>
      </c>
      <c r="CN250" t="s">
        <v>702</v>
      </c>
      <c r="CO250" t="s">
        <v>703</v>
      </c>
      <c r="CP250" t="s">
        <v>704</v>
      </c>
      <c r="CQ250" t="s">
        <v>705</v>
      </c>
      <c r="CR250" s="7">
        <v>3.0000000000000001E-84</v>
      </c>
      <c r="CS250" t="s">
        <v>706</v>
      </c>
      <c r="CT250" t="s">
        <v>75</v>
      </c>
      <c r="CU250" t="s">
        <v>76</v>
      </c>
      <c r="CV250" t="s">
        <v>707</v>
      </c>
      <c r="CW250" s="7">
        <v>3.0000000000000001E-84</v>
      </c>
      <c r="CX250" t="s">
        <v>708</v>
      </c>
      <c r="CY250" t="s">
        <v>703</v>
      </c>
      <c r="CZ250" t="s">
        <v>704</v>
      </c>
      <c r="DA250" t="s">
        <v>709</v>
      </c>
      <c r="DB250" s="7">
        <v>3.0000000000000001E-84</v>
      </c>
      <c r="DC250" t="str">
        <f>HYPERLINK(".\links\CDD\TI_asb-418-CDD.txt","Ribosomal_P0_L1")</f>
        <v>Ribosomal_P0_L1</v>
      </c>
      <c r="DD250" t="str">
        <f>HYPERLINK("http://www.ncbi.nlm.nih.gov/Structure/cdd/cddsrv.cgi?uid=cd05795&amp;version=v4.0","2E-066")</f>
        <v>2E-066</v>
      </c>
      <c r="DE250" t="s">
        <v>2499</v>
      </c>
      <c r="DF250" t="str">
        <f>HYPERLINK(".\links\PFAM\TI_asb-418-PFAM.txt","Ribosomal_L10")</f>
        <v>Ribosomal_L10</v>
      </c>
      <c r="DG250" t="str">
        <f>HYPERLINK("http://pfam.sanger.ac.uk/family?acc=PF00466","2E-022")</f>
        <v>2E-022</v>
      </c>
      <c r="DH250" t="str">
        <f>HYPERLINK(".\links\PRK\TI_asb-418-PRK.txt","60S acidic ribosomal protein P0")</f>
        <v>60S acidic ribosomal protein P0</v>
      </c>
      <c r="DI250" s="7">
        <v>9.9999999999999996E-82</v>
      </c>
      <c r="DJ250" s="6" t="str">
        <f>HYPERLINK(".\links\KOG\TI_asb-418-KOG.txt","60S acidic ribosomal protein P0")</f>
        <v>60S acidic ribosomal protein P0</v>
      </c>
      <c r="DK250" s="6" t="str">
        <f>HYPERLINK("http://www.ncbi.nlm.nih.gov/COG/grace/shokog.cgi?KOG0815","2E-082")</f>
        <v>2E-082</v>
      </c>
      <c r="DL250" s="6" t="s">
        <v>4333</v>
      </c>
      <c r="DM250" s="6" t="str">
        <f>HYPERLINK(".\links\KOG\TI_asb-418-KOG.txt","KOG0815")</f>
        <v>KOG0815</v>
      </c>
      <c r="DN250" t="s">
        <v>56</v>
      </c>
      <c r="DO250" t="s">
        <v>56</v>
      </c>
      <c r="DP250" s="3" t="s">
        <v>56</v>
      </c>
      <c r="ED250" s="3" t="s">
        <v>56</v>
      </c>
    </row>
    <row r="251" spans="1:147">
      <c r="A251" t="str">
        <f>HYPERLINK(".\links\seq\TI_asb-419-seq.txt","TI_asb-419")</f>
        <v>TI_asb-419</v>
      </c>
      <c r="B251">
        <v>419</v>
      </c>
      <c r="C251" t="str">
        <f>HYPERLINK(".\links\tsa\TI_asb-419-tsa.txt","1")</f>
        <v>1</v>
      </c>
      <c r="D251">
        <v>1</v>
      </c>
      <c r="E251">
        <v>1049</v>
      </c>
      <c r="F251">
        <v>622</v>
      </c>
      <c r="G251" t="str">
        <f>HYPERLINK(".\links\qual\TI_asb-419-qual.txt","30")</f>
        <v>30</v>
      </c>
      <c r="H251">
        <v>0</v>
      </c>
      <c r="I251">
        <v>1</v>
      </c>
      <c r="J251">
        <f t="shared" si="12"/>
        <v>1</v>
      </c>
      <c r="K251" s="6">
        <f t="shared" si="13"/>
        <v>-1</v>
      </c>
      <c r="L251" s="6" t="s">
        <v>3888</v>
      </c>
      <c r="M251" s="6" t="s">
        <v>3886</v>
      </c>
      <c r="N251" s="6" t="s">
        <v>3872</v>
      </c>
      <c r="O251" s="6">
        <v>0</v>
      </c>
      <c r="P251" s="6">
        <v>5.6</v>
      </c>
      <c r="Q251" s="3">
        <v>1049</v>
      </c>
      <c r="R251" s="3">
        <v>453</v>
      </c>
      <c r="S251" s="6" t="s">
        <v>3730</v>
      </c>
      <c r="T251" s="3">
        <v>3</v>
      </c>
      <c r="U251" t="str">
        <f>HYPERLINK(".\links\NR-LIGHT\TI_asb-419-NR-LIGHT.txt","Ras and Rab interactor 3")</f>
        <v>Ras and Rab interactor 3</v>
      </c>
      <c r="V251" t="str">
        <f>HYPERLINK("http://www.ncbi.nlm.nih.gov/sutils/blink.cgi?pid=297488222","0.096")</f>
        <v>0.096</v>
      </c>
      <c r="W251" t="str">
        <f>HYPERLINK(".\links\NR-LIGHT\TI_asb-419-NR-LIGHT.txt"," 10")</f>
        <v xml:space="preserve"> 10</v>
      </c>
      <c r="X251" t="str">
        <f>HYPERLINK("http://www.ncbi.nlm.nih.gov/protein/297488222","gi|297488222")</f>
        <v>gi|297488222</v>
      </c>
      <c r="Y251">
        <v>40.4</v>
      </c>
      <c r="Z251">
        <v>73</v>
      </c>
      <c r="AA251">
        <v>1062</v>
      </c>
      <c r="AB251">
        <v>35</v>
      </c>
      <c r="AC251">
        <v>7</v>
      </c>
      <c r="AD251">
        <v>47</v>
      </c>
      <c r="AE251">
        <v>0</v>
      </c>
      <c r="AF251">
        <v>332</v>
      </c>
      <c r="AG251">
        <v>658</v>
      </c>
      <c r="AH251">
        <v>1</v>
      </c>
      <c r="AI251">
        <v>1</v>
      </c>
      <c r="AJ251" t="s">
        <v>53</v>
      </c>
      <c r="AK251" t="s">
        <v>54</v>
      </c>
      <c r="AL251" t="s">
        <v>113</v>
      </c>
      <c r="AM251" t="str">
        <f>HYPERLINK(".\links\SWISSP\TI_asb-419-SWISSP.txt","WW domain-binding protein 11 OS=Homo sapiens GN=WBP11 PE=1 SV=1")</f>
        <v>WW domain-binding protein 11 OS=Homo sapiens GN=WBP11 PE=1 SV=1</v>
      </c>
      <c r="AN251" s="19" t="str">
        <f>HYPERLINK("http://www.uniprot.org/uniprot/Q9Y2W2","0.062")</f>
        <v>0.062</v>
      </c>
      <c r="AO251" t="str">
        <f>HYPERLINK(".\links\SWISSP\TI_asb-419-SWISSP.txt"," 10")</f>
        <v xml:space="preserve"> 10</v>
      </c>
      <c r="AP251" t="s">
        <v>2500</v>
      </c>
      <c r="AQ251">
        <v>38.9</v>
      </c>
      <c r="AR251">
        <v>72</v>
      </c>
      <c r="AS251">
        <v>641</v>
      </c>
      <c r="AT251">
        <v>41</v>
      </c>
      <c r="AU251">
        <v>11</v>
      </c>
      <c r="AV251">
        <v>42</v>
      </c>
      <c r="AW251">
        <v>2</v>
      </c>
      <c r="AX251">
        <v>431</v>
      </c>
      <c r="AY251">
        <v>664</v>
      </c>
      <c r="AZ251">
        <v>1</v>
      </c>
      <c r="BA251">
        <v>1</v>
      </c>
      <c r="BB251" t="s">
        <v>53</v>
      </c>
      <c r="BC251" t="s">
        <v>54</v>
      </c>
      <c r="BD251" t="s">
        <v>330</v>
      </c>
      <c r="BE251" t="s">
        <v>2501</v>
      </c>
      <c r="BF251" t="s">
        <v>2502</v>
      </c>
      <c r="BG251" t="str">
        <f>HYPERLINK(".\links\PREV-RHOD-PEP\TI_asb-419-PREV-RHOD-PEP.txt","Contig17830_128")</f>
        <v>Contig17830_128</v>
      </c>
      <c r="BH251" s="7">
        <v>4.0000000000000002E-4</v>
      </c>
      <c r="BI251" t="str">
        <f>HYPERLINK(".\links\PREV-RHOD-PEP\TI_asb-419-PREV-RHOD-PEP.txt"," 10")</f>
        <v xml:space="preserve"> 10</v>
      </c>
      <c r="BJ251" t="s">
        <v>2503</v>
      </c>
      <c r="BK251">
        <v>42</v>
      </c>
      <c r="BL251">
        <v>43</v>
      </c>
      <c r="BM251">
        <v>424</v>
      </c>
      <c r="BN251">
        <v>55</v>
      </c>
      <c r="BO251">
        <v>10</v>
      </c>
      <c r="BP251">
        <v>19</v>
      </c>
      <c r="BQ251">
        <v>1</v>
      </c>
      <c r="BR251">
        <v>109</v>
      </c>
      <c r="BS251">
        <v>351</v>
      </c>
      <c r="BT251">
        <v>1</v>
      </c>
      <c r="BU251" t="s">
        <v>64</v>
      </c>
      <c r="BV251" t="s">
        <v>2504</v>
      </c>
      <c r="BW251" t="s">
        <v>56</v>
      </c>
      <c r="BX251" t="str">
        <f>HYPERLINK(".\links\PREV-RHOD-CDS\TI_asb-419-PREV-RHOD-CDS.txt","Contig17830_128")</f>
        <v>Contig17830_128</v>
      </c>
      <c r="BY251" s="7">
        <v>2E-12</v>
      </c>
      <c r="BZ251" t="s">
        <v>2503</v>
      </c>
      <c r="CA251">
        <v>73.8</v>
      </c>
      <c r="CB251">
        <v>68</v>
      </c>
      <c r="CC251">
        <v>1275</v>
      </c>
      <c r="CD251">
        <v>88</v>
      </c>
      <c r="CE251">
        <v>5</v>
      </c>
      <c r="CF251">
        <v>8</v>
      </c>
      <c r="CG251">
        <v>0</v>
      </c>
      <c r="CH251">
        <v>343</v>
      </c>
      <c r="CI251">
        <v>390</v>
      </c>
      <c r="CJ251">
        <v>1</v>
      </c>
      <c r="CK251" t="s">
        <v>64</v>
      </c>
      <c r="CL251" t="s">
        <v>2505</v>
      </c>
      <c r="CM251">
        <f>HYPERLINK(".\links\GO\TI_asb-419-GO.txt",0.029)</f>
        <v>2.9000000000000001E-2</v>
      </c>
      <c r="CN251" t="s">
        <v>208</v>
      </c>
      <c r="CO251" t="s">
        <v>185</v>
      </c>
      <c r="CP251" t="s">
        <v>186</v>
      </c>
      <c r="CQ251" t="s">
        <v>209</v>
      </c>
      <c r="CR251">
        <v>2.9000000000000001E-2</v>
      </c>
      <c r="CS251" t="s">
        <v>224</v>
      </c>
      <c r="CT251" t="s">
        <v>75</v>
      </c>
      <c r="CU251" t="s">
        <v>76</v>
      </c>
      <c r="CV251" t="s">
        <v>225</v>
      </c>
      <c r="CW251">
        <v>2.9000000000000001E-2</v>
      </c>
      <c r="CX251" t="s">
        <v>2506</v>
      </c>
      <c r="CY251" t="s">
        <v>185</v>
      </c>
      <c r="CZ251" t="s">
        <v>186</v>
      </c>
      <c r="DA251" t="s">
        <v>2507</v>
      </c>
      <c r="DB251">
        <v>2.9000000000000001E-2</v>
      </c>
      <c r="DC251" t="str">
        <f>HYPERLINK(".\links\CDD\TI_asb-419-CDD.txt","Extensin_2")</f>
        <v>Extensin_2</v>
      </c>
      <c r="DD251" t="str">
        <f>HYPERLINK("http://www.ncbi.nlm.nih.gov/Structure/cdd/cddsrv.cgi?uid=pfam04554&amp;version=v4.0","1E-007")</f>
        <v>1E-007</v>
      </c>
      <c r="DE251" t="s">
        <v>2508</v>
      </c>
      <c r="DF251" t="str">
        <f>HYPERLINK(".\links\PFAM\TI_asb-419-PFAM.txt","Atrophin-1")</f>
        <v>Atrophin-1</v>
      </c>
      <c r="DG251" t="str">
        <f>HYPERLINK("http://pfam.sanger.ac.uk/family?acc=PF03154","4E-007")</f>
        <v>4E-007</v>
      </c>
      <c r="DH251" t="str">
        <f>HYPERLINK(".\links\PRK\TI_asb-419-PRK.txt","large tegument protein UL36")</f>
        <v>large tegument protein UL36</v>
      </c>
      <c r="DI251" s="7">
        <v>6.9999999999999998E-9</v>
      </c>
      <c r="DJ251" s="6" t="str">
        <f>HYPERLINK(".\links\KOG\TI_asb-419-KOG.txt","Nuclear protein, contains WD40 repeats")</f>
        <v>Nuclear protein, contains WD40 repeats</v>
      </c>
      <c r="DK251" s="6" t="str">
        <f>HYPERLINK("http://www.ncbi.nlm.nih.gov/COG/grace/shokog.cgi?KOG1916","0.0")</f>
        <v>0.0</v>
      </c>
      <c r="DL251" s="6" t="s">
        <v>4337</v>
      </c>
      <c r="DM251" s="6" t="str">
        <f>HYPERLINK(".\links\KOG\TI_asb-419-KOG.txt","KOG1916")</f>
        <v>KOG1916</v>
      </c>
      <c r="DN251" t="str">
        <f>HYPERLINK(".\links\SMART\TI_asb-419-SMART.txt","Amelogenin")</f>
        <v>Amelogenin</v>
      </c>
      <c r="DO251" t="str">
        <f>HYPERLINK("http://smart.embl-heidelberg.de/smart/do_annotation.pl?DOMAIN=Amelogenin&amp;BLAST=DUMMY","5E-005")</f>
        <v>5E-005</v>
      </c>
      <c r="DP251" s="3" t="s">
        <v>56</v>
      </c>
      <c r="ED251" s="3" t="s">
        <v>56</v>
      </c>
    </row>
    <row r="252" spans="1:147">
      <c r="A252" t="str">
        <f>HYPERLINK(".\links\seq\TI_asb-421-seq.txt","TI_asb-421")</f>
        <v>TI_asb-421</v>
      </c>
      <c r="B252">
        <v>421</v>
      </c>
      <c r="C252" t="str">
        <f>HYPERLINK(".\links\tsa\TI_asb-421-tsa.txt","1")</f>
        <v>1</v>
      </c>
      <c r="D252">
        <v>1</v>
      </c>
      <c r="E252">
        <v>846</v>
      </c>
      <c r="F252">
        <v>823</v>
      </c>
      <c r="G252" t="str">
        <f>HYPERLINK(".\links\qual\TI_asb-421-qual.txt","40")</f>
        <v>40</v>
      </c>
      <c r="H252">
        <v>0</v>
      </c>
      <c r="I252">
        <v>1</v>
      </c>
      <c r="J252">
        <f t="shared" si="12"/>
        <v>1</v>
      </c>
      <c r="K252" s="6">
        <f t="shared" si="13"/>
        <v>-1</v>
      </c>
      <c r="L252" s="6" t="s">
        <v>3868</v>
      </c>
      <c r="M252" s="6" t="s">
        <v>3869</v>
      </c>
      <c r="N252" s="6"/>
      <c r="O252" s="6"/>
      <c r="P252" s="6"/>
      <c r="Q252" s="3">
        <v>846</v>
      </c>
      <c r="R252" s="3">
        <v>159</v>
      </c>
      <c r="S252" s="3" t="s">
        <v>3731</v>
      </c>
      <c r="T252" s="3">
        <v>4</v>
      </c>
      <c r="U252" t="s">
        <v>56</v>
      </c>
      <c r="V252" t="s">
        <v>56</v>
      </c>
      <c r="W252" t="s">
        <v>56</v>
      </c>
      <c r="X252" t="s">
        <v>56</v>
      </c>
      <c r="Y252" t="s">
        <v>56</v>
      </c>
      <c r="Z252" t="s">
        <v>56</v>
      </c>
      <c r="AA252" t="s">
        <v>56</v>
      </c>
      <c r="AB252" t="s">
        <v>56</v>
      </c>
      <c r="AC252" t="s">
        <v>56</v>
      </c>
      <c r="AD252" t="s">
        <v>56</v>
      </c>
      <c r="AE252" t="s">
        <v>56</v>
      </c>
      <c r="AF252" t="s">
        <v>56</v>
      </c>
      <c r="AG252" t="s">
        <v>56</v>
      </c>
      <c r="AH252" t="s">
        <v>56</v>
      </c>
      <c r="AI252" t="s">
        <v>56</v>
      </c>
      <c r="AJ252" t="s">
        <v>56</v>
      </c>
      <c r="AK252" t="s">
        <v>56</v>
      </c>
      <c r="AL252" t="s">
        <v>56</v>
      </c>
      <c r="AM252" t="str">
        <f>HYPERLINK(".\links\SWISSP\TI_asb-421-SWISSP.txt","Uncharacterized protein PF07_0086 OS=Plasmodium falciparum (isolate 3D7)")</f>
        <v>Uncharacterized protein PF07_0086 OS=Plasmodium falciparum (isolate 3D7)</v>
      </c>
      <c r="AN252" s="19" t="str">
        <f>HYPERLINK("http://www.uniprot.org/uniprot/Q8IBP1","7.1")</f>
        <v>7.1</v>
      </c>
      <c r="AO252" t="str">
        <f>HYPERLINK(".\links\SWISSP\TI_asb-421-SWISSP.txt"," 1")</f>
        <v xml:space="preserve"> 1</v>
      </c>
      <c r="AP252" t="s">
        <v>2509</v>
      </c>
      <c r="AQ252">
        <v>31.6</v>
      </c>
      <c r="AR252">
        <v>50</v>
      </c>
      <c r="AS252">
        <v>3429</v>
      </c>
      <c r="AT252">
        <v>32</v>
      </c>
      <c r="AU252">
        <v>1</v>
      </c>
      <c r="AV252">
        <v>34</v>
      </c>
      <c r="AW252">
        <v>2</v>
      </c>
      <c r="AX252">
        <v>2037</v>
      </c>
      <c r="AY252">
        <v>446</v>
      </c>
      <c r="AZ252">
        <v>1</v>
      </c>
      <c r="BA252">
        <v>-3</v>
      </c>
      <c r="BB252" t="s">
        <v>53</v>
      </c>
      <c r="BC252" t="s">
        <v>64</v>
      </c>
      <c r="BD252" t="s">
        <v>1763</v>
      </c>
      <c r="BE252" t="s">
        <v>2510</v>
      </c>
      <c r="BF252" t="s">
        <v>2511</v>
      </c>
      <c r="BG252" t="s">
        <v>56</v>
      </c>
      <c r="BH252" s="6" t="s">
        <v>56</v>
      </c>
      <c r="BI252" t="s">
        <v>56</v>
      </c>
      <c r="BJ252" t="s">
        <v>56</v>
      </c>
      <c r="BK252" t="s">
        <v>56</v>
      </c>
      <c r="BL252" t="s">
        <v>56</v>
      </c>
      <c r="BM252" t="s">
        <v>56</v>
      </c>
      <c r="BN252" t="s">
        <v>56</v>
      </c>
      <c r="BO252" t="s">
        <v>56</v>
      </c>
      <c r="BP252" t="s">
        <v>56</v>
      </c>
      <c r="BQ252" t="s">
        <v>56</v>
      </c>
      <c r="BR252" t="s">
        <v>56</v>
      </c>
      <c r="BS252" t="s">
        <v>56</v>
      </c>
      <c r="BT252" t="s">
        <v>56</v>
      </c>
      <c r="BU252" t="s">
        <v>56</v>
      </c>
      <c r="BV252" t="s">
        <v>56</v>
      </c>
      <c r="BW252" t="s">
        <v>56</v>
      </c>
      <c r="BX252" t="str">
        <f>HYPERLINK(".\links\PREV-RHOD-CDS\TI_asb-421-PREV-RHOD-CDS.txt","Contig17972_119")</f>
        <v>Contig17972_119</v>
      </c>
      <c r="BY252" s="6">
        <v>0.42</v>
      </c>
      <c r="BZ252" t="s">
        <v>2512</v>
      </c>
      <c r="CA252">
        <v>36.200000000000003</v>
      </c>
      <c r="CB252">
        <v>17</v>
      </c>
      <c r="CC252">
        <v>2784</v>
      </c>
      <c r="CD252">
        <v>100</v>
      </c>
      <c r="CE252">
        <v>1</v>
      </c>
      <c r="CF252">
        <v>0</v>
      </c>
      <c r="CG252">
        <v>0</v>
      </c>
      <c r="CH252">
        <v>2668</v>
      </c>
      <c r="CI252">
        <v>694</v>
      </c>
      <c r="CJ252">
        <v>1</v>
      </c>
      <c r="CK252" t="s">
        <v>54</v>
      </c>
      <c r="CL252" t="s">
        <v>56</v>
      </c>
      <c r="CM252" t="s">
        <v>56</v>
      </c>
      <c r="CN252" t="s">
        <v>56</v>
      </c>
      <c r="CO252" t="s">
        <v>56</v>
      </c>
      <c r="CP252" t="s">
        <v>56</v>
      </c>
      <c r="CQ252" t="s">
        <v>56</v>
      </c>
      <c r="CR252" s="6" t="s">
        <v>56</v>
      </c>
      <c r="CS252" t="s">
        <v>56</v>
      </c>
      <c r="CT252" t="s">
        <v>56</v>
      </c>
      <c r="CU252" t="s">
        <v>56</v>
      </c>
      <c r="CV252" t="s">
        <v>56</v>
      </c>
      <c r="CW252" s="6" t="s">
        <v>56</v>
      </c>
      <c r="CX252" t="s">
        <v>56</v>
      </c>
      <c r="CY252" t="s">
        <v>56</v>
      </c>
      <c r="CZ252" t="s">
        <v>56</v>
      </c>
      <c r="DA252" t="s">
        <v>56</v>
      </c>
      <c r="DB252" s="6" t="s">
        <v>56</v>
      </c>
      <c r="DC252" t="str">
        <f>HYPERLINK(".\links\CDD\TI_asb-421-CDD.txt","DUF1461")</f>
        <v>DUF1461</v>
      </c>
      <c r="DD252" t="str">
        <f>HYPERLINK("http://www.ncbi.nlm.nih.gov/Structure/cdd/cddsrv.cgi?uid=pfam07314&amp;version=v4.0","0.010")</f>
        <v>0.010</v>
      </c>
      <c r="DE252" t="s">
        <v>2513</v>
      </c>
      <c r="DF252" t="str">
        <f>HYPERLINK(".\links\PFAM\TI_asb-421-PFAM.txt","DUF1461")</f>
        <v>DUF1461</v>
      </c>
      <c r="DG252" t="str">
        <f>HYPERLINK("http://pfam.sanger.ac.uk/family?acc=PF07314","6E-004")</f>
        <v>6E-004</v>
      </c>
      <c r="DH252" t="str">
        <f>HYPERLINK(".\links\PRK\TI_asb-421-PRK.txt","NADH dehydrogenase subunit 4L")</f>
        <v>NADH dehydrogenase subunit 4L</v>
      </c>
      <c r="DI252" s="6">
        <v>1.2E-2</v>
      </c>
      <c r="DJ252" s="6" t="s">
        <v>56</v>
      </c>
      <c r="DN252" t="str">
        <f>HYPERLINK(".\links\SMART\TI_asb-421-SMART.txt","PSN")</f>
        <v>PSN</v>
      </c>
      <c r="DO252" t="str">
        <f>HYPERLINK("http://smart.embl-heidelberg.de/smart/do_annotation.pl?DOMAIN=PSN&amp;BLAST=DUMMY","0.063")</f>
        <v>0.063</v>
      </c>
      <c r="DP252" s="3" t="s">
        <v>56</v>
      </c>
      <c r="ED252" s="3" t="s">
        <v>56</v>
      </c>
    </row>
    <row r="253" spans="1:147">
      <c r="A253" t="str">
        <f>HYPERLINK(".\links\seq\TI_asb-422-seq.txt","TI_asb-422")</f>
        <v>TI_asb-422</v>
      </c>
      <c r="B253">
        <v>422</v>
      </c>
      <c r="C253" t="str">
        <f>HYPERLINK(".\links\tsa\TI_asb-422-tsa.txt","1")</f>
        <v>1</v>
      </c>
      <c r="D253">
        <v>1</v>
      </c>
      <c r="E253">
        <v>811</v>
      </c>
      <c r="F253">
        <v>783</v>
      </c>
      <c r="G253" t="str">
        <f>HYPERLINK(".\links\qual\TI_asb-422-qual.txt","45")</f>
        <v>45</v>
      </c>
      <c r="H253">
        <v>0</v>
      </c>
      <c r="I253">
        <v>1</v>
      </c>
      <c r="J253">
        <f t="shared" si="12"/>
        <v>1</v>
      </c>
      <c r="K253" s="6">
        <f t="shared" si="13"/>
        <v>-1</v>
      </c>
      <c r="L253" s="6" t="s">
        <v>3933</v>
      </c>
      <c r="M253" s="6" t="s">
        <v>3934</v>
      </c>
      <c r="N253" s="6" t="s">
        <v>3864</v>
      </c>
      <c r="O253" s="6">
        <v>0</v>
      </c>
      <c r="P253" s="6">
        <v>13.4</v>
      </c>
      <c r="Q253" s="3">
        <v>811</v>
      </c>
      <c r="R253" s="3">
        <v>723</v>
      </c>
      <c r="S253" s="6" t="s">
        <v>3732</v>
      </c>
      <c r="T253" s="3">
        <v>1</v>
      </c>
      <c r="U253" t="str">
        <f>HYPERLINK(".\links\NR-LIGHT\TI_asb-422-NR-LIGHT.txt","nonstructural protein precursor")</f>
        <v>nonstructural protein precursor</v>
      </c>
      <c r="V253" t="str">
        <f>HYPERLINK("http://www.ncbi.nlm.nih.gov/sutils/blink.cgi?pid=20451029","1E-118")</f>
        <v>1E-118</v>
      </c>
      <c r="W253" t="str">
        <f>HYPERLINK(".\links\NR-LIGHT\TI_asb-422-NR-LIGHT.txt"," 10")</f>
        <v xml:space="preserve"> 10</v>
      </c>
      <c r="X253" t="str">
        <f>HYPERLINK("http://www.ncbi.nlm.nih.gov/protein/20451029","gi|20451029")</f>
        <v>gi|20451029</v>
      </c>
      <c r="Y253">
        <v>427</v>
      </c>
      <c r="Z253">
        <v>241</v>
      </c>
      <c r="AA253">
        <v>1795</v>
      </c>
      <c r="AB253">
        <v>90</v>
      </c>
      <c r="AC253">
        <v>13</v>
      </c>
      <c r="AD253">
        <v>23</v>
      </c>
      <c r="AE253">
        <v>0</v>
      </c>
      <c r="AF253">
        <v>408</v>
      </c>
      <c r="AG253">
        <v>1</v>
      </c>
      <c r="AH253">
        <v>1</v>
      </c>
      <c r="AI253">
        <v>1</v>
      </c>
      <c r="AJ253" t="s">
        <v>53</v>
      </c>
      <c r="AK253" t="s">
        <v>54</v>
      </c>
      <c r="AL253" t="s">
        <v>137</v>
      </c>
      <c r="AM253" t="str">
        <f>HYPERLINK(".\links\SWISSP\TI_asb-422-SWISSP.txt","Glutamyl-tRNA reductase OS=Sulfurimonas denitrificans (strain ATCC 33889 / DSM")</f>
        <v>Glutamyl-tRNA reductase OS=Sulfurimonas denitrificans (strain ATCC 33889 / DSM</v>
      </c>
      <c r="AN253" s="19" t="str">
        <f>HYPERLINK("http://www.uniprot.org/uniprot/Q30S94","0.61")</f>
        <v>0.61</v>
      </c>
      <c r="AO253" t="str">
        <f>HYPERLINK(".\links\SWISSP\TI_asb-422-SWISSP.txt"," 6")</f>
        <v xml:space="preserve"> 6</v>
      </c>
      <c r="AP253" t="s">
        <v>2514</v>
      </c>
      <c r="AQ253">
        <v>35</v>
      </c>
      <c r="AR253">
        <v>69</v>
      </c>
      <c r="AS253">
        <v>432</v>
      </c>
      <c r="AT253">
        <v>31</v>
      </c>
      <c r="AU253">
        <v>16</v>
      </c>
      <c r="AV253">
        <v>47</v>
      </c>
      <c r="AW253">
        <v>2</v>
      </c>
      <c r="AX253">
        <v>338</v>
      </c>
      <c r="AY253">
        <v>334</v>
      </c>
      <c r="AZ253">
        <v>1</v>
      </c>
      <c r="BA253">
        <v>1</v>
      </c>
      <c r="BB253" t="s">
        <v>53</v>
      </c>
      <c r="BC253" t="s">
        <v>54</v>
      </c>
      <c r="BD253" t="s">
        <v>2515</v>
      </c>
      <c r="BE253" t="s">
        <v>2516</v>
      </c>
      <c r="BF253" t="s">
        <v>2517</v>
      </c>
      <c r="BG253" t="str">
        <f>HYPERLINK(".\links\PREV-RHOD-PEP\TI_asb-422-PREV-RHOD-PEP.txt","Contig17965_144")</f>
        <v>Contig17965_144</v>
      </c>
      <c r="BH253" s="6">
        <v>0.88</v>
      </c>
      <c r="BI253" t="str">
        <f>HYPERLINK(".\links\PREV-RHOD-PEP\TI_asb-422-PREV-RHOD-PEP.txt"," 10")</f>
        <v xml:space="preserve"> 10</v>
      </c>
      <c r="BJ253" t="s">
        <v>2518</v>
      </c>
      <c r="BK253">
        <v>30.4</v>
      </c>
      <c r="BL253">
        <v>52</v>
      </c>
      <c r="BM253">
        <v>392</v>
      </c>
      <c r="BN253">
        <v>34</v>
      </c>
      <c r="BO253">
        <v>13</v>
      </c>
      <c r="BP253">
        <v>34</v>
      </c>
      <c r="BQ253">
        <v>0</v>
      </c>
      <c r="BR253">
        <v>293</v>
      </c>
      <c r="BS253">
        <v>1</v>
      </c>
      <c r="BT253">
        <v>1</v>
      </c>
      <c r="BU253" t="s">
        <v>54</v>
      </c>
      <c r="BV253" t="s">
        <v>2519</v>
      </c>
      <c r="BW253" t="s">
        <v>56</v>
      </c>
      <c r="BX253" t="str">
        <f>HYPERLINK(".\links\PREV-RHOD-CDS\TI_asb-422-PREV-RHOD-CDS.txt","Contig17868_36")</f>
        <v>Contig17868_36</v>
      </c>
      <c r="BY253" s="6">
        <v>0.1</v>
      </c>
      <c r="BZ253" t="s">
        <v>2520</v>
      </c>
      <c r="CA253">
        <v>38.200000000000003</v>
      </c>
      <c r="CB253">
        <v>18</v>
      </c>
      <c r="CC253">
        <v>6204</v>
      </c>
      <c r="CD253">
        <v>100</v>
      </c>
      <c r="CF253">
        <v>0</v>
      </c>
      <c r="CG253">
        <v>0</v>
      </c>
      <c r="CH253">
        <v>3319</v>
      </c>
      <c r="CI253">
        <v>392</v>
      </c>
      <c r="CJ253">
        <v>1</v>
      </c>
      <c r="CK253" t="s">
        <v>64</v>
      </c>
      <c r="CL253" t="s">
        <v>2521</v>
      </c>
      <c r="CM253">
        <f>HYPERLINK(".\links\GO\TI_asb-422-GO.txt",7.2)</f>
        <v>7.2</v>
      </c>
      <c r="CN253" t="s">
        <v>2522</v>
      </c>
      <c r="CO253" t="s">
        <v>129</v>
      </c>
      <c r="CP253" t="s">
        <v>130</v>
      </c>
      <c r="CQ253" t="s">
        <v>2523</v>
      </c>
      <c r="CR253">
        <v>9.4</v>
      </c>
      <c r="CS253" t="s">
        <v>56</v>
      </c>
      <c r="CT253" t="s">
        <v>56</v>
      </c>
      <c r="CU253" t="s">
        <v>56</v>
      </c>
      <c r="CV253" t="s">
        <v>56</v>
      </c>
      <c r="CW253" t="s">
        <v>56</v>
      </c>
      <c r="CX253" t="s">
        <v>56</v>
      </c>
      <c r="CY253" t="s">
        <v>56</v>
      </c>
      <c r="CZ253" t="s">
        <v>56</v>
      </c>
      <c r="DA253" t="s">
        <v>56</v>
      </c>
      <c r="DB253" t="s">
        <v>56</v>
      </c>
      <c r="DC253" t="str">
        <f>HYPERLINK(".\links\CDD\TI_asb-422-CDD.txt","DnaG_DnaB_bind")</f>
        <v>DnaG_DnaB_bind</v>
      </c>
      <c r="DD253" t="str">
        <f>HYPERLINK("http://www.ncbi.nlm.nih.gov/Structure/cdd/cddsrv.cgi?uid=pfam08278&amp;version=v4.0","0.087")</f>
        <v>0.087</v>
      </c>
      <c r="DE253" t="s">
        <v>2524</v>
      </c>
      <c r="DF253" t="str">
        <f>HYPERLINK(".\links\PFAM\TI_asb-422-PFAM.txt","DnaG_DnaB_bind")</f>
        <v>DnaG_DnaB_bind</v>
      </c>
      <c r="DG253" t="str">
        <f>HYPERLINK("http://pfam.sanger.ac.uk/family?acc=PF08278","0.007")</f>
        <v>0.007</v>
      </c>
      <c r="DH253" t="str">
        <f>HYPERLINK(".\links\PRK\TI_asb-422-PRK.txt","predicted protein")</f>
        <v>predicted protein</v>
      </c>
      <c r="DI253" s="6">
        <v>3.6999999999999998E-2</v>
      </c>
      <c r="DJ253" s="6" t="s">
        <v>56</v>
      </c>
      <c r="DN253" t="str">
        <f>HYPERLINK(".\links\SMART\TI_asb-422-SMART.txt","DnaG_DnaB_bind")</f>
        <v>DnaG_DnaB_bind</v>
      </c>
      <c r="DO253" t="str">
        <f>HYPERLINK("http://smart.embl-heidelberg.de/smart/do_annotation.pl?DOMAIN=DnaG_DnaB_bind&amp;BLAST=DUMMY","0.001")</f>
        <v>0.001</v>
      </c>
      <c r="DP253" s="3" t="s">
        <v>56</v>
      </c>
      <c r="ED253" s="3" t="s">
        <v>56</v>
      </c>
    </row>
    <row r="254" spans="1:147">
      <c r="A254" t="str">
        <f>HYPERLINK(".\links\seq\TI_asb-423-seq.txt","TI_asb-423")</f>
        <v>TI_asb-423</v>
      </c>
      <c r="B254">
        <v>423</v>
      </c>
      <c r="C254" t="str">
        <f>HYPERLINK(".\links\tsa\TI_asb-423-tsa.txt","3")</f>
        <v>3</v>
      </c>
      <c r="D254">
        <v>3</v>
      </c>
      <c r="E254">
        <v>732</v>
      </c>
      <c r="G254" t="str">
        <f>HYPERLINK(".\links\qual\TI_asb-423-qual.txt","81")</f>
        <v>81</v>
      </c>
      <c r="H254">
        <v>3</v>
      </c>
      <c r="I254">
        <v>0</v>
      </c>
      <c r="J254">
        <f t="shared" si="12"/>
        <v>3</v>
      </c>
      <c r="K254" s="6">
        <f t="shared" si="13"/>
        <v>3</v>
      </c>
      <c r="L254" s="6" t="s">
        <v>4037</v>
      </c>
      <c r="M254" s="6" t="s">
        <v>3984</v>
      </c>
      <c r="N254" s="6" t="s">
        <v>3867</v>
      </c>
      <c r="O254" s="7">
        <v>3.9999999999999999E-60</v>
      </c>
      <c r="P254" s="6">
        <v>48.4</v>
      </c>
      <c r="Q254" s="3">
        <v>732</v>
      </c>
      <c r="R254" s="3">
        <v>687</v>
      </c>
      <c r="S254" s="3" t="s">
        <v>3733</v>
      </c>
      <c r="T254" s="3">
        <v>2</v>
      </c>
      <c r="U254" t="str">
        <f>HYPERLINK(".\links\NR-LIGHT\TI_asb-423-NR-LIGHT.txt","cathepsin D")</f>
        <v>cathepsin D</v>
      </c>
      <c r="V254" t="str">
        <f>HYPERLINK("http://www.ncbi.nlm.nih.gov/sutils/blink.cgi?pid=301030231","5E-050")</f>
        <v>5E-050</v>
      </c>
      <c r="W254" t="str">
        <f>HYPERLINK(".\links\NR-LIGHT\TI_asb-423-NR-LIGHT.txt"," 10")</f>
        <v xml:space="preserve"> 10</v>
      </c>
      <c r="X254" t="str">
        <f>HYPERLINK("http://www.ncbi.nlm.nih.gov/protein/301030231","gi|301030231")</f>
        <v>gi|301030231</v>
      </c>
      <c r="Y254">
        <v>199</v>
      </c>
      <c r="Z254">
        <v>219</v>
      </c>
      <c r="AA254">
        <v>390</v>
      </c>
      <c r="AB254">
        <v>47</v>
      </c>
      <c r="AC254">
        <v>56</v>
      </c>
      <c r="AD254">
        <v>115</v>
      </c>
      <c r="AE254">
        <v>3</v>
      </c>
      <c r="AF254">
        <v>3</v>
      </c>
      <c r="AG254">
        <v>77</v>
      </c>
      <c r="AH254">
        <v>1</v>
      </c>
      <c r="AI254">
        <v>2</v>
      </c>
      <c r="AJ254" t="s">
        <v>53</v>
      </c>
      <c r="AK254" t="s">
        <v>54</v>
      </c>
      <c r="AL254" t="s">
        <v>55</v>
      </c>
      <c r="AM254" t="str">
        <f>HYPERLINK(".\links\SWISSP\TI_asb-423-SWISSP.txt","Lysosomal aspartic protease OS=Aedes aegypti GN=AAEL006169 PE=1 SV=2")</f>
        <v>Lysosomal aspartic protease OS=Aedes aegypti GN=AAEL006169 PE=1 SV=2</v>
      </c>
      <c r="AN254" s="19" t="str">
        <f>HYPERLINK("http://www.uniprot.org/uniprot/Q03168","2E-045")</f>
        <v>2E-045</v>
      </c>
      <c r="AO254" t="str">
        <f>HYPERLINK(".\links\SWISSP\TI_asb-423-SWISSP.txt"," 10")</f>
        <v xml:space="preserve"> 10</v>
      </c>
      <c r="AP254" t="s">
        <v>1219</v>
      </c>
      <c r="AQ254">
        <v>182</v>
      </c>
      <c r="AR254">
        <v>198</v>
      </c>
      <c r="AS254">
        <v>387</v>
      </c>
      <c r="AT254">
        <v>49</v>
      </c>
      <c r="AU254">
        <v>51</v>
      </c>
      <c r="AV254">
        <v>100</v>
      </c>
      <c r="AW254">
        <v>2</v>
      </c>
      <c r="AX254">
        <v>21</v>
      </c>
      <c r="AY254">
        <v>134</v>
      </c>
      <c r="AZ254">
        <v>1</v>
      </c>
      <c r="BA254">
        <v>2</v>
      </c>
      <c r="BB254" t="s">
        <v>53</v>
      </c>
      <c r="BC254" t="s">
        <v>54</v>
      </c>
      <c r="BD254" t="s">
        <v>120</v>
      </c>
      <c r="BE254" t="s">
        <v>2525</v>
      </c>
      <c r="BF254" t="s">
        <v>2526</v>
      </c>
      <c r="BG254" t="str">
        <f>HYPERLINK(".\links\PREV-RHOD-PEP\TI_asb-423-PREV-RHOD-PEP.txt","Contig808_3")</f>
        <v>Contig808_3</v>
      </c>
      <c r="BH254" s="7">
        <v>3.0000000000000001E-74</v>
      </c>
      <c r="BI254" t="str">
        <f>HYPERLINK(".\links\PREV-RHOD-PEP\TI_asb-423-PREV-RHOD-PEP.txt"," 10")</f>
        <v xml:space="preserve"> 10</v>
      </c>
      <c r="BJ254" t="s">
        <v>1222</v>
      </c>
      <c r="BK254">
        <v>274</v>
      </c>
      <c r="BL254">
        <v>216</v>
      </c>
      <c r="BM254">
        <v>383</v>
      </c>
      <c r="BN254">
        <v>63</v>
      </c>
      <c r="BO254">
        <v>56</v>
      </c>
      <c r="BP254">
        <v>78</v>
      </c>
      <c r="BQ254">
        <v>3</v>
      </c>
      <c r="BR254">
        <v>7</v>
      </c>
      <c r="BS254">
        <v>89</v>
      </c>
      <c r="BT254">
        <v>1</v>
      </c>
      <c r="BU254" t="s">
        <v>54</v>
      </c>
      <c r="BV254" t="s">
        <v>2527</v>
      </c>
      <c r="BW254" t="s">
        <v>56</v>
      </c>
      <c r="BX254" t="str">
        <f>HYPERLINK(".\links\PREV-RHOD-CDS\TI_asb-423-PREV-RHOD-CDS.txt","Contig808_3")</f>
        <v>Contig808_3</v>
      </c>
      <c r="BY254" s="7">
        <v>4.9999999999999995E-22</v>
      </c>
      <c r="BZ254" t="s">
        <v>1222</v>
      </c>
      <c r="CA254">
        <v>105</v>
      </c>
      <c r="CB254">
        <v>364</v>
      </c>
      <c r="CC254">
        <v>1152</v>
      </c>
      <c r="CD254">
        <v>80</v>
      </c>
      <c r="CE254">
        <v>32</v>
      </c>
      <c r="CF254">
        <v>44</v>
      </c>
      <c r="CG254">
        <v>0</v>
      </c>
      <c r="CH254">
        <v>202</v>
      </c>
      <c r="CI254">
        <v>284</v>
      </c>
      <c r="CJ254">
        <v>2</v>
      </c>
      <c r="CK254" t="s">
        <v>54</v>
      </c>
      <c r="CL254" t="s">
        <v>2528</v>
      </c>
      <c r="CM254">
        <f>HYPERLINK(".\links\GO\TI_asb-423-GO.txt",2E-47)</f>
        <v>1.9999999999999999E-47</v>
      </c>
      <c r="CN254" t="s">
        <v>165</v>
      </c>
      <c r="CO254" t="s">
        <v>129</v>
      </c>
      <c r="CP254" t="s">
        <v>166</v>
      </c>
      <c r="CQ254" t="s">
        <v>167</v>
      </c>
      <c r="CR254" s="7">
        <v>3.0000000000000002E-40</v>
      </c>
      <c r="CS254" t="s">
        <v>1225</v>
      </c>
      <c r="CT254" t="s">
        <v>75</v>
      </c>
      <c r="CU254" t="s">
        <v>76</v>
      </c>
      <c r="CV254" t="s">
        <v>1226</v>
      </c>
      <c r="CW254" s="7">
        <v>3.0000000000000002E-40</v>
      </c>
      <c r="CX254" t="s">
        <v>301</v>
      </c>
      <c r="CY254" t="s">
        <v>129</v>
      </c>
      <c r="CZ254" t="s">
        <v>166</v>
      </c>
      <c r="DA254" t="s">
        <v>302</v>
      </c>
      <c r="DB254" s="7">
        <v>3.0000000000000002E-40</v>
      </c>
      <c r="DC254" t="str">
        <f>HYPERLINK(".\links\CDD\TI_asb-423-CDD.txt","Asp")</f>
        <v>Asp</v>
      </c>
      <c r="DD254" t="str">
        <f>HYPERLINK("http://www.ncbi.nlm.nih.gov/Structure/cdd/cddsrv.cgi?uid=pfam00026&amp;version=v4.0","1E-053")</f>
        <v>1E-053</v>
      </c>
      <c r="DE254" t="s">
        <v>2529</v>
      </c>
      <c r="DF254" t="str">
        <f>HYPERLINK(".\links\PFAM\TI_asb-423-PFAM.txt","Asp")</f>
        <v>Asp</v>
      </c>
      <c r="DG254" t="str">
        <f>HYPERLINK("http://pfam.sanger.ac.uk/family?acc=PF00026","4E-060")</f>
        <v>4E-060</v>
      </c>
      <c r="DH254" t="str">
        <f>HYPERLINK(".\links\PRK\TI_asb-423-PRK.txt","aspartyl protease")</f>
        <v>aspartyl protease</v>
      </c>
      <c r="DI254" s="7">
        <v>2.9999999999999999E-35</v>
      </c>
      <c r="DJ254" s="6" t="str">
        <f>HYPERLINK(".\links\KOG\TI_asb-423-KOG.txt","Aspartyl protease")</f>
        <v>Aspartyl protease</v>
      </c>
      <c r="DK254" s="6" t="str">
        <f>HYPERLINK("http://www.ncbi.nlm.nih.gov/COG/grace/shokog.cgi?KOG1339","1E-032")</f>
        <v>1E-032</v>
      </c>
      <c r="DL254" s="6" t="s">
        <v>4340</v>
      </c>
      <c r="DM254" s="6" t="str">
        <f>HYPERLINK(".\links\KOG\TI_asb-423-KOG.txt","KOG1339")</f>
        <v>KOG1339</v>
      </c>
      <c r="DN254" t="s">
        <v>56</v>
      </c>
      <c r="DO254" t="s">
        <v>56</v>
      </c>
      <c r="DP254" s="3" t="s">
        <v>56</v>
      </c>
      <c r="ED254" s="3" t="s">
        <v>56</v>
      </c>
    </row>
    <row r="255" spans="1:147" s="26" customFormat="1">
      <c r="A255" s="26" t="str">
        <f>HYPERLINK(".\links\seq\TI_asb-424-seq.txt","TI_asb-424")</f>
        <v>TI_asb-424</v>
      </c>
      <c r="B255" s="26">
        <v>424</v>
      </c>
      <c r="C255" s="27" t="str">
        <f>HYPERLINK(".\links\tsa\TI_asb-424-tsa.txt","5")</f>
        <v>5</v>
      </c>
      <c r="D255" s="26">
        <v>5</v>
      </c>
      <c r="E255" s="26">
        <v>607</v>
      </c>
      <c r="F255" s="26">
        <v>575</v>
      </c>
      <c r="G255" s="26" t="str">
        <f>HYPERLINK(".\links\qual\TI_asb-424-qual.txt","91")</f>
        <v>91</v>
      </c>
      <c r="H255" s="26">
        <v>1</v>
      </c>
      <c r="I255" s="26">
        <v>4</v>
      </c>
      <c r="J255" s="26">
        <f t="shared" si="12"/>
        <v>3</v>
      </c>
      <c r="K255" s="26">
        <f t="shared" si="13"/>
        <v>-3</v>
      </c>
      <c r="L255" s="26" t="s">
        <v>3868</v>
      </c>
      <c r="M255" s="26" t="s">
        <v>3869</v>
      </c>
      <c r="Q255" s="26">
        <v>607</v>
      </c>
      <c r="R255" s="26">
        <v>357</v>
      </c>
      <c r="S255" s="26" t="s">
        <v>3734</v>
      </c>
      <c r="T255" s="26">
        <v>2</v>
      </c>
      <c r="U255" s="26" t="str">
        <f>HYPERLINK(".\links\NR-LIGHT\TI_asb-424-NR-LIGHT.txt","hypothetical protein")</f>
        <v>hypothetical protein</v>
      </c>
      <c r="V255" s="26" t="str">
        <f>HYPERLINK("http://www.ncbi.nlm.nih.gov/sutils/blink.cgi?pid=189240937","0.021")</f>
        <v>0.021</v>
      </c>
      <c r="W255" s="26" t="str">
        <f>HYPERLINK(".\links\NR-LIGHT\TI_asb-424-NR-LIGHT.txt"," 10")</f>
        <v xml:space="preserve"> 10</v>
      </c>
      <c r="X255" s="26" t="str">
        <f>HYPERLINK("http://www.ncbi.nlm.nih.gov/protein/189240937","gi|189240937")</f>
        <v>gi|189240937</v>
      </c>
      <c r="Y255" s="26">
        <v>41.2</v>
      </c>
      <c r="Z255" s="26">
        <v>83</v>
      </c>
      <c r="AA255" s="26">
        <v>104</v>
      </c>
      <c r="AB255" s="26">
        <v>28</v>
      </c>
      <c r="AC255" s="26">
        <v>80</v>
      </c>
      <c r="AD255" s="26">
        <v>59</v>
      </c>
      <c r="AE255" s="26">
        <v>0</v>
      </c>
      <c r="AF255" s="26">
        <v>22</v>
      </c>
      <c r="AG255" s="26">
        <v>119</v>
      </c>
      <c r="AH255" s="26">
        <v>1</v>
      </c>
      <c r="AI255" s="26">
        <v>2</v>
      </c>
      <c r="AJ255" s="26" t="s">
        <v>53</v>
      </c>
      <c r="AK255" s="26" t="s">
        <v>54</v>
      </c>
      <c r="AL255" s="26" t="s">
        <v>79</v>
      </c>
      <c r="AM255" s="26" t="str">
        <f>HYPERLINK(".\links\SWISSP\TI_asb-424-SWISSP.txt","Fungal protease inhibitor-1 OS=Antheraea mylitta GN=fpi-1 PE=1 SV=1")</f>
        <v>Fungal protease inhibitor-1 OS=Antheraea mylitta GN=fpi-1 PE=1 SV=1</v>
      </c>
      <c r="AN255" s="29" t="str">
        <f>HYPERLINK("http://www.uniprot.org/uniprot/B0JFB8","0.27")</f>
        <v>0.27</v>
      </c>
      <c r="AO255" s="26" t="str">
        <f>HYPERLINK(".\links\SWISSP\TI_asb-424-SWISSP.txt"," 10")</f>
        <v xml:space="preserve"> 10</v>
      </c>
      <c r="AP255" s="26" t="s">
        <v>2530</v>
      </c>
      <c r="AQ255" s="26">
        <v>35.4</v>
      </c>
      <c r="AR255" s="26">
        <v>84</v>
      </c>
      <c r="AS255" s="26">
        <v>105</v>
      </c>
      <c r="AT255" s="26">
        <v>21</v>
      </c>
      <c r="AU255" s="26">
        <v>80</v>
      </c>
      <c r="AV255" s="26">
        <v>66</v>
      </c>
      <c r="AW255" s="26">
        <v>6</v>
      </c>
      <c r="AX255" s="26">
        <v>21</v>
      </c>
      <c r="AY255" s="26">
        <v>119</v>
      </c>
      <c r="AZ255" s="26">
        <v>1</v>
      </c>
      <c r="BA255" s="26">
        <v>2</v>
      </c>
      <c r="BB255" s="26" t="s">
        <v>53</v>
      </c>
      <c r="BC255" s="26" t="s">
        <v>54</v>
      </c>
      <c r="BD255" s="26" t="s">
        <v>2531</v>
      </c>
      <c r="BE255" s="26" t="s">
        <v>2532</v>
      </c>
      <c r="BF255" s="26" t="s">
        <v>2533</v>
      </c>
      <c r="BG255" s="26" t="str">
        <f>HYPERLINK(".\links\PREV-RHOD-PEP\TI_asb-424-PREV-RHOD-PEP.txt","Contig17970_431")</f>
        <v>Contig17970_431</v>
      </c>
      <c r="BH255" s="28">
        <v>4.0000000000000003E-17</v>
      </c>
      <c r="BI255" s="26" t="str">
        <f>HYPERLINK(".\links\PREV-RHOD-PEP\TI_asb-424-PREV-RHOD-PEP.txt"," 6")</f>
        <v xml:space="preserve"> 6</v>
      </c>
      <c r="BJ255" s="26" t="s">
        <v>2534</v>
      </c>
      <c r="BK255" s="26">
        <v>84</v>
      </c>
      <c r="BL255" s="26">
        <v>82</v>
      </c>
      <c r="BM255" s="26">
        <v>102</v>
      </c>
      <c r="BN255" s="26">
        <v>42</v>
      </c>
      <c r="BO255" s="26">
        <v>80</v>
      </c>
      <c r="BP255" s="26">
        <v>47</v>
      </c>
      <c r="BQ255" s="26">
        <v>0</v>
      </c>
      <c r="BR255" s="26">
        <v>19</v>
      </c>
      <c r="BS255" s="26">
        <v>113</v>
      </c>
      <c r="BT255" s="26">
        <v>1</v>
      </c>
      <c r="BU255" s="26" t="s">
        <v>54</v>
      </c>
      <c r="BV255" s="26" t="s">
        <v>2535</v>
      </c>
      <c r="BW255" s="26" t="s">
        <v>56</v>
      </c>
      <c r="BX255" s="26" t="str">
        <f>HYPERLINK(".\links\PREV-RHOD-CDS\TI_asb-424-PREV-RHOD-CDS.txt","Contig16317_1")</f>
        <v>Contig16317_1</v>
      </c>
      <c r="BY255" s="26">
        <v>1.2</v>
      </c>
      <c r="BZ255" s="26" t="s">
        <v>2536</v>
      </c>
      <c r="CA255" s="26">
        <v>34.200000000000003</v>
      </c>
      <c r="CB255" s="26">
        <v>16</v>
      </c>
      <c r="CC255" s="26">
        <v>543</v>
      </c>
      <c r="CD255" s="26">
        <v>100</v>
      </c>
      <c r="CE255" s="26">
        <v>3</v>
      </c>
      <c r="CF255" s="26">
        <v>0</v>
      </c>
      <c r="CG255" s="26">
        <v>0</v>
      </c>
      <c r="CH255" s="26">
        <v>506</v>
      </c>
      <c r="CI255" s="26">
        <v>162</v>
      </c>
      <c r="CJ255" s="26">
        <v>1</v>
      </c>
      <c r="CK255" s="26" t="s">
        <v>54</v>
      </c>
      <c r="CL255" s="26" t="s">
        <v>2537</v>
      </c>
      <c r="CM255" s="26">
        <f>HYPERLINK(".\links\GO\TI_asb-424-GO.txt",0.4)</f>
        <v>0.4</v>
      </c>
      <c r="CN255" s="26" t="s">
        <v>58</v>
      </c>
      <c r="CO255" s="26" t="s">
        <v>58</v>
      </c>
      <c r="CQ255" s="26" t="s">
        <v>59</v>
      </c>
      <c r="CR255" s="26">
        <v>0.88</v>
      </c>
      <c r="CS255" s="26" t="s">
        <v>60</v>
      </c>
      <c r="CT255" s="26" t="s">
        <v>60</v>
      </c>
      <c r="CV255" s="26" t="s">
        <v>61</v>
      </c>
      <c r="CW255" s="26">
        <v>0.88</v>
      </c>
      <c r="CX255" s="26" t="s">
        <v>62</v>
      </c>
      <c r="CY255" s="26" t="s">
        <v>58</v>
      </c>
      <c r="DA255" s="26" t="s">
        <v>63</v>
      </c>
      <c r="DB255" s="26">
        <v>0.88</v>
      </c>
      <c r="DC255" s="26" t="s">
        <v>56</v>
      </c>
      <c r="DD255" s="26" t="s">
        <v>56</v>
      </c>
      <c r="DE255" s="26" t="s">
        <v>56</v>
      </c>
      <c r="DF255" s="26" t="str">
        <f>HYPERLINK(".\links\PFAM\TI_asb-424-PFAM.txt","Innexin")</f>
        <v>Innexin</v>
      </c>
      <c r="DG255" s="26" t="str">
        <f>HYPERLINK("http://pfam.sanger.ac.uk/family?acc=PF00876","0.016")</f>
        <v>0.016</v>
      </c>
      <c r="DH255" s="26" t="str">
        <f>HYPERLINK(".\links\PRK\TI_asb-424-PRK.txt","NADH dehydrogenase subunit 4")</f>
        <v>NADH dehydrogenase subunit 4</v>
      </c>
      <c r="DI255" s="26">
        <v>8.9999999999999993E-3</v>
      </c>
      <c r="DJ255" s="26" t="str">
        <f>HYPERLINK(".\links\KOG\TI_asb-424-KOG.txt","Proteins containing Ca2+-binding EGF-like domains")</f>
        <v>Proteins containing Ca2+-binding EGF-like domains</v>
      </c>
      <c r="DK255" s="26" t="str">
        <f>HYPERLINK("http://www.ncbi.nlm.nih.gov/COG/grace/shokog.cgi?KOG1218","0.089")</f>
        <v>0.089</v>
      </c>
      <c r="DL255" s="26" t="s">
        <v>4342</v>
      </c>
      <c r="DM255" s="26" t="str">
        <f>HYPERLINK(".\links\KOG\TI_asb-424-KOG.txt","KOG1218")</f>
        <v>KOG1218</v>
      </c>
      <c r="DN255" s="26" t="str">
        <f>HYPERLINK(".\links\SMART\TI_asb-424-SMART.txt","IB")</f>
        <v>IB</v>
      </c>
      <c r="DO255" s="26" t="str">
        <f>HYPERLINK("http://smart.embl-heidelberg.de/smart/do_annotation.pl?DOMAIN=IB&amp;BLAST=DUMMY","0.042")</f>
        <v>0.042</v>
      </c>
      <c r="DP255" s="26" t="s">
        <v>56</v>
      </c>
      <c r="ED255" s="26" t="s">
        <v>56</v>
      </c>
    </row>
    <row r="256" spans="1:147">
      <c r="A256" t="str">
        <f>HYPERLINK(".\links\seq\TI_asb-425-seq.txt","TI_asb-425")</f>
        <v>TI_asb-425</v>
      </c>
      <c r="B256">
        <v>425</v>
      </c>
      <c r="C256" t="str">
        <f>HYPERLINK(".\links\tsa\TI_asb-425-tsa.txt","6")</f>
        <v>6</v>
      </c>
      <c r="D256">
        <v>6</v>
      </c>
      <c r="E256">
        <v>794</v>
      </c>
      <c r="F256">
        <v>772</v>
      </c>
      <c r="G256" t="str">
        <f>HYPERLINK(".\links\qual\TI_asb-425-qual.txt","82")</f>
        <v>82</v>
      </c>
      <c r="H256">
        <v>3</v>
      </c>
      <c r="I256">
        <v>3</v>
      </c>
      <c r="J256">
        <f t="shared" si="12"/>
        <v>0</v>
      </c>
      <c r="K256" s="6">
        <f t="shared" si="13"/>
        <v>0</v>
      </c>
      <c r="L256" s="6" t="s">
        <v>3888</v>
      </c>
      <c r="M256" s="6" t="s">
        <v>3886</v>
      </c>
      <c r="N256" s="6" t="s">
        <v>3872</v>
      </c>
      <c r="O256" s="6">
        <v>0</v>
      </c>
      <c r="P256" s="6">
        <v>4.2</v>
      </c>
      <c r="Q256" s="3">
        <v>794</v>
      </c>
      <c r="R256" s="3">
        <v>633</v>
      </c>
      <c r="S256" s="6" t="s">
        <v>3735</v>
      </c>
      <c r="T256" s="3">
        <v>2</v>
      </c>
      <c r="U256" t="str">
        <f>HYPERLINK(".\links\NR-LIGHT\TI_asb-425-NR-LIGHT.txt","late embryogenesis abundant domain-containing protein, putative")</f>
        <v>late embryogenesis abundant domain-containing protein, putative</v>
      </c>
      <c r="V256" t="str">
        <f>HYPERLINK("http://www.ncbi.nlm.nih.gov/sutils/blink.cgi?pid=221485238","3.3")</f>
        <v>3.3</v>
      </c>
      <c r="W256" t="str">
        <f>HYPERLINK(".\links\NR-LIGHT\TI_asb-425-NR-LIGHT.txt"," 7")</f>
        <v xml:space="preserve"> 7</v>
      </c>
      <c r="X256" t="str">
        <f>HYPERLINK("http://www.ncbi.nlm.nih.gov/protein/221485238","gi|221485238")</f>
        <v>gi|221485238</v>
      </c>
      <c r="Y256">
        <v>34.700000000000003</v>
      </c>
      <c r="Z256">
        <v>63</v>
      </c>
      <c r="AA256">
        <v>517</v>
      </c>
      <c r="AB256">
        <v>33</v>
      </c>
      <c r="AC256">
        <v>12</v>
      </c>
      <c r="AD256">
        <v>42</v>
      </c>
      <c r="AE256">
        <v>0</v>
      </c>
      <c r="AF256">
        <v>431</v>
      </c>
      <c r="AG256">
        <v>269</v>
      </c>
      <c r="AH256">
        <v>1</v>
      </c>
      <c r="AI256">
        <v>2</v>
      </c>
      <c r="AJ256" t="s">
        <v>53</v>
      </c>
      <c r="AK256" t="s">
        <v>54</v>
      </c>
      <c r="AL256" t="s">
        <v>542</v>
      </c>
      <c r="AM256" t="str">
        <f>HYPERLINK(".\links\SWISSP\TI_asb-425-SWISSP.txt","Formin-A OS=Dictyostelium discoideum GN=forA PE=1 SV=1")</f>
        <v>Formin-A OS=Dictyostelium discoideum GN=forA PE=1 SV=1</v>
      </c>
      <c r="AN256" s="19" t="str">
        <f>HYPERLINK("http://www.uniprot.org/uniprot/Q54WH2","3.8")</f>
        <v>3.8</v>
      </c>
      <c r="AO256" t="str">
        <f>HYPERLINK(".\links\SWISSP\TI_asb-425-SWISSP.txt"," 10")</f>
        <v xml:space="preserve"> 10</v>
      </c>
      <c r="AP256" t="s">
        <v>2538</v>
      </c>
      <c r="AQ256">
        <v>32.299999999999997</v>
      </c>
      <c r="AR256">
        <v>59</v>
      </c>
      <c r="AS256">
        <v>1218</v>
      </c>
      <c r="AT256">
        <v>32</v>
      </c>
      <c r="AU256">
        <v>5</v>
      </c>
      <c r="AV256">
        <v>40</v>
      </c>
      <c r="AW256">
        <v>3</v>
      </c>
      <c r="AX256">
        <v>595</v>
      </c>
      <c r="AY256">
        <v>68</v>
      </c>
      <c r="AZ256">
        <v>1</v>
      </c>
      <c r="BA256">
        <v>2</v>
      </c>
      <c r="BB256" t="s">
        <v>53</v>
      </c>
      <c r="BC256" t="s">
        <v>54</v>
      </c>
      <c r="BD256" t="s">
        <v>386</v>
      </c>
      <c r="BE256" t="s">
        <v>2539</v>
      </c>
      <c r="BF256" t="s">
        <v>2540</v>
      </c>
      <c r="BG256" t="str">
        <f>HYPERLINK(".\links\PREV-RHOD-PEP\TI_asb-425-PREV-RHOD-PEP.txt","Contig7471_2")</f>
        <v>Contig7471_2</v>
      </c>
      <c r="BH256" s="7">
        <v>1E-53</v>
      </c>
      <c r="BI256" t="str">
        <f>HYPERLINK(".\links\PREV-RHOD-PEP\TI_asb-425-PREV-RHOD-PEP.txt"," 10")</f>
        <v xml:space="preserve"> 10</v>
      </c>
      <c r="BJ256" t="s">
        <v>1188</v>
      </c>
      <c r="BK256">
        <v>206</v>
      </c>
      <c r="BL256">
        <v>190</v>
      </c>
      <c r="BM256">
        <v>410</v>
      </c>
      <c r="BN256">
        <v>55</v>
      </c>
      <c r="BO256">
        <v>46</v>
      </c>
      <c r="BP256">
        <v>85</v>
      </c>
      <c r="BQ256">
        <v>4</v>
      </c>
      <c r="BR256">
        <v>141</v>
      </c>
      <c r="BS256">
        <v>5</v>
      </c>
      <c r="BT256">
        <v>1</v>
      </c>
      <c r="BU256" t="s">
        <v>54</v>
      </c>
      <c r="BV256" t="s">
        <v>2541</v>
      </c>
      <c r="BW256" t="s">
        <v>439</v>
      </c>
      <c r="BX256" t="str">
        <f>HYPERLINK(".\links\PREV-RHOD-CDS\TI_asb-425-PREV-RHOD-CDS.txt","Contig7471_2")</f>
        <v>Contig7471_2</v>
      </c>
      <c r="BY256" s="7">
        <v>1.9999999999999999E-6</v>
      </c>
      <c r="BZ256" t="s">
        <v>1188</v>
      </c>
      <c r="CA256">
        <v>54</v>
      </c>
      <c r="CB256">
        <v>382</v>
      </c>
      <c r="CC256">
        <v>1233</v>
      </c>
      <c r="CD256">
        <v>88</v>
      </c>
      <c r="CE256">
        <v>31</v>
      </c>
      <c r="CF256">
        <v>6</v>
      </c>
      <c r="CG256">
        <v>0</v>
      </c>
      <c r="CH256">
        <v>595</v>
      </c>
      <c r="CI256">
        <v>167</v>
      </c>
      <c r="CJ256">
        <v>2</v>
      </c>
      <c r="CK256" t="s">
        <v>54</v>
      </c>
      <c r="CL256" t="s">
        <v>2542</v>
      </c>
      <c r="CM256">
        <f>HYPERLINK(".\links\GO\TI_asb-425-GO.txt",1.1)</f>
        <v>1.1000000000000001</v>
      </c>
      <c r="CN256" t="s">
        <v>56</v>
      </c>
      <c r="CO256" t="s">
        <v>56</v>
      </c>
      <c r="CP256" t="s">
        <v>56</v>
      </c>
      <c r="CQ256" t="s">
        <v>56</v>
      </c>
      <c r="CR256" t="s">
        <v>56</v>
      </c>
      <c r="CS256" t="s">
        <v>56</v>
      </c>
      <c r="CT256" t="s">
        <v>56</v>
      </c>
      <c r="CU256" t="s">
        <v>56</v>
      </c>
      <c r="CV256" t="s">
        <v>56</v>
      </c>
      <c r="CW256" t="s">
        <v>56</v>
      </c>
      <c r="CX256" t="s">
        <v>2543</v>
      </c>
      <c r="CY256" t="s">
        <v>185</v>
      </c>
      <c r="CZ256" t="s">
        <v>186</v>
      </c>
      <c r="DA256" t="s">
        <v>2544</v>
      </c>
      <c r="DB256">
        <v>9.1</v>
      </c>
      <c r="DC256" t="str">
        <f>HYPERLINK(".\links\CDD\TI_asb-425-CDD.txt","Band_7_HflK")</f>
        <v>Band_7_HflK</v>
      </c>
      <c r="DD256" t="str">
        <f>HYPERLINK("http://www.ncbi.nlm.nih.gov/Structure/cdd/cddsrv.cgi?uid=cd03404&amp;version=v4.0","0.021")</f>
        <v>0.021</v>
      </c>
      <c r="DE256" t="s">
        <v>2545</v>
      </c>
      <c r="DF256" t="str">
        <f>HYPERLINK(".\links\PFAM\TI_asb-425-PFAM.txt","7TM_GPCR_Srab")</f>
        <v>7TM_GPCR_Srab</v>
      </c>
      <c r="DG256" t="str">
        <f>HYPERLINK("http://pfam.sanger.ac.uk/family?acc=PF10292","0.010")</f>
        <v>0.010</v>
      </c>
      <c r="DH256" t="str">
        <f>HYPERLINK(".\links\PRK\TI_asb-425-PRK.txt","NADH dehydrogenase subunit 2")</f>
        <v>NADH dehydrogenase subunit 2</v>
      </c>
      <c r="DI256" s="6">
        <v>1.6E-2</v>
      </c>
      <c r="DJ256" s="6" t="str">
        <f>HYPERLINK(".\links\KOG\TI_asb-425-KOG.txt","Nuclear protein, contains WD40 repeats")</f>
        <v>Nuclear protein, contains WD40 repeats</v>
      </c>
      <c r="DK256" s="6" t="str">
        <f>HYPERLINK("http://www.ncbi.nlm.nih.gov/COG/grace/shokog.cgi?KOG1916","0.0")</f>
        <v>0.0</v>
      </c>
      <c r="DL256" s="6" t="s">
        <v>4337</v>
      </c>
      <c r="DM256" s="6" t="str">
        <f>HYPERLINK(".\links\KOG\TI_asb-425-KOG.txt","KOG1916")</f>
        <v>KOG1916</v>
      </c>
      <c r="DN256" t="str">
        <f>HYPERLINK(".\links\SMART\TI_asb-425-SMART.txt","G_alpha")</f>
        <v>G_alpha</v>
      </c>
      <c r="DO256" t="str">
        <f>HYPERLINK("http://smart.embl-heidelberg.de/smart/do_annotation.pl?DOMAIN=G_alpha&amp;BLAST=DUMMY","0.016")</f>
        <v>0.016</v>
      </c>
      <c r="DP256" s="3" t="s">
        <v>56</v>
      </c>
      <c r="ED256" s="3" t="s">
        <v>56</v>
      </c>
    </row>
    <row r="257" spans="1:147">
      <c r="A257" t="str">
        <f>HYPERLINK(".\links\seq\TI_asb-426-seq.txt","TI_asb-426")</f>
        <v>TI_asb-426</v>
      </c>
      <c r="B257">
        <v>426</v>
      </c>
      <c r="C257" t="str">
        <f>HYPERLINK(".\links\tsa\TI_asb-426-tsa.txt","4")</f>
        <v>4</v>
      </c>
      <c r="D257">
        <v>4</v>
      </c>
      <c r="E257">
        <v>850</v>
      </c>
      <c r="F257">
        <v>520</v>
      </c>
      <c r="G257" t="str">
        <f>HYPERLINK(".\links\qual\TI_asb-426-qual.txt","58")</f>
        <v>58</v>
      </c>
      <c r="H257">
        <v>2</v>
      </c>
      <c r="I257">
        <v>2</v>
      </c>
      <c r="J257">
        <f t="shared" si="12"/>
        <v>0</v>
      </c>
      <c r="K257" s="6">
        <f t="shared" si="13"/>
        <v>0</v>
      </c>
      <c r="L257" s="6" t="s">
        <v>4025</v>
      </c>
      <c r="M257" s="6" t="s">
        <v>3934</v>
      </c>
      <c r="N257" s="6" t="s">
        <v>3864</v>
      </c>
      <c r="O257" s="7">
        <v>6.9999999999999997E-26</v>
      </c>
      <c r="P257" s="6">
        <v>7.3</v>
      </c>
      <c r="Q257" s="3">
        <v>850</v>
      </c>
      <c r="R257" s="3">
        <v>219</v>
      </c>
      <c r="S257" s="6" t="s">
        <v>3736</v>
      </c>
      <c r="T257" s="3">
        <v>3</v>
      </c>
      <c r="U257" t="str">
        <f>HYPERLINK(".\links\NR-LIGHT\TI_asb-426-NR-LIGHT.txt","capsid protein precursor")</f>
        <v>capsid protein precursor</v>
      </c>
      <c r="V257" t="str">
        <f>HYPERLINK("http://www.ncbi.nlm.nih.gov/sutils/blink.cgi?pid=20451030","7E-026")</f>
        <v>7E-026</v>
      </c>
      <c r="W257" t="str">
        <f>HYPERLINK(".\links\NR-LIGHT\TI_asb-426-NR-LIGHT.txt"," 9")</f>
        <v xml:space="preserve"> 9</v>
      </c>
      <c r="X257" t="str">
        <f>HYPERLINK("http://www.ncbi.nlm.nih.gov/protein/20451030","gi|20451030")</f>
        <v>gi|20451030</v>
      </c>
      <c r="Y257">
        <v>120</v>
      </c>
      <c r="Z257">
        <v>64</v>
      </c>
      <c r="AA257">
        <v>868</v>
      </c>
      <c r="AB257">
        <v>95</v>
      </c>
      <c r="AC257">
        <v>7</v>
      </c>
      <c r="AD257">
        <v>3</v>
      </c>
      <c r="AE257">
        <v>0</v>
      </c>
      <c r="AF257">
        <v>796</v>
      </c>
      <c r="AG257">
        <v>3</v>
      </c>
      <c r="AH257">
        <v>1</v>
      </c>
      <c r="AI257">
        <v>3</v>
      </c>
      <c r="AJ257" t="s">
        <v>53</v>
      </c>
      <c r="AK257" t="s">
        <v>54</v>
      </c>
      <c r="AL257" t="s">
        <v>137</v>
      </c>
      <c r="AM257" t="str">
        <f>HYPERLINK(".\links\SWISSP\TI_asb-426-SWISSP.txt","Undecaprenyl-diphosphatase OS=Synechococcus sp. (strain CC9311) GN=uppP PE=3")</f>
        <v>Undecaprenyl-diphosphatase OS=Synechococcus sp. (strain CC9311) GN=uppP PE=3</v>
      </c>
      <c r="AN257" s="19" t="str">
        <f>HYPERLINK("http://www.uniprot.org/uniprot/Q0I740","0.100")</f>
        <v>0.100</v>
      </c>
      <c r="AO257" t="str">
        <f>HYPERLINK(".\links\SWISSP\TI_asb-426-SWISSP.txt"," 10")</f>
        <v xml:space="preserve"> 10</v>
      </c>
      <c r="AP257" t="s">
        <v>2546</v>
      </c>
      <c r="AQ257">
        <v>37.700000000000003</v>
      </c>
      <c r="AR257">
        <v>61</v>
      </c>
      <c r="AS257">
        <v>283</v>
      </c>
      <c r="AT257">
        <v>39</v>
      </c>
      <c r="AU257">
        <v>22</v>
      </c>
      <c r="AV257">
        <v>37</v>
      </c>
      <c r="AW257">
        <v>2</v>
      </c>
      <c r="AX257">
        <v>173</v>
      </c>
      <c r="AY257">
        <v>6</v>
      </c>
      <c r="AZ257">
        <v>1</v>
      </c>
      <c r="BA257">
        <v>3</v>
      </c>
      <c r="BB257" t="s">
        <v>53</v>
      </c>
      <c r="BC257" t="s">
        <v>54</v>
      </c>
      <c r="BD257" t="s">
        <v>2547</v>
      </c>
      <c r="BE257" t="s">
        <v>2548</v>
      </c>
      <c r="BF257" t="s">
        <v>2549</v>
      </c>
      <c r="BG257" t="str">
        <f>HYPERLINK(".\links\PREV-RHOD-PEP\TI_asb-426-PREV-RHOD-PEP.txt","Contig7471_2")</f>
        <v>Contig7471_2</v>
      </c>
      <c r="BH257" s="7">
        <v>2.0000000000000001E-13</v>
      </c>
      <c r="BI257" t="str">
        <f>HYPERLINK(".\links\PREV-RHOD-PEP\TI_asb-426-PREV-RHOD-PEP.txt"," 10")</f>
        <v xml:space="preserve"> 10</v>
      </c>
      <c r="BJ257" t="s">
        <v>1188</v>
      </c>
      <c r="BK257">
        <v>72.8</v>
      </c>
      <c r="BL257">
        <v>56</v>
      </c>
      <c r="BM257">
        <v>410</v>
      </c>
      <c r="BN257">
        <v>60</v>
      </c>
      <c r="BO257">
        <v>14</v>
      </c>
      <c r="BP257">
        <v>22</v>
      </c>
      <c r="BQ257">
        <v>0</v>
      </c>
      <c r="BR257">
        <v>284</v>
      </c>
      <c r="BS257">
        <v>678</v>
      </c>
      <c r="BT257">
        <v>1</v>
      </c>
      <c r="BU257" t="s">
        <v>54</v>
      </c>
      <c r="BV257" t="s">
        <v>2550</v>
      </c>
      <c r="BW257" t="s">
        <v>439</v>
      </c>
      <c r="BX257" t="str">
        <f>HYPERLINK(".\links\PREV-RHOD-CDS\TI_asb-426-PREV-RHOD-CDS.txt","Contig7471_2")</f>
        <v>Contig7471_2</v>
      </c>
      <c r="BY257" s="7">
        <v>4.0000000000000002E-4</v>
      </c>
      <c r="BZ257" t="s">
        <v>1188</v>
      </c>
      <c r="CA257">
        <v>46.1</v>
      </c>
      <c r="CB257">
        <v>34</v>
      </c>
      <c r="CC257">
        <v>1233</v>
      </c>
      <c r="CD257">
        <v>91</v>
      </c>
      <c r="CE257">
        <v>3</v>
      </c>
      <c r="CF257">
        <v>3</v>
      </c>
      <c r="CG257">
        <v>0</v>
      </c>
      <c r="CH257">
        <v>943</v>
      </c>
      <c r="CI257">
        <v>771</v>
      </c>
      <c r="CJ257">
        <v>1</v>
      </c>
      <c r="CK257" t="s">
        <v>54</v>
      </c>
      <c r="CL257" t="s">
        <v>2551</v>
      </c>
      <c r="CM257">
        <f>HYPERLINK(".\links\GO\TI_asb-426-GO.txt",7.7)</f>
        <v>7.7</v>
      </c>
      <c r="CN257" t="s">
        <v>2552</v>
      </c>
      <c r="CO257" t="s">
        <v>129</v>
      </c>
      <c r="CP257" t="s">
        <v>151</v>
      </c>
      <c r="CQ257" t="s">
        <v>2553</v>
      </c>
      <c r="CR257">
        <v>7.7</v>
      </c>
      <c r="CS257" t="s">
        <v>60</v>
      </c>
      <c r="CT257" t="s">
        <v>60</v>
      </c>
      <c r="CV257" t="s">
        <v>61</v>
      </c>
      <c r="CW257">
        <v>7.7</v>
      </c>
      <c r="CX257" t="s">
        <v>2554</v>
      </c>
      <c r="CY257" t="s">
        <v>129</v>
      </c>
      <c r="CZ257" t="s">
        <v>151</v>
      </c>
      <c r="DA257" t="s">
        <v>2555</v>
      </c>
      <c r="DB257">
        <v>7.7</v>
      </c>
      <c r="DC257" t="str">
        <f>HYPERLINK(".\links\CDD\TI_asb-426-CDD.txt","ATP6")</f>
        <v>ATP6</v>
      </c>
      <c r="DD257" t="str">
        <f>HYPERLINK("http://www.ncbi.nlm.nih.gov/Structure/cdd/cddsrv.cgi?uid=MTH00087&amp;version=v4.0","5E-004")</f>
        <v>5E-004</v>
      </c>
      <c r="DE257" t="s">
        <v>2556</v>
      </c>
      <c r="DF257" t="str">
        <f>HYPERLINK(".\links\PFAM\TI_asb-426-PFAM.txt","7TMR-DISM_7TM")</f>
        <v>7TMR-DISM_7TM</v>
      </c>
      <c r="DG257" t="str">
        <f>HYPERLINK("http://pfam.sanger.ac.uk/family?acc=PF07695","5E-004")</f>
        <v>5E-004</v>
      </c>
      <c r="DH257" t="str">
        <f>HYPERLINK(".\links\PRK\TI_asb-426-PRK.txt","ATP synthase F0 subunit 6")</f>
        <v>ATP synthase F0 subunit 6</v>
      </c>
      <c r="DI257" s="6">
        <v>1.0999999999999999E-2</v>
      </c>
      <c r="DJ257" s="6" t="str">
        <f>HYPERLINK(".\links\KOG\TI_asb-426-KOG.txt","Nuclear protein, contains WD40 repeats")</f>
        <v>Nuclear protein, contains WD40 repeats</v>
      </c>
      <c r="DK257" s="6" t="str">
        <f>HYPERLINK("http://www.ncbi.nlm.nih.gov/COG/grace/shokog.cgi?KOG1916","0.0")</f>
        <v>0.0</v>
      </c>
      <c r="DL257" s="6" t="s">
        <v>4337</v>
      </c>
      <c r="DM257" s="6" t="str">
        <f>HYPERLINK(".\links\KOG\TI_asb-426-KOG.txt","KOG1916")</f>
        <v>KOG1916</v>
      </c>
      <c r="DN257" t="str">
        <f>HYPERLINK(".\links\SMART\TI_asb-426-SMART.txt","AgrB")</f>
        <v>AgrB</v>
      </c>
      <c r="DO257" t="str">
        <f>HYPERLINK("http://smart.embl-heidelberg.de/smart/do_annotation.pl?DOMAIN=AgrB&amp;BLAST=DUMMY","0.029")</f>
        <v>0.029</v>
      </c>
      <c r="DP257" s="3" t="s">
        <v>56</v>
      </c>
      <c r="ED257" s="3" t="s">
        <v>56</v>
      </c>
    </row>
    <row r="258" spans="1:147">
      <c r="A258" t="str">
        <f>HYPERLINK(".\links\seq\TI_asb-427-seq.txt","TI_asb-427")</f>
        <v>TI_asb-427</v>
      </c>
      <c r="B258">
        <v>427</v>
      </c>
      <c r="C258" t="str">
        <f>HYPERLINK(".\links\tsa\TI_asb-427-tsa.txt","2")</f>
        <v>2</v>
      </c>
      <c r="D258">
        <v>2</v>
      </c>
      <c r="E258">
        <v>531</v>
      </c>
      <c r="F258">
        <v>503</v>
      </c>
      <c r="G258" t="str">
        <f>HYPERLINK(".\links\qual\TI_asb-427-qual.txt","62")</f>
        <v>62</v>
      </c>
      <c r="H258">
        <v>2</v>
      </c>
      <c r="I258">
        <v>0</v>
      </c>
      <c r="J258">
        <f t="shared" si="12"/>
        <v>2</v>
      </c>
      <c r="K258" s="6">
        <f t="shared" si="13"/>
        <v>2</v>
      </c>
      <c r="L258" s="6" t="s">
        <v>4038</v>
      </c>
      <c r="M258" s="6" t="s">
        <v>3886</v>
      </c>
      <c r="N258" s="6" t="s">
        <v>3864</v>
      </c>
      <c r="O258" s="6">
        <v>2E-12</v>
      </c>
      <c r="P258" s="6">
        <v>39.1</v>
      </c>
      <c r="Q258" s="3">
        <v>531</v>
      </c>
      <c r="R258" s="3">
        <v>342</v>
      </c>
      <c r="S258" s="6" t="s">
        <v>3737</v>
      </c>
      <c r="T258" s="3">
        <v>5</v>
      </c>
      <c r="U258" t="str">
        <f>HYPERLINK(".\links\NR-LIGHT\TI_asb-427-NR-LIGHT.txt","hypothetical protein")</f>
        <v>hypothetical protein</v>
      </c>
      <c r="V258" t="str">
        <f>HYPERLINK("http://www.ncbi.nlm.nih.gov/sutils/blink.cgi?pid=256050212","2E-012")</f>
        <v>2E-012</v>
      </c>
      <c r="W258" t="str">
        <f>HYPERLINK(".\links\NR-LIGHT\TI_asb-427-NR-LIGHT.txt"," 10")</f>
        <v xml:space="preserve"> 10</v>
      </c>
      <c r="X258" t="str">
        <f>HYPERLINK("http://www.ncbi.nlm.nih.gov/protein/256050212","gi|256050212")</f>
        <v>gi|256050212</v>
      </c>
      <c r="Y258">
        <v>73.900000000000006</v>
      </c>
      <c r="Z258">
        <v>45</v>
      </c>
      <c r="AA258">
        <v>115</v>
      </c>
      <c r="AB258">
        <v>77</v>
      </c>
      <c r="AC258">
        <v>39</v>
      </c>
      <c r="AD258">
        <v>10</v>
      </c>
      <c r="AE258">
        <v>0</v>
      </c>
      <c r="AF258">
        <v>10</v>
      </c>
      <c r="AG258">
        <v>91</v>
      </c>
      <c r="AH258">
        <v>1</v>
      </c>
      <c r="AI258">
        <v>1</v>
      </c>
      <c r="AJ258" t="s">
        <v>53</v>
      </c>
      <c r="AK258" t="s">
        <v>54</v>
      </c>
      <c r="AL258" t="s">
        <v>1761</v>
      </c>
      <c r="AM258" t="s">
        <v>56</v>
      </c>
      <c r="AN258" s="19" t="s">
        <v>56</v>
      </c>
      <c r="AO258" t="s">
        <v>56</v>
      </c>
      <c r="AP258" t="s">
        <v>56</v>
      </c>
      <c r="AQ258" t="s">
        <v>56</v>
      </c>
      <c r="AR258" t="s">
        <v>56</v>
      </c>
      <c r="AS258" t="s">
        <v>56</v>
      </c>
      <c r="AT258" t="s">
        <v>56</v>
      </c>
      <c r="AU258" t="s">
        <v>56</v>
      </c>
      <c r="AV258" t="s">
        <v>56</v>
      </c>
      <c r="AW258" t="s">
        <v>56</v>
      </c>
      <c r="AX258" t="s">
        <v>56</v>
      </c>
      <c r="AY258" t="s">
        <v>56</v>
      </c>
      <c r="AZ258" t="s">
        <v>56</v>
      </c>
      <c r="BA258" t="s">
        <v>56</v>
      </c>
      <c r="BB258" t="s">
        <v>56</v>
      </c>
      <c r="BC258" t="s">
        <v>56</v>
      </c>
      <c r="BD258" t="s">
        <v>56</v>
      </c>
      <c r="BE258" t="s">
        <v>56</v>
      </c>
      <c r="BF258" t="s">
        <v>56</v>
      </c>
      <c r="BG258" t="str">
        <f>HYPERLINK(".\links\PREV-RHOD-PEP\TI_asb-427-PREV-RHOD-PEP.txt","Contig6611_1")</f>
        <v>Contig6611_1</v>
      </c>
      <c r="BH258" s="7">
        <v>3.0000000000000001E-26</v>
      </c>
      <c r="BI258" t="str">
        <f>HYPERLINK(".\links\PREV-RHOD-PEP\TI_asb-427-PREV-RHOD-PEP.txt"," 3")</f>
        <v xml:space="preserve"> 3</v>
      </c>
      <c r="BJ258" t="s">
        <v>2230</v>
      </c>
      <c r="BK258">
        <v>114</v>
      </c>
      <c r="BL258">
        <v>81</v>
      </c>
      <c r="BM258">
        <v>81</v>
      </c>
      <c r="BN258">
        <v>71</v>
      </c>
      <c r="BO258">
        <v>100</v>
      </c>
      <c r="BP258">
        <v>23</v>
      </c>
      <c r="BQ258">
        <v>0</v>
      </c>
      <c r="BR258">
        <v>1</v>
      </c>
      <c r="BS258">
        <v>105</v>
      </c>
      <c r="BT258">
        <v>1</v>
      </c>
      <c r="BU258" t="s">
        <v>64</v>
      </c>
      <c r="BV258" t="s">
        <v>2231</v>
      </c>
      <c r="BW258" t="s">
        <v>56</v>
      </c>
      <c r="BX258" t="str">
        <f>HYPERLINK(".\links\PREV-RHOD-CDS\TI_asb-427-PREV-RHOD-CDS.txt","Contig6611_1")</f>
        <v>Contig6611_1</v>
      </c>
      <c r="BY258" s="7">
        <v>9.9999999999999998E-138</v>
      </c>
      <c r="BZ258" t="s">
        <v>2230</v>
      </c>
      <c r="CA258">
        <v>488</v>
      </c>
      <c r="CB258">
        <v>245</v>
      </c>
      <c r="CC258">
        <v>246</v>
      </c>
      <c r="CD258">
        <v>100</v>
      </c>
      <c r="CE258">
        <v>100</v>
      </c>
      <c r="CF258">
        <v>0</v>
      </c>
      <c r="CG258">
        <v>0</v>
      </c>
      <c r="CH258">
        <v>1</v>
      </c>
      <c r="CI258">
        <v>102</v>
      </c>
      <c r="CJ258">
        <v>1</v>
      </c>
      <c r="CK258" t="s">
        <v>64</v>
      </c>
      <c r="CL258" t="s">
        <v>2557</v>
      </c>
      <c r="CM258">
        <f>HYPERLINK(".\links\GO\TI_asb-427-GO.txt",0.52)</f>
        <v>0.52</v>
      </c>
      <c r="CN258" t="s">
        <v>2558</v>
      </c>
      <c r="CO258" t="s">
        <v>129</v>
      </c>
      <c r="CP258" t="s">
        <v>130</v>
      </c>
      <c r="CQ258" t="s">
        <v>2559</v>
      </c>
      <c r="CR258" s="6">
        <v>0.52</v>
      </c>
      <c r="CS258" t="s">
        <v>2249</v>
      </c>
      <c r="CT258" t="s">
        <v>75</v>
      </c>
      <c r="CU258" t="s">
        <v>76</v>
      </c>
      <c r="CV258" t="s">
        <v>2250</v>
      </c>
      <c r="CW258" s="6">
        <v>0.52</v>
      </c>
      <c r="CX258" t="s">
        <v>2560</v>
      </c>
      <c r="CY258" t="s">
        <v>129</v>
      </c>
      <c r="CZ258" t="s">
        <v>130</v>
      </c>
      <c r="DA258" t="s">
        <v>2561</v>
      </c>
      <c r="DB258" s="6">
        <v>0.52</v>
      </c>
      <c r="DC258" t="str">
        <f>HYPERLINK(".\links\CDD\TI_asb-427-CDD.txt","PAP2_like_1")</f>
        <v>PAP2_like_1</v>
      </c>
      <c r="DD258" t="str">
        <f>HYPERLINK("http://www.ncbi.nlm.nih.gov/Structure/cdd/cddsrv.cgi?uid=cd03380&amp;version=v4.0","0.091")</f>
        <v>0.091</v>
      </c>
      <c r="DE258" t="s">
        <v>2562</v>
      </c>
      <c r="DF258" t="s">
        <v>56</v>
      </c>
      <c r="DG258" t="s">
        <v>56</v>
      </c>
      <c r="DH258" t="s">
        <v>56</v>
      </c>
      <c r="DI258" s="6" t="s">
        <v>56</v>
      </c>
      <c r="DJ258" s="6" t="s">
        <v>56</v>
      </c>
      <c r="DN258" t="str">
        <f>HYPERLINK(".\links\SMART\TI_asb-427-SMART.txt","calpain_III")</f>
        <v>calpain_III</v>
      </c>
      <c r="DO258" t="str">
        <f>HYPERLINK("http://smart.embl-heidelberg.de/smart/do_annotation.pl?DOMAIN=calpain_III&amp;BLAST=DUMMY","0.015")</f>
        <v>0.015</v>
      </c>
      <c r="DP258" s="3" t="str">
        <f>HYPERLINK(".\links\RRNA\TI_asb-427-RRNA.txt","Myrmeleon sp. 18S ribosomal RNA")</f>
        <v>Myrmeleon sp. 18S ribosomal RNA</v>
      </c>
      <c r="DQ258" s="3" t="str">
        <f>HYPERLINK("http://www.ncbi.nlm.nih.gov/entrez/viewer.fcgi?db=nucleotide&amp;val=293880","1E-109")</f>
        <v>1E-109</v>
      </c>
      <c r="DR258" s="3" t="str">
        <f>HYPERLINK("http://www.ncbi.nlm.nih.gov/entrez/viewer.fcgi?db=nucleotide&amp;val=293880","gi|293880")</f>
        <v>gi|293880</v>
      </c>
      <c r="DS258" s="3">
        <v>391</v>
      </c>
      <c r="DT258" s="3">
        <v>248</v>
      </c>
      <c r="DU258" s="3">
        <v>1379</v>
      </c>
      <c r="DV258" s="3">
        <v>95</v>
      </c>
      <c r="DW258" s="3">
        <v>18</v>
      </c>
      <c r="DX258" s="3">
        <v>12</v>
      </c>
      <c r="DY258" s="3">
        <v>1</v>
      </c>
      <c r="DZ258" s="3">
        <v>412</v>
      </c>
      <c r="EA258" s="3">
        <v>49</v>
      </c>
      <c r="EB258" s="3">
        <v>1</v>
      </c>
      <c r="EC258" s="3" t="s">
        <v>54</v>
      </c>
      <c r="ED258" s="3" t="s">
        <v>56</v>
      </c>
    </row>
    <row r="259" spans="1:147">
      <c r="A259" t="str">
        <f>HYPERLINK(".\links\seq\TI_asb-428-seq.txt","TI_asb-428")</f>
        <v>TI_asb-428</v>
      </c>
      <c r="B259">
        <v>428</v>
      </c>
      <c r="C259" t="str">
        <f>HYPERLINK(".\links\tsa\TI_asb-428-tsa.txt","1")</f>
        <v>1</v>
      </c>
      <c r="D259">
        <v>1</v>
      </c>
      <c r="E259">
        <v>535</v>
      </c>
      <c r="F259">
        <v>502</v>
      </c>
      <c r="G259" t="str">
        <f>HYPERLINK(".\links\qual\TI_asb-428-qual.txt","22")</f>
        <v>22</v>
      </c>
      <c r="H259">
        <v>1</v>
      </c>
      <c r="I259">
        <v>0</v>
      </c>
      <c r="J259">
        <f t="shared" si="12"/>
        <v>1</v>
      </c>
      <c r="K259" s="6">
        <f t="shared" si="13"/>
        <v>1</v>
      </c>
      <c r="L259" s="6" t="s">
        <v>4039</v>
      </c>
      <c r="M259" s="6" t="s">
        <v>3866</v>
      </c>
      <c r="N259" s="6" t="s">
        <v>3884</v>
      </c>
      <c r="O259" s="6">
        <v>1.9999999999999999E-11</v>
      </c>
      <c r="P259" s="6">
        <v>25</v>
      </c>
      <c r="Q259" s="3">
        <v>535</v>
      </c>
      <c r="R259" s="3">
        <v>264</v>
      </c>
      <c r="S259" s="3" t="s">
        <v>3738</v>
      </c>
      <c r="T259" s="3">
        <v>6</v>
      </c>
      <c r="U259" t="str">
        <f>HYPERLINK(".\links\NR-LIGHT\TI_asb-428-NR-LIGHT.txt","hypothetical protein")</f>
        <v>hypothetical protein</v>
      </c>
      <c r="V259" t="str">
        <f>HYPERLINK("http://www.ncbi.nlm.nih.gov/sutils/blink.cgi?pid=256050212","2E-019")</f>
        <v>2E-019</v>
      </c>
      <c r="W259" t="str">
        <f>HYPERLINK(".\links\NR-LIGHT\TI_asb-428-NR-LIGHT.txt"," 10")</f>
        <v xml:space="preserve"> 10</v>
      </c>
      <c r="X259" t="str">
        <f>HYPERLINK("http://www.ncbi.nlm.nih.gov/protein/256050212","gi|256050212")</f>
        <v>gi|256050212</v>
      </c>
      <c r="Y259">
        <v>97.1</v>
      </c>
      <c r="Z259">
        <v>66</v>
      </c>
      <c r="AA259">
        <v>115</v>
      </c>
      <c r="AB259">
        <v>74</v>
      </c>
      <c r="AC259">
        <v>57</v>
      </c>
      <c r="AD259">
        <v>17</v>
      </c>
      <c r="AE259">
        <v>0</v>
      </c>
      <c r="AF259">
        <v>7</v>
      </c>
      <c r="AG259">
        <v>86</v>
      </c>
      <c r="AH259">
        <v>1</v>
      </c>
      <c r="AI259">
        <v>2</v>
      </c>
      <c r="AJ259" t="s">
        <v>53</v>
      </c>
      <c r="AK259" t="s">
        <v>54</v>
      </c>
      <c r="AL259" t="s">
        <v>1761</v>
      </c>
      <c r="AM259" t="str">
        <f>HYPERLINK(".\links\SWISSP\TI_asb-428-SWISSP.txt","60S ribosomal protein L11 OS=Drosophila melanogaster GN=RpL11 PE=1 SV=2")</f>
        <v>60S ribosomal protein L11 OS=Drosophila melanogaster GN=RpL11 PE=1 SV=2</v>
      </c>
      <c r="AN259" s="19" t="str">
        <f>HYPERLINK("http://www.uniprot.org/uniprot/P46222","6E-011")</f>
        <v>6E-011</v>
      </c>
      <c r="AO259" t="str">
        <f>HYPERLINK(".\links\SWISSP\TI_asb-428-SWISSP.txt"," 10")</f>
        <v xml:space="preserve"> 10</v>
      </c>
      <c r="AP259" t="s">
        <v>1127</v>
      </c>
      <c r="AQ259">
        <v>67</v>
      </c>
      <c r="AR259">
        <v>46</v>
      </c>
      <c r="AS259">
        <v>184</v>
      </c>
      <c r="AT259">
        <v>69</v>
      </c>
      <c r="AU259">
        <v>25</v>
      </c>
      <c r="AV259">
        <v>14</v>
      </c>
      <c r="AW259">
        <v>0</v>
      </c>
      <c r="AX259">
        <v>139</v>
      </c>
      <c r="AY259">
        <v>314</v>
      </c>
      <c r="AZ259">
        <v>1</v>
      </c>
      <c r="BA259">
        <v>2</v>
      </c>
      <c r="BB259" t="s">
        <v>53</v>
      </c>
      <c r="BC259" t="s">
        <v>54</v>
      </c>
      <c r="BD259" t="s">
        <v>143</v>
      </c>
      <c r="BE259" t="s">
        <v>2563</v>
      </c>
      <c r="BF259" t="s">
        <v>2564</v>
      </c>
      <c r="BG259" t="str">
        <f>HYPERLINK(".\links\PREV-RHOD-PEP\TI_asb-428-PREV-RHOD-PEP.txt","Contig8007_1")</f>
        <v>Contig8007_1</v>
      </c>
      <c r="BH259" s="7">
        <v>1.9999999999999998E-24</v>
      </c>
      <c r="BI259" t="str">
        <f>HYPERLINK(".\links\PREV-RHOD-PEP\TI_asb-428-PREV-RHOD-PEP.txt"," 7")</f>
        <v xml:space="preserve"> 7</v>
      </c>
      <c r="BJ259" t="s">
        <v>2232</v>
      </c>
      <c r="BK259">
        <v>108</v>
      </c>
      <c r="BL259">
        <v>71</v>
      </c>
      <c r="BM259">
        <v>81</v>
      </c>
      <c r="BN259">
        <v>80</v>
      </c>
      <c r="BO259">
        <v>88</v>
      </c>
      <c r="BP259">
        <v>14</v>
      </c>
      <c r="BQ259">
        <v>0</v>
      </c>
      <c r="BR259">
        <v>13</v>
      </c>
      <c r="BS259">
        <v>109</v>
      </c>
      <c r="BT259">
        <v>1</v>
      </c>
      <c r="BU259" t="s">
        <v>64</v>
      </c>
      <c r="BV259" t="s">
        <v>2565</v>
      </c>
      <c r="BW259" t="s">
        <v>56</v>
      </c>
      <c r="BX259" t="str">
        <f>HYPERLINK(".\links\PREV-RHOD-CDS\TI_asb-428-PREV-RHOD-CDS.txt","Contig8007_1")</f>
        <v>Contig8007_1</v>
      </c>
      <c r="BY259" s="7">
        <v>3.0000000000000001E-84</v>
      </c>
      <c r="BZ259" t="s">
        <v>2232</v>
      </c>
      <c r="CA259">
        <v>311</v>
      </c>
      <c r="CB259">
        <v>172</v>
      </c>
      <c r="CC259">
        <v>246</v>
      </c>
      <c r="CD259">
        <v>97</v>
      </c>
      <c r="CE259">
        <v>70</v>
      </c>
      <c r="CF259">
        <v>4</v>
      </c>
      <c r="CG259">
        <v>0</v>
      </c>
      <c r="CH259">
        <v>74</v>
      </c>
      <c r="CI259">
        <v>106</v>
      </c>
      <c r="CJ259">
        <v>1</v>
      </c>
      <c r="CK259" t="s">
        <v>64</v>
      </c>
      <c r="CL259" t="s">
        <v>1128</v>
      </c>
      <c r="CM259">
        <f>HYPERLINK(".\links\GO\TI_asb-428-GO.txt",0.00000000002)</f>
        <v>1.9999999999999999E-11</v>
      </c>
      <c r="CN259" t="s">
        <v>702</v>
      </c>
      <c r="CO259" t="s">
        <v>703</v>
      </c>
      <c r="CP259" t="s">
        <v>704</v>
      </c>
      <c r="CQ259" t="s">
        <v>705</v>
      </c>
      <c r="CR259" s="6">
        <v>1.9999999999999999E-11</v>
      </c>
      <c r="CS259" t="s">
        <v>706</v>
      </c>
      <c r="CT259" t="s">
        <v>75</v>
      </c>
      <c r="CU259" t="s">
        <v>76</v>
      </c>
      <c r="CV259" t="s">
        <v>707</v>
      </c>
      <c r="CW259" s="6">
        <v>1.9999999999999999E-11</v>
      </c>
      <c r="CX259" t="s">
        <v>708</v>
      </c>
      <c r="CY259" t="s">
        <v>703</v>
      </c>
      <c r="CZ259" t="s">
        <v>704</v>
      </c>
      <c r="DA259" t="s">
        <v>709</v>
      </c>
      <c r="DB259" s="6">
        <v>1.9999999999999999E-11</v>
      </c>
      <c r="DC259" t="str">
        <f>HYPERLINK(".\links\CDD\TI_asb-428-CDD.txt","Ribosomal_L5_C")</f>
        <v>Ribosomal_L5_C</v>
      </c>
      <c r="DD259" t="str">
        <f>HYPERLINK("http://www.ncbi.nlm.nih.gov/Structure/cdd/cddsrv.cgi?uid=pfam00673&amp;version=v4.0","0.062")</f>
        <v>0.062</v>
      </c>
      <c r="DE259" t="s">
        <v>2566</v>
      </c>
      <c r="DF259" t="str">
        <f>HYPERLINK(".\links\PFAM\TI_asb-428-PFAM.txt","Ribosomal_L5_C")</f>
        <v>Ribosomal_L5_C</v>
      </c>
      <c r="DG259" t="str">
        <f>HYPERLINK("http://pfam.sanger.ac.uk/family?acc=PF00673","0.007")</f>
        <v>0.007</v>
      </c>
      <c r="DH259" t="str">
        <f>HYPERLINK(".\links\PRK\TI_asb-428-PRK.txt","60S ribosomal protein L11")</f>
        <v>60S ribosomal protein L11</v>
      </c>
      <c r="DI259" s="7">
        <v>2.0000000000000001E-10</v>
      </c>
      <c r="DJ259" s="6" t="str">
        <f>HYPERLINK(".\links\KOG\TI_asb-428-KOG.txt","60S ribosomal protein L11")</f>
        <v>60S ribosomal protein L11</v>
      </c>
      <c r="DK259" s="6" t="str">
        <f>HYPERLINK("http://www.ncbi.nlm.nih.gov/COG/grace/shokog.cgi?KOG0397","3E-010")</f>
        <v>3E-010</v>
      </c>
      <c r="DL259" s="6" t="s">
        <v>4333</v>
      </c>
      <c r="DM259" s="6" t="str">
        <f>HYPERLINK(".\links\KOG\TI_asb-428-KOG.txt","KOG0397")</f>
        <v>KOG0397</v>
      </c>
      <c r="DN259" t="str">
        <f>HYPERLINK(".\links\SMART\TI_asb-428-SMART.txt","calpain_III")</f>
        <v>calpain_III</v>
      </c>
      <c r="DO259" t="str">
        <f>HYPERLINK("http://smart.embl-heidelberg.de/smart/do_annotation.pl?DOMAIN=calpain_III&amp;BLAST=DUMMY","0.011")</f>
        <v>0.011</v>
      </c>
      <c r="DP259" s="3" t="str">
        <f>HYPERLINK(".\links\RRNA\TI_asb-428-RRNA.txt","Cynops pyrrhogaster 18S ribosomal RNA, partial sequence")</f>
        <v>Cynops pyrrhogaster 18S ribosomal RNA, partial sequence</v>
      </c>
      <c r="DQ259" s="3" t="str">
        <f>HYPERLINK("http://www.ncbi.nlm.nih.gov/entrez/viewer.fcgi?db=nucleotide&amp;val=78675146","1E-103")</f>
        <v>1E-103</v>
      </c>
      <c r="DR259" s="3" t="str">
        <f>HYPERLINK("http://www.ncbi.nlm.nih.gov/entrez/viewer.fcgi?db=nucleotide&amp;val=78675146","gi|78675146")</f>
        <v>gi|78675146</v>
      </c>
      <c r="DS259" s="3">
        <v>371</v>
      </c>
      <c r="DT259" s="3">
        <v>265</v>
      </c>
      <c r="DU259" s="3">
        <v>2536</v>
      </c>
      <c r="DV259" s="3">
        <v>92</v>
      </c>
      <c r="DW259" s="3">
        <v>10</v>
      </c>
      <c r="DX259" s="3">
        <v>19</v>
      </c>
      <c r="DY259" s="3">
        <v>1</v>
      </c>
      <c r="DZ259" s="3">
        <v>323</v>
      </c>
      <c r="EA259" s="3">
        <v>18</v>
      </c>
      <c r="EB259" s="3">
        <v>1</v>
      </c>
      <c r="EC259" s="3" t="s">
        <v>54</v>
      </c>
      <c r="ED259" s="3" t="s">
        <v>56</v>
      </c>
    </row>
    <row r="260" spans="1:147" s="26" customFormat="1">
      <c r="A260" s="26" t="str">
        <f>HYPERLINK(".\links\seq\TI_asb-429-seq.txt","TI_asb-429")</f>
        <v>TI_asb-429</v>
      </c>
      <c r="B260" s="26">
        <v>429</v>
      </c>
      <c r="C260" s="27" t="str">
        <f>HYPERLINK(".\links\tsa\TI_asb-429-tsa.txt","5")</f>
        <v>5</v>
      </c>
      <c r="D260" s="26">
        <v>5</v>
      </c>
      <c r="E260" s="26">
        <v>730</v>
      </c>
      <c r="F260" s="26">
        <v>674</v>
      </c>
      <c r="G260" s="26" t="str">
        <f>HYPERLINK(".\links\qual\TI_asb-429-qual.txt","84")</f>
        <v>84</v>
      </c>
      <c r="H260" s="26">
        <v>2</v>
      </c>
      <c r="I260" s="26">
        <v>3</v>
      </c>
      <c r="J260" s="26">
        <f t="shared" si="12"/>
        <v>1</v>
      </c>
      <c r="K260" s="26">
        <f t="shared" si="13"/>
        <v>-1</v>
      </c>
      <c r="L260" s="26" t="s">
        <v>4040</v>
      </c>
      <c r="M260" s="26" t="s">
        <v>3904</v>
      </c>
      <c r="N260" s="26" t="s">
        <v>3867</v>
      </c>
      <c r="O260" s="28">
        <v>8.0000000000000002E-58</v>
      </c>
      <c r="P260" s="26">
        <v>100</v>
      </c>
      <c r="Q260" s="26">
        <v>730</v>
      </c>
      <c r="R260" s="26">
        <v>273</v>
      </c>
      <c r="S260" s="26" t="s">
        <v>3739</v>
      </c>
      <c r="T260" s="26">
        <v>4</v>
      </c>
      <c r="U260" s="26" t="str">
        <f>HYPERLINK(".\links\NR-LIGHT\TI_asb-429-NR-LIGHT.txt","cytochrome oxidase subunit 2")</f>
        <v>cytochrome oxidase subunit 2</v>
      </c>
      <c r="V260" s="26" t="str">
        <f>HYPERLINK("http://www.ncbi.nlm.nih.gov/sutils/blink.cgi?pid=149689096","4E-091")</f>
        <v>4E-091</v>
      </c>
      <c r="W260" s="26" t="str">
        <f>HYPERLINK(".\links\NR-LIGHT\TI_asb-429-NR-LIGHT.txt"," 10")</f>
        <v xml:space="preserve"> 10</v>
      </c>
      <c r="X260" s="26" t="str">
        <f>HYPERLINK("http://www.ncbi.nlm.nih.gov/protein/149689096","gi|149689096")</f>
        <v>gi|149689096</v>
      </c>
      <c r="Y260" s="26">
        <v>336</v>
      </c>
      <c r="Z260" s="26">
        <v>214</v>
      </c>
      <c r="AA260" s="26">
        <v>223</v>
      </c>
      <c r="AB260" s="26">
        <v>81</v>
      </c>
      <c r="AC260" s="26">
        <v>96</v>
      </c>
      <c r="AD260" s="26">
        <v>39</v>
      </c>
      <c r="AE260" s="26">
        <v>0</v>
      </c>
      <c r="AF260" s="26">
        <v>5</v>
      </c>
      <c r="AG260" s="26">
        <v>3</v>
      </c>
      <c r="AH260" s="26">
        <v>1</v>
      </c>
      <c r="AI260" s="26">
        <v>3</v>
      </c>
      <c r="AJ260" s="26" t="s">
        <v>53</v>
      </c>
      <c r="AK260" s="26" t="s">
        <v>54</v>
      </c>
      <c r="AL260" s="26" t="s">
        <v>55</v>
      </c>
      <c r="AM260" s="26" t="str">
        <f>HYPERLINK(".\links\SWISSP\TI_asb-429-SWISSP.txt","Cytochrome c oxidase subunit 2 OS=Anopheles quadrimaculatus GN=COXII PE=3 SV=1")</f>
        <v>Cytochrome c oxidase subunit 2 OS=Anopheles quadrimaculatus GN=COXII PE=3 SV=1</v>
      </c>
      <c r="AN260" s="29" t="str">
        <f>HYPERLINK("http://www.uniprot.org/uniprot/P33505","4E-077")</f>
        <v>4E-077</v>
      </c>
      <c r="AO260" s="26" t="str">
        <f>HYPERLINK(".\links\SWISSP\TI_asb-429-SWISSP.txt"," 10")</f>
        <v xml:space="preserve"> 10</v>
      </c>
      <c r="AP260" s="26" t="s">
        <v>2567</v>
      </c>
      <c r="AQ260" s="26">
        <v>287</v>
      </c>
      <c r="AR260" s="26">
        <v>213</v>
      </c>
      <c r="AS260" s="26">
        <v>228</v>
      </c>
      <c r="AT260" s="26">
        <v>65</v>
      </c>
      <c r="AU260" s="26">
        <v>93</v>
      </c>
      <c r="AV260" s="26">
        <v>73</v>
      </c>
      <c r="AW260" s="26">
        <v>0</v>
      </c>
      <c r="AX260" s="26">
        <v>8</v>
      </c>
      <c r="AY260" s="26">
        <v>3</v>
      </c>
      <c r="AZ260" s="26">
        <v>1</v>
      </c>
      <c r="BA260" s="26">
        <v>3</v>
      </c>
      <c r="BB260" s="26" t="s">
        <v>53</v>
      </c>
      <c r="BC260" s="26" t="s">
        <v>54</v>
      </c>
      <c r="BD260" s="26" t="s">
        <v>918</v>
      </c>
      <c r="BE260" s="26" t="s">
        <v>2568</v>
      </c>
      <c r="BF260" s="26" t="s">
        <v>2569</v>
      </c>
      <c r="BG260" s="26" t="str">
        <f>HYPERLINK(".\links\PREV-RHOD-PEP\TI_asb-429-PREV-RHOD-PEP.txt","Contig8179_1")</f>
        <v>Contig8179_1</v>
      </c>
      <c r="BH260" s="28">
        <v>6.0000000000000001E-17</v>
      </c>
      <c r="BI260" s="26" t="str">
        <f>HYPERLINK(".\links\PREV-RHOD-PEP\TI_asb-429-PREV-RHOD-PEP.txt"," 10")</f>
        <v xml:space="preserve"> 10</v>
      </c>
      <c r="BJ260" s="26" t="s">
        <v>2570</v>
      </c>
      <c r="BK260" s="26">
        <v>84</v>
      </c>
      <c r="BL260" s="26">
        <v>48</v>
      </c>
      <c r="BM260" s="26">
        <v>48</v>
      </c>
      <c r="BN260" s="26">
        <v>81</v>
      </c>
      <c r="BO260" s="26">
        <v>100</v>
      </c>
      <c r="BP260" s="26">
        <v>9</v>
      </c>
      <c r="BQ260" s="26">
        <v>0</v>
      </c>
      <c r="BR260" s="26">
        <v>1</v>
      </c>
      <c r="BS260" s="26">
        <v>464</v>
      </c>
      <c r="BT260" s="26">
        <v>1</v>
      </c>
      <c r="BU260" s="26" t="s">
        <v>64</v>
      </c>
      <c r="BV260" s="26" t="s">
        <v>2571</v>
      </c>
      <c r="BW260" s="26" t="s">
        <v>2572</v>
      </c>
      <c r="BX260" s="26" t="str">
        <f>HYPERLINK(".\links\PREV-RHOD-CDS\TI_asb-429-PREV-RHOD-CDS.txt","Contig8179_1")</f>
        <v>Contig8179_1</v>
      </c>
      <c r="BY260" s="28">
        <v>7.0000000000000007E-21</v>
      </c>
      <c r="BZ260" s="26" t="s">
        <v>2570</v>
      </c>
      <c r="CA260" s="26">
        <v>101</v>
      </c>
      <c r="CB260" s="26">
        <v>142</v>
      </c>
      <c r="CC260" s="26">
        <v>147</v>
      </c>
      <c r="CD260" s="26">
        <v>83</v>
      </c>
      <c r="CE260" s="26">
        <v>97</v>
      </c>
      <c r="CF260" s="26">
        <v>23</v>
      </c>
      <c r="CG260" s="26">
        <v>0</v>
      </c>
      <c r="CH260" s="26">
        <v>1</v>
      </c>
      <c r="CI260" s="26">
        <v>465</v>
      </c>
      <c r="CJ260" s="26">
        <v>1</v>
      </c>
      <c r="CK260" s="26" t="s">
        <v>64</v>
      </c>
      <c r="CL260" s="26" t="s">
        <v>1947</v>
      </c>
      <c r="CM260" s="26">
        <f>HYPERLINK(".\links\GO\TI_asb-429-GO.txt",3E-73)</f>
        <v>3.0000000000000001E-73</v>
      </c>
      <c r="CN260" s="26" t="s">
        <v>1597</v>
      </c>
      <c r="CO260" s="26" t="s">
        <v>88</v>
      </c>
      <c r="CP260" s="26" t="s">
        <v>89</v>
      </c>
      <c r="CQ260" s="26" t="s">
        <v>1598</v>
      </c>
      <c r="CR260" s="28">
        <v>3.0000000000000001E-73</v>
      </c>
      <c r="CS260" s="26" t="s">
        <v>241</v>
      </c>
      <c r="CT260" s="26" t="s">
        <v>75</v>
      </c>
      <c r="CU260" s="26" t="s">
        <v>76</v>
      </c>
      <c r="CV260" s="26" t="s">
        <v>242</v>
      </c>
      <c r="CW260" s="28">
        <v>3.0000000000000001E-73</v>
      </c>
      <c r="CX260" s="26" t="s">
        <v>1599</v>
      </c>
      <c r="CY260" s="26" t="s">
        <v>88</v>
      </c>
      <c r="CZ260" s="26" t="s">
        <v>89</v>
      </c>
      <c r="DA260" s="26" t="s">
        <v>1600</v>
      </c>
      <c r="DB260" s="28">
        <v>3.0000000000000001E-73</v>
      </c>
      <c r="DC260" s="26" t="str">
        <f>HYPERLINK(".\links\CDD\TI_asb-429-CDD.txt","COX2")</f>
        <v>COX2</v>
      </c>
      <c r="DD260" s="26" t="str">
        <f>HYPERLINK("http://www.ncbi.nlm.nih.gov/Structure/cdd/cddsrv.cgi?uid=MTH00154&amp;version=v4.0","1E-119")</f>
        <v>1E-119</v>
      </c>
      <c r="DE260" s="26" t="s">
        <v>2573</v>
      </c>
      <c r="DF260" s="26" t="str">
        <f>HYPERLINK(".\links\PFAM\TI_asb-429-PFAM.txt","COX2")</f>
        <v>COX2</v>
      </c>
      <c r="DG260" s="26" t="str">
        <f>HYPERLINK("http://pfam.sanger.ac.uk/family?acc=PF00116","8E-058")</f>
        <v>8E-058</v>
      </c>
      <c r="DH260" s="26" t="str">
        <f>HYPERLINK(".\links\PRK\TI_asb-429-PRK.txt","cytochrome c oxidase subunit II")</f>
        <v>cytochrome c oxidase subunit II</v>
      </c>
      <c r="DI260" s="28">
        <v>9.9999999999999993E-125</v>
      </c>
      <c r="DJ260" s="26" t="str">
        <f>HYPERLINK(".\links\KOG\TI_asb-429-KOG.txt","Cytochrome c oxidase, subunit II, and related proteins")</f>
        <v>Cytochrome c oxidase, subunit II, and related proteins</v>
      </c>
      <c r="DK260" s="26" t="str">
        <f>HYPERLINK("http://www.ncbi.nlm.nih.gov/COG/grace/shokog.cgi?KOG4767","1E-088")</f>
        <v>1E-088</v>
      </c>
      <c r="DL260" s="26" t="s">
        <v>4349</v>
      </c>
      <c r="DM260" s="26" t="str">
        <f>HYPERLINK(".\links\KOG\TI_asb-429-KOG.txt","KOG4767")</f>
        <v>KOG4767</v>
      </c>
      <c r="DN260" s="26" t="str">
        <f>HYPERLINK(".\links\SMART\TI_asb-429-SMART.txt","PSN")</f>
        <v>PSN</v>
      </c>
      <c r="DO260" s="26" t="str">
        <f>HYPERLINK("http://smart.embl-heidelberg.de/smart/do_annotation.pl?DOMAIN=PSN&amp;BLAST=DUMMY","0.003")</f>
        <v>0.003</v>
      </c>
      <c r="DP260" s="26" t="s">
        <v>56</v>
      </c>
      <c r="ED260" s="26" t="str">
        <f>HYPERLINK(".\links\MIT-PLA\TI_asb-429-MIT-PLA.txt","Triatoma dimidiata mitochondrial DNA, complete genome")</f>
        <v>Triatoma dimidiata mitochondrial DNA, complete genome</v>
      </c>
      <c r="EE260" s="26" t="str">
        <f>HYPERLINK("http://www.ncbi.nlm.nih.gov/entrez/viewer.fcgi?db=nucleotide&amp;val=11139100","3E-078")</f>
        <v>3E-078</v>
      </c>
      <c r="EF260" s="26" t="str">
        <f>HYPERLINK("http://www.ncbi.nlm.nih.gov/entrez/viewer.fcgi?db=nucleotide&amp;val=11139100","gi|11139100")</f>
        <v>gi|11139100</v>
      </c>
      <c r="EG260" s="26">
        <v>291</v>
      </c>
      <c r="EH260" s="26">
        <v>614</v>
      </c>
      <c r="EI260" s="26">
        <v>17019</v>
      </c>
      <c r="EJ260" s="26">
        <v>80</v>
      </c>
      <c r="EK260" s="26">
        <v>4</v>
      </c>
      <c r="EL260" s="26">
        <v>117</v>
      </c>
      <c r="EM260" s="26">
        <v>0</v>
      </c>
      <c r="EN260" s="26">
        <v>3052</v>
      </c>
      <c r="EO260" s="26">
        <v>44</v>
      </c>
      <c r="EP260" s="26">
        <v>1</v>
      </c>
      <c r="EQ260" s="26" t="s">
        <v>54</v>
      </c>
    </row>
    <row r="261" spans="1:147">
      <c r="A261" t="str">
        <f>HYPERLINK(".\links\seq\TI_asb-430-seq.txt","TI_asb-430")</f>
        <v>TI_asb-430</v>
      </c>
      <c r="B261">
        <v>430</v>
      </c>
      <c r="C261" t="str">
        <f>HYPERLINK(".\links\tsa\TI_asb-430-tsa.txt","5")</f>
        <v>5</v>
      </c>
      <c r="D261">
        <v>5</v>
      </c>
      <c r="E261">
        <v>1189</v>
      </c>
      <c r="F261">
        <v>1156</v>
      </c>
      <c r="G261" t="str">
        <f>HYPERLINK(".\links\qual\TI_asb-430-qual.txt","69")</f>
        <v>69</v>
      </c>
      <c r="H261">
        <v>4</v>
      </c>
      <c r="I261">
        <v>1</v>
      </c>
      <c r="J261">
        <f t="shared" si="12"/>
        <v>3</v>
      </c>
      <c r="K261" s="6">
        <f t="shared" si="13"/>
        <v>3</v>
      </c>
      <c r="L261" s="6" t="s">
        <v>4025</v>
      </c>
      <c r="M261" s="6" t="s">
        <v>3934</v>
      </c>
      <c r="N261" s="6" t="s">
        <v>3864</v>
      </c>
      <c r="O261" s="6">
        <v>0</v>
      </c>
      <c r="P261" s="6">
        <v>43.6</v>
      </c>
      <c r="Q261" s="3">
        <v>1189</v>
      </c>
      <c r="R261" s="3">
        <v>1182</v>
      </c>
      <c r="S261" s="4" t="s">
        <v>3740</v>
      </c>
      <c r="T261" s="3">
        <v>3</v>
      </c>
      <c r="U261" t="str">
        <f>HYPERLINK(".\links\NR-LIGHT\TI_asb-430-NR-LIGHT.txt","capsid protein precursor")</f>
        <v>capsid protein precursor</v>
      </c>
      <c r="V261" t="str">
        <f>HYPERLINK("http://www.ncbi.nlm.nih.gov/sutils/blink.cgi?pid=20451030","0.0")</f>
        <v>0.0</v>
      </c>
      <c r="W261" t="str">
        <f>HYPERLINK(".\links\NR-LIGHT\TI_asb-430-NR-LIGHT.txt"," 10")</f>
        <v xml:space="preserve"> 10</v>
      </c>
      <c r="X261" t="str">
        <f>HYPERLINK("http://www.ncbi.nlm.nih.gov/protein/20451030","gi|20451030")</f>
        <v>gi|20451030</v>
      </c>
      <c r="Y261">
        <v>733</v>
      </c>
      <c r="Z261">
        <v>379</v>
      </c>
      <c r="AA261">
        <v>868</v>
      </c>
      <c r="AB261">
        <v>95</v>
      </c>
      <c r="AC261">
        <v>44</v>
      </c>
      <c r="AD261">
        <v>17</v>
      </c>
      <c r="AE261">
        <v>0</v>
      </c>
      <c r="AF261">
        <v>381</v>
      </c>
      <c r="AG261">
        <v>18</v>
      </c>
      <c r="AH261">
        <v>1</v>
      </c>
      <c r="AI261">
        <v>3</v>
      </c>
      <c r="AJ261" t="s">
        <v>53</v>
      </c>
      <c r="AK261" t="s">
        <v>54</v>
      </c>
      <c r="AL261" t="s">
        <v>137</v>
      </c>
      <c r="AM261" t="str">
        <f>HYPERLINK(".\links\SWISSP\TI_asb-430-SWISSP.txt","Structural polyprotein OS=Cricket paralysis virus PE=1 SV=2")</f>
        <v>Structural polyprotein OS=Cricket paralysis virus PE=1 SV=2</v>
      </c>
      <c r="AN261" s="19" t="str">
        <f>HYPERLINK("http://www.uniprot.org/uniprot/P13418","1E-020")</f>
        <v>1E-020</v>
      </c>
      <c r="AO261" t="str">
        <f>HYPERLINK(".\links\SWISSP\TI_asb-430-SWISSP.txt"," 10")</f>
        <v xml:space="preserve"> 10</v>
      </c>
      <c r="AP261" t="s">
        <v>2254</v>
      </c>
      <c r="AQ261">
        <v>101</v>
      </c>
      <c r="AR261">
        <v>365</v>
      </c>
      <c r="AS261">
        <v>895</v>
      </c>
      <c r="AT261">
        <v>26</v>
      </c>
      <c r="AU261">
        <v>41</v>
      </c>
      <c r="AV261">
        <v>268</v>
      </c>
      <c r="AW261">
        <v>21</v>
      </c>
      <c r="AX261">
        <v>409</v>
      </c>
      <c r="AY261">
        <v>18</v>
      </c>
      <c r="AZ261">
        <v>1</v>
      </c>
      <c r="BA261">
        <v>3</v>
      </c>
      <c r="BB261" t="s">
        <v>53</v>
      </c>
      <c r="BC261" t="s">
        <v>54</v>
      </c>
      <c r="BD261" t="s">
        <v>2255</v>
      </c>
      <c r="BE261" t="s">
        <v>2574</v>
      </c>
      <c r="BF261" t="s">
        <v>2575</v>
      </c>
      <c r="BG261" t="str">
        <f>HYPERLINK(".\links\PREV-RHOD-PEP\TI_asb-430-PREV-RHOD-PEP.txt","Contig8468_5")</f>
        <v>Contig8468_5</v>
      </c>
      <c r="BH261" s="6">
        <v>0.63</v>
      </c>
      <c r="BI261" t="str">
        <f>HYPERLINK(".\links\PREV-RHOD-PEP\TI_asb-430-PREV-RHOD-PEP.txt"," 10")</f>
        <v xml:space="preserve"> 10</v>
      </c>
      <c r="BJ261" t="s">
        <v>2576</v>
      </c>
      <c r="BK261">
        <v>31.6</v>
      </c>
      <c r="BL261">
        <v>83</v>
      </c>
      <c r="BM261">
        <v>221</v>
      </c>
      <c r="BN261">
        <v>31</v>
      </c>
      <c r="BO261">
        <v>38</v>
      </c>
      <c r="BP261">
        <v>57</v>
      </c>
      <c r="BQ261">
        <v>5</v>
      </c>
      <c r="BR261">
        <v>74</v>
      </c>
      <c r="BS261">
        <v>99</v>
      </c>
      <c r="BT261">
        <v>1</v>
      </c>
      <c r="BU261" t="s">
        <v>64</v>
      </c>
      <c r="BV261" t="s">
        <v>2577</v>
      </c>
      <c r="BW261" t="s">
        <v>56</v>
      </c>
      <c r="BX261" t="str">
        <f>HYPERLINK(".\links\PREV-RHOD-CDS\TI_asb-430-PREV-RHOD-CDS.txt","Contig7606_2")</f>
        <v>Contig7606_2</v>
      </c>
      <c r="BY261" s="6">
        <v>2.2999999999999998</v>
      </c>
      <c r="BZ261" t="s">
        <v>2578</v>
      </c>
      <c r="CA261">
        <v>34.200000000000003</v>
      </c>
      <c r="CB261">
        <v>16</v>
      </c>
      <c r="CC261">
        <v>864</v>
      </c>
      <c r="CD261">
        <v>100</v>
      </c>
      <c r="CE261">
        <v>2</v>
      </c>
      <c r="CF261">
        <v>0</v>
      </c>
      <c r="CG261">
        <v>0</v>
      </c>
      <c r="CH261">
        <v>303</v>
      </c>
      <c r="CI261">
        <v>828</v>
      </c>
      <c r="CJ261">
        <v>1</v>
      </c>
      <c r="CK261" t="s">
        <v>54</v>
      </c>
      <c r="CL261" t="s">
        <v>2579</v>
      </c>
      <c r="CM261">
        <f>HYPERLINK(".\links\GO\TI_asb-430-GO.txt",4.2)</f>
        <v>4.2</v>
      </c>
      <c r="CN261" t="s">
        <v>58</v>
      </c>
      <c r="CO261" t="s">
        <v>58</v>
      </c>
      <c r="CQ261" t="s">
        <v>59</v>
      </c>
      <c r="CR261">
        <v>9.5</v>
      </c>
      <c r="CS261" t="s">
        <v>60</v>
      </c>
      <c r="CT261" t="s">
        <v>60</v>
      </c>
      <c r="CV261" t="s">
        <v>61</v>
      </c>
      <c r="CW261">
        <v>9.5</v>
      </c>
      <c r="CX261" t="s">
        <v>62</v>
      </c>
      <c r="CY261" t="s">
        <v>58</v>
      </c>
      <c r="DA261" t="s">
        <v>63</v>
      </c>
      <c r="DB261">
        <v>9.5</v>
      </c>
      <c r="DC261" t="str">
        <f>HYPERLINK(".\links\CDD\TI_asb-430-CDD.txt","rhv_like")</f>
        <v>rhv_like</v>
      </c>
      <c r="DD261" t="str">
        <f>HYPERLINK("http://www.ncbi.nlm.nih.gov/Structure/cdd/cddsrv.cgi?uid=cd00205&amp;version=v4.0","1E-023")</f>
        <v>1E-023</v>
      </c>
      <c r="DE261" t="s">
        <v>2580</v>
      </c>
      <c r="DF261" t="str">
        <f>HYPERLINK(".\links\PFAM\TI_asb-430-PFAM.txt","CRPV_capsid")</f>
        <v>CRPV_capsid</v>
      </c>
      <c r="DG261" t="str">
        <f>HYPERLINK("http://pfam.sanger.ac.uk/family?acc=PF08762","5E-006")</f>
        <v>5E-006</v>
      </c>
      <c r="DH261" t="str">
        <f>HYPERLINK(".\links\PRK\TI_asb-430-PRK.txt","kelch-like protein")</f>
        <v>kelch-like protein</v>
      </c>
      <c r="DI261" s="6">
        <v>6.6000000000000003E-2</v>
      </c>
      <c r="DJ261" s="6" t="s">
        <v>56</v>
      </c>
      <c r="DN261" t="s">
        <v>56</v>
      </c>
      <c r="DO261" t="s">
        <v>56</v>
      </c>
      <c r="DP261" s="3" t="s">
        <v>56</v>
      </c>
      <c r="ED261" s="3" t="s">
        <v>56</v>
      </c>
    </row>
    <row r="262" spans="1:147" s="26" customFormat="1">
      <c r="A262" s="26" t="str">
        <f>HYPERLINK(".\links\seq\TI_asb-431-seq.txt","TI_asb-431")</f>
        <v>TI_asb-431</v>
      </c>
      <c r="B262" s="26">
        <v>431</v>
      </c>
      <c r="C262" s="27" t="str">
        <f>HYPERLINK(".\links\tsa\TI_asb-431-tsa.txt","4")</f>
        <v>4</v>
      </c>
      <c r="D262" s="26">
        <v>4</v>
      </c>
      <c r="E262" s="26">
        <v>597</v>
      </c>
      <c r="F262" s="26">
        <v>565</v>
      </c>
      <c r="G262" s="26" t="str">
        <f>HYPERLINK(".\links\qual\TI_asb-431-qual.txt","61")</f>
        <v>61</v>
      </c>
      <c r="H262" s="26">
        <v>0</v>
      </c>
      <c r="I262" s="26">
        <v>4</v>
      </c>
      <c r="J262" s="26">
        <f t="shared" si="12"/>
        <v>4</v>
      </c>
      <c r="K262" s="26">
        <f t="shared" si="13"/>
        <v>-4</v>
      </c>
      <c r="L262" s="26" t="s">
        <v>4041</v>
      </c>
      <c r="M262" s="26" t="s">
        <v>3866</v>
      </c>
      <c r="N262" s="26" t="s">
        <v>3872</v>
      </c>
      <c r="O262" s="28">
        <v>2E-52</v>
      </c>
      <c r="P262" s="26">
        <v>73</v>
      </c>
      <c r="Q262" s="26">
        <v>597</v>
      </c>
      <c r="R262" s="26">
        <v>438</v>
      </c>
      <c r="S262" s="26" t="s">
        <v>3741</v>
      </c>
      <c r="T262" s="26">
        <v>2</v>
      </c>
      <c r="U262" s="26" t="str">
        <f>HYPERLINK(".\links\NR-LIGHT\TI_asb-431-NR-LIGHT.txt","ubiquitin")</f>
        <v>ubiquitin</v>
      </c>
      <c r="V262" s="26" t="str">
        <f>HYPERLINK("http://www.ncbi.nlm.nih.gov/sutils/blink.cgi?pid=170575532","4E-032")</f>
        <v>4E-032</v>
      </c>
      <c r="W262" s="26" t="str">
        <f>HYPERLINK(".\links\NR-LIGHT\TI_asb-431-NR-LIGHT.txt"," 10")</f>
        <v xml:space="preserve"> 10</v>
      </c>
      <c r="X262" s="26" t="str">
        <f>HYPERLINK("http://www.ncbi.nlm.nih.gov/protein/170575532","gi|170575532")</f>
        <v>gi|170575532</v>
      </c>
      <c r="Y262" s="26">
        <v>139</v>
      </c>
      <c r="Z262" s="26">
        <v>120</v>
      </c>
      <c r="AA262" s="26">
        <v>193</v>
      </c>
      <c r="AB262" s="26">
        <v>64</v>
      </c>
      <c r="AC262" s="26">
        <v>62</v>
      </c>
      <c r="AD262" s="26">
        <v>43</v>
      </c>
      <c r="AE262" s="26">
        <v>0</v>
      </c>
      <c r="AF262" s="26">
        <v>26</v>
      </c>
      <c r="AG262" s="26">
        <v>14</v>
      </c>
      <c r="AH262" s="26">
        <v>1</v>
      </c>
      <c r="AI262" s="26">
        <v>2</v>
      </c>
      <c r="AJ262" s="26" t="s">
        <v>53</v>
      </c>
      <c r="AK262" s="26" t="s">
        <v>54</v>
      </c>
      <c r="AL262" s="26" t="s">
        <v>304</v>
      </c>
      <c r="AM262" s="26" t="str">
        <f>HYPERLINK(".\links\SWISSP\TI_asb-431-SWISSP.txt","Ubiquitin-40S ribosomal protein S27a OS=Spodoptera frugiperda PE=2 SV=2")</f>
        <v>Ubiquitin-40S ribosomal protein S27a OS=Spodoptera frugiperda PE=2 SV=2</v>
      </c>
      <c r="AN262" s="29" t="str">
        <f>HYPERLINK("http://www.uniprot.org/uniprot/P68203","3E-032")</f>
        <v>3E-032</v>
      </c>
      <c r="AO262" s="26" t="str">
        <f>HYPERLINK(".\links\SWISSP\TI_asb-431-SWISSP.txt"," 10")</f>
        <v xml:space="preserve"> 10</v>
      </c>
      <c r="AP262" s="26" t="s">
        <v>2581</v>
      </c>
      <c r="AQ262" s="26">
        <v>138</v>
      </c>
      <c r="AR262" s="26">
        <v>115</v>
      </c>
      <c r="AS262" s="26">
        <v>156</v>
      </c>
      <c r="AT262" s="26">
        <v>66</v>
      </c>
      <c r="AU262" s="26">
        <v>74</v>
      </c>
      <c r="AV262" s="26">
        <v>39</v>
      </c>
      <c r="AW262" s="26">
        <v>0</v>
      </c>
      <c r="AX262" s="26">
        <v>1</v>
      </c>
      <c r="AY262" s="26">
        <v>32</v>
      </c>
      <c r="AZ262" s="26">
        <v>1</v>
      </c>
      <c r="BA262" s="26">
        <v>2</v>
      </c>
      <c r="BB262" s="26" t="s">
        <v>53</v>
      </c>
      <c r="BC262" s="26" t="s">
        <v>54</v>
      </c>
      <c r="BD262" s="26" t="s">
        <v>1367</v>
      </c>
      <c r="BE262" s="26" t="s">
        <v>2582</v>
      </c>
      <c r="BF262" s="26" t="s">
        <v>2583</v>
      </c>
      <c r="BG262" s="26" t="str">
        <f>HYPERLINK(".\links\PREV-RHOD-PEP\TI_asb-431-PREV-RHOD-PEP.txt","Contig17921_30")</f>
        <v>Contig17921_30</v>
      </c>
      <c r="BH262" s="28">
        <v>9.9999999999999993E-35</v>
      </c>
      <c r="BI262" s="26" t="str">
        <f>HYPERLINK(".\links\PREV-RHOD-PEP\TI_asb-431-PREV-RHOD-PEP.txt"," 10")</f>
        <v xml:space="preserve"> 10</v>
      </c>
      <c r="BJ262" s="26" t="s">
        <v>2584</v>
      </c>
      <c r="BK262" s="26">
        <v>142</v>
      </c>
      <c r="BL262" s="26">
        <v>115</v>
      </c>
      <c r="BM262" s="26">
        <v>156</v>
      </c>
      <c r="BN262" s="26">
        <v>67</v>
      </c>
      <c r="BO262" s="26">
        <v>74</v>
      </c>
      <c r="BP262" s="26">
        <v>37</v>
      </c>
      <c r="BQ262" s="26">
        <v>0</v>
      </c>
      <c r="BR262" s="26">
        <v>1</v>
      </c>
      <c r="BS262" s="26">
        <v>32</v>
      </c>
      <c r="BT262" s="26">
        <v>1</v>
      </c>
      <c r="BU262" s="26" t="s">
        <v>54</v>
      </c>
      <c r="BV262" s="26" t="s">
        <v>2585</v>
      </c>
      <c r="BW262" s="26" t="s">
        <v>56</v>
      </c>
      <c r="BX262" s="26" t="str">
        <f>HYPERLINK(".\links\PREV-RHOD-CDS\TI_asb-431-PREV-RHOD-CDS.txt","Contig17921_30")</f>
        <v>Contig17921_30</v>
      </c>
      <c r="BY262" s="28">
        <v>2E-79</v>
      </c>
      <c r="BZ262" s="26" t="s">
        <v>2584</v>
      </c>
      <c r="CA262" s="26">
        <v>295</v>
      </c>
      <c r="CB262" s="26">
        <v>324</v>
      </c>
      <c r="CC262" s="26">
        <v>471</v>
      </c>
      <c r="CD262" s="26">
        <v>92</v>
      </c>
      <c r="CE262" s="26">
        <v>69</v>
      </c>
      <c r="CF262" s="26">
        <v>16</v>
      </c>
      <c r="CG262" s="26">
        <v>0</v>
      </c>
      <c r="CH262" s="26">
        <v>19</v>
      </c>
      <c r="CI262" s="26">
        <v>50</v>
      </c>
      <c r="CJ262" s="26">
        <v>2</v>
      </c>
      <c r="CK262" s="26" t="s">
        <v>54</v>
      </c>
      <c r="CL262" s="26" t="s">
        <v>2586</v>
      </c>
      <c r="CM262" s="26">
        <f>HYPERLINK(".\links\GO\TI_asb-431-GO.txt",9E-33)</f>
        <v>8.9999999999999998E-33</v>
      </c>
      <c r="CN262" s="26" t="s">
        <v>208</v>
      </c>
      <c r="CO262" s="26" t="s">
        <v>185</v>
      </c>
      <c r="CP262" s="26" t="s">
        <v>186</v>
      </c>
      <c r="CQ262" s="26" t="s">
        <v>209</v>
      </c>
      <c r="CR262" s="28">
        <v>8.9999999999999998E-33</v>
      </c>
      <c r="CS262" s="26" t="s">
        <v>74</v>
      </c>
      <c r="CT262" s="26" t="s">
        <v>75</v>
      </c>
      <c r="CU262" s="26" t="s">
        <v>76</v>
      </c>
      <c r="CV262" s="26" t="s">
        <v>77</v>
      </c>
      <c r="CW262" s="28">
        <v>8.9999999999999998E-33</v>
      </c>
      <c r="CX262" s="26" t="s">
        <v>2587</v>
      </c>
      <c r="CY262" s="26" t="s">
        <v>185</v>
      </c>
      <c r="CZ262" s="26" t="s">
        <v>186</v>
      </c>
      <c r="DA262" s="26" t="s">
        <v>2588</v>
      </c>
      <c r="DB262" s="28">
        <v>8.9999999999999998E-33</v>
      </c>
      <c r="DC262" s="26" t="str">
        <f>HYPERLINK(".\links\CDD\TI_asb-431-CDD.txt","Ubiquitin")</f>
        <v>Ubiquitin</v>
      </c>
      <c r="DD262" s="26" t="str">
        <f>HYPERLINK("http://www.ncbi.nlm.nih.gov/Structure/cdd/cddsrv.cgi?uid=cd01803&amp;version=v4.0","2E-037")</f>
        <v>2E-037</v>
      </c>
      <c r="DE262" s="26" t="s">
        <v>2589</v>
      </c>
      <c r="DF262" s="26" t="str">
        <f>HYPERLINK(".\links\PFAM\TI_asb-431-PFAM.txt","ubiquitin")</f>
        <v>ubiquitin</v>
      </c>
      <c r="DG262" s="26" t="str">
        <f>HYPERLINK("http://pfam.sanger.ac.uk/family?acc=PF00240","1E-029")</f>
        <v>1E-029</v>
      </c>
      <c r="DH262" s="26" t="str">
        <f>HYPERLINK(".\links\PRK\TI_asb-431-PRK.txt","ubiquitin")</f>
        <v>ubiquitin</v>
      </c>
      <c r="DI262" s="28">
        <v>3.9999999999999998E-20</v>
      </c>
      <c r="DJ262" s="26" t="str">
        <f>HYPERLINK(".\links\KOG\TI_asb-431-KOG.txt","Ubiquitin/40S ribosomal protein S27a fusion")</f>
        <v>Ubiquitin/40S ribosomal protein S27a fusion</v>
      </c>
      <c r="DK262" s="26" t="str">
        <f>HYPERLINK("http://www.ncbi.nlm.nih.gov/COG/grace/shokog.cgi?KOG0004","2E-052")</f>
        <v>2E-052</v>
      </c>
      <c r="DL262" s="26" t="s">
        <v>4333</v>
      </c>
      <c r="DM262" s="26" t="str">
        <f>HYPERLINK(".\links\KOG\TI_asb-431-KOG.txt","KOG0004")</f>
        <v>KOG0004</v>
      </c>
      <c r="DN262" s="26" t="str">
        <f>HYPERLINK(".\links\SMART\TI_asb-431-SMART.txt","UBQ")</f>
        <v>UBQ</v>
      </c>
      <c r="DO262" s="26" t="str">
        <f>HYPERLINK("http://smart.embl-heidelberg.de/smart/do_annotation.pl?DOMAIN=UBQ&amp;BLAST=DUMMY","4E-022")</f>
        <v>4E-022</v>
      </c>
      <c r="DP262" s="26" t="s">
        <v>56</v>
      </c>
      <c r="ED262" s="26" t="s">
        <v>56</v>
      </c>
    </row>
    <row r="263" spans="1:147">
      <c r="A263" t="str">
        <f>HYPERLINK(".\links\seq\TI_asb-432-seq.txt","TI_asb-432")</f>
        <v>TI_asb-432</v>
      </c>
      <c r="B263">
        <v>432</v>
      </c>
      <c r="C263" t="str">
        <f>HYPERLINK(".\links\tsa\TI_asb-432-tsa.txt","3")</f>
        <v>3</v>
      </c>
      <c r="D263">
        <v>3</v>
      </c>
      <c r="E263">
        <v>634</v>
      </c>
      <c r="F263">
        <v>609</v>
      </c>
      <c r="G263" t="str">
        <f>HYPERLINK(".\links\qual\TI_asb-432-qual.txt","72")</f>
        <v>72</v>
      </c>
      <c r="H263">
        <v>2</v>
      </c>
      <c r="I263">
        <v>1</v>
      </c>
      <c r="J263">
        <f t="shared" si="12"/>
        <v>1</v>
      </c>
      <c r="K263" s="6">
        <f t="shared" si="13"/>
        <v>1</v>
      </c>
      <c r="L263" s="6" t="s">
        <v>4042</v>
      </c>
      <c r="M263" s="6" t="s">
        <v>3904</v>
      </c>
      <c r="N263" s="6" t="s">
        <v>3864</v>
      </c>
      <c r="O263" s="7">
        <v>7.9999999999999997E-72</v>
      </c>
      <c r="P263" s="6">
        <v>50</v>
      </c>
      <c r="Q263" s="3">
        <v>634</v>
      </c>
      <c r="R263" s="3">
        <v>210</v>
      </c>
      <c r="S263" s="6" t="s">
        <v>3742</v>
      </c>
      <c r="T263" s="3">
        <v>1</v>
      </c>
      <c r="U263" t="str">
        <f>HYPERLINK(".\links\NR-LIGHT\TI_asb-432-NR-LIGHT.txt","truncated cytochrome b")</f>
        <v>truncated cytochrome b</v>
      </c>
      <c r="V263" t="str">
        <f>HYPERLINK("http://www.ncbi.nlm.nih.gov/sutils/blink.cgi?pid=149898868","8E-072")</f>
        <v>8E-072</v>
      </c>
      <c r="W263" t="str">
        <f>HYPERLINK(".\links\NR-LIGHT\TI_asb-432-NR-LIGHT.txt"," 10")</f>
        <v xml:space="preserve"> 10</v>
      </c>
      <c r="X263" t="str">
        <f>HYPERLINK("http://www.ncbi.nlm.nih.gov/protein/149898868","gi|149898868")</f>
        <v>gi|149898868</v>
      </c>
      <c r="Y263">
        <v>271</v>
      </c>
      <c r="Z263">
        <v>184</v>
      </c>
      <c r="AA263">
        <v>368</v>
      </c>
      <c r="AB263">
        <v>75</v>
      </c>
      <c r="AC263">
        <v>50</v>
      </c>
      <c r="AD263">
        <v>45</v>
      </c>
      <c r="AE263">
        <v>0</v>
      </c>
      <c r="AF263">
        <v>185</v>
      </c>
      <c r="AG263">
        <v>55</v>
      </c>
      <c r="AH263">
        <v>1</v>
      </c>
      <c r="AI263">
        <v>1</v>
      </c>
      <c r="AJ263" t="s">
        <v>53</v>
      </c>
      <c r="AK263" t="s">
        <v>54</v>
      </c>
      <c r="AL263" t="s">
        <v>55</v>
      </c>
      <c r="AM263" t="str">
        <f>HYPERLINK(".\links\SWISSP\TI_asb-432-SWISSP.txt","Cytochrome b OS=Drosophila yakuba GN=mt:Cyt-b PE=3 SV=1")</f>
        <v>Cytochrome b OS=Drosophila yakuba GN=mt:Cyt-b PE=3 SV=1</v>
      </c>
      <c r="AN263" s="19" t="str">
        <f>HYPERLINK("http://www.uniprot.org/uniprot/P07704","3E-056")</f>
        <v>3E-056</v>
      </c>
      <c r="AO263" t="str">
        <f>HYPERLINK(".\links\SWISSP\TI_asb-432-SWISSP.txt"," 10")</f>
        <v xml:space="preserve"> 10</v>
      </c>
      <c r="AP263" t="s">
        <v>2590</v>
      </c>
      <c r="AQ263">
        <v>218</v>
      </c>
      <c r="AR263">
        <v>183</v>
      </c>
      <c r="AS263">
        <v>378</v>
      </c>
      <c r="AT263">
        <v>56</v>
      </c>
      <c r="AU263">
        <v>48</v>
      </c>
      <c r="AV263">
        <v>79</v>
      </c>
      <c r="AW263">
        <v>0</v>
      </c>
      <c r="AX263">
        <v>194</v>
      </c>
      <c r="AY263">
        <v>55</v>
      </c>
      <c r="AZ263">
        <v>1</v>
      </c>
      <c r="BA263">
        <v>1</v>
      </c>
      <c r="BB263" t="s">
        <v>53</v>
      </c>
      <c r="BC263" t="s">
        <v>54</v>
      </c>
      <c r="BD263" t="s">
        <v>674</v>
      </c>
      <c r="BE263" t="s">
        <v>2591</v>
      </c>
      <c r="BF263" t="s">
        <v>2592</v>
      </c>
      <c r="BG263" t="str">
        <f>HYPERLINK(".\links\PREV-RHOD-PEP\TI_asb-432-PREV-RHOD-PEP.txt","Contig15620_1")</f>
        <v>Contig15620_1</v>
      </c>
      <c r="BH263" s="7">
        <v>2.9999999999999999E-7</v>
      </c>
      <c r="BI263" t="str">
        <f>HYPERLINK(".\links\PREV-RHOD-PEP\TI_asb-432-PREV-RHOD-PEP.txt"," 1")</f>
        <v xml:space="preserve"> 1</v>
      </c>
      <c r="BJ263" t="s">
        <v>2593</v>
      </c>
      <c r="BK263">
        <v>51.2</v>
      </c>
      <c r="BL263">
        <v>38</v>
      </c>
      <c r="BM263">
        <v>40</v>
      </c>
      <c r="BN263">
        <v>71</v>
      </c>
      <c r="BO263">
        <v>95</v>
      </c>
      <c r="BP263">
        <v>11</v>
      </c>
      <c r="BQ263">
        <v>0</v>
      </c>
      <c r="BR263">
        <v>2</v>
      </c>
      <c r="BS263">
        <v>489</v>
      </c>
      <c r="BT263">
        <v>1</v>
      </c>
      <c r="BU263" t="s">
        <v>64</v>
      </c>
      <c r="BV263" t="s">
        <v>2594</v>
      </c>
      <c r="BW263" t="s">
        <v>56</v>
      </c>
      <c r="BX263" t="str">
        <f>HYPERLINK(".\links\PREV-RHOD-CDS\TI_asb-432-PREV-RHOD-CDS.txt","Contig0_3")</f>
        <v>Contig0_3</v>
      </c>
      <c r="BY263" s="6">
        <v>0.31</v>
      </c>
      <c r="BZ263" t="s">
        <v>2595</v>
      </c>
      <c r="CA263">
        <v>36.200000000000003</v>
      </c>
      <c r="CB263">
        <v>17</v>
      </c>
      <c r="CC263">
        <v>915</v>
      </c>
      <c r="CD263">
        <v>100</v>
      </c>
      <c r="CE263">
        <v>2</v>
      </c>
      <c r="CF263">
        <v>0</v>
      </c>
      <c r="CG263">
        <v>0</v>
      </c>
      <c r="CH263">
        <v>556</v>
      </c>
      <c r="CI263">
        <v>435</v>
      </c>
      <c r="CJ263">
        <v>1</v>
      </c>
      <c r="CK263" t="s">
        <v>54</v>
      </c>
      <c r="CL263" t="s">
        <v>2596</v>
      </c>
      <c r="CM263">
        <f>HYPERLINK(".\links\GO\TI_asb-432-GO.txt",1E-55)</f>
        <v>9.9999999999999999E-56</v>
      </c>
      <c r="CN263" t="s">
        <v>552</v>
      </c>
      <c r="CO263" t="s">
        <v>552</v>
      </c>
      <c r="CQ263" t="s">
        <v>553</v>
      </c>
      <c r="CR263" s="7">
        <v>9.9999999999999993E-41</v>
      </c>
      <c r="CS263" t="s">
        <v>951</v>
      </c>
      <c r="CT263" t="s">
        <v>75</v>
      </c>
      <c r="CU263" t="s">
        <v>555</v>
      </c>
      <c r="CV263" t="s">
        <v>952</v>
      </c>
      <c r="CW263" s="7">
        <v>9.9999999999999993E-41</v>
      </c>
      <c r="CX263" t="s">
        <v>828</v>
      </c>
      <c r="CY263" t="s">
        <v>552</v>
      </c>
      <c r="DA263" t="s">
        <v>829</v>
      </c>
      <c r="DB263" s="7">
        <v>9.9999999999999993E-41</v>
      </c>
      <c r="DC263" t="str">
        <f>HYPERLINK(".\links\CDD\TI_asb-432-CDD.txt","CYTB")</f>
        <v>CYTB</v>
      </c>
      <c r="DD263" t="str">
        <f>HYPERLINK("http://www.ncbi.nlm.nih.gov/Structure/cdd/cddsrv.cgi?uid=MTH00156&amp;version=v4.0","1E-111")</f>
        <v>1E-111</v>
      </c>
      <c r="DE263" t="s">
        <v>2597</v>
      </c>
      <c r="DF263" t="str">
        <f>HYPERLINK(".\links\PFAM\TI_asb-432-PFAM.txt","Cytochrom_B_C")</f>
        <v>Cytochrom_B_C</v>
      </c>
      <c r="DG263" t="str">
        <f>HYPERLINK("http://pfam.sanger.ac.uk/family?acc=PF00032","4E-028")</f>
        <v>4E-028</v>
      </c>
      <c r="DH263" t="str">
        <f>HYPERLINK(".\links\PRK\TI_asb-432-PRK.txt","cytochrome b")</f>
        <v>cytochrome b</v>
      </c>
      <c r="DI263" s="7">
        <v>1.0000000000000001E-114</v>
      </c>
      <c r="DJ263" s="6" t="str">
        <f>HYPERLINK(".\links\KOG\TI_asb-432-KOG.txt","Cytochrome b")</f>
        <v>Cytochrome b</v>
      </c>
      <c r="DK263" s="6" t="str">
        <f>HYPERLINK("http://www.ncbi.nlm.nih.gov/COG/grace/shokog.cgi?KOG4663","3E-011")</f>
        <v>3E-011</v>
      </c>
      <c r="DL263" s="6" t="s">
        <v>4349</v>
      </c>
      <c r="DM263" s="6" t="str">
        <f>HYPERLINK(".\links\KOG\TI_asb-432-KOG.txt","KOG4663")</f>
        <v>KOG4663</v>
      </c>
      <c r="DN263" t="s">
        <v>56</v>
      </c>
      <c r="DO263" t="s">
        <v>56</v>
      </c>
      <c r="DP263" s="3" t="s">
        <v>56</v>
      </c>
      <c r="ED263" s="3" t="str">
        <f>HYPERLINK(".\links\MIT-PLA\TI_asb-432-MIT-PLA.txt","Triatoma dimidiata mitochondrial DNA, complete genome")</f>
        <v>Triatoma dimidiata mitochondrial DNA, complete genome</v>
      </c>
      <c r="EE263" s="3" t="str">
        <f>HYPERLINK("http://www.ncbi.nlm.nih.gov/entrez/viewer.fcgi?db=nucleotide&amp;val=11139100","1E-083")</f>
        <v>1E-083</v>
      </c>
      <c r="EF263" s="3" t="str">
        <f>HYPERLINK("http://www.ncbi.nlm.nih.gov/entrez/viewer.fcgi?db=nucleotide&amp;val=11139100","gi|11139100")</f>
        <v>gi|11139100</v>
      </c>
      <c r="EG263" s="3">
        <v>309</v>
      </c>
      <c r="EH263" s="3">
        <v>531</v>
      </c>
      <c r="EI263" s="3">
        <v>17019</v>
      </c>
      <c r="EJ263" s="3">
        <v>82</v>
      </c>
      <c r="EK263" s="3">
        <v>3</v>
      </c>
      <c r="EL263" s="3">
        <v>94</v>
      </c>
      <c r="EM263" s="3">
        <v>0</v>
      </c>
      <c r="EN263" s="3">
        <v>10847</v>
      </c>
      <c r="EO263" s="3">
        <v>71</v>
      </c>
      <c r="EP263" s="3">
        <v>1</v>
      </c>
      <c r="EQ263" s="3" t="s">
        <v>54</v>
      </c>
    </row>
    <row r="264" spans="1:147">
      <c r="A264" t="str">
        <f>HYPERLINK(".\links\seq\TI_asb-433-seq.txt","TI_asb-433")</f>
        <v>TI_asb-433</v>
      </c>
      <c r="B264">
        <v>433</v>
      </c>
      <c r="C264" t="str">
        <f>HYPERLINK(".\links\tsa\TI_asb-433-tsa.txt","2")</f>
        <v>2</v>
      </c>
      <c r="D264">
        <v>2</v>
      </c>
      <c r="E264">
        <v>754</v>
      </c>
      <c r="G264" t="str">
        <f>HYPERLINK(".\links\qual\TI_asb-433-qual.txt","51")</f>
        <v>51</v>
      </c>
      <c r="H264">
        <v>0</v>
      </c>
      <c r="I264">
        <v>2</v>
      </c>
      <c r="J264">
        <f t="shared" si="12"/>
        <v>2</v>
      </c>
      <c r="K264" s="6">
        <f t="shared" si="13"/>
        <v>-2</v>
      </c>
      <c r="L264" s="6" t="s">
        <v>4043</v>
      </c>
      <c r="M264" s="6" t="s">
        <v>3886</v>
      </c>
      <c r="N264" s="6" t="s">
        <v>3864</v>
      </c>
      <c r="O264" s="6">
        <v>2.9999999999999998E-15</v>
      </c>
      <c r="P264" s="6">
        <v>57.7</v>
      </c>
      <c r="Q264" s="3">
        <v>754</v>
      </c>
      <c r="R264" s="3">
        <v>375</v>
      </c>
      <c r="S264" s="6" t="s">
        <v>3743</v>
      </c>
      <c r="T264" s="3">
        <v>1</v>
      </c>
      <c r="U264" t="str">
        <f>HYPERLINK(".\links\NR-LIGHT\TI_asb-433-NR-LIGHT.txt","ACYPI005242")</f>
        <v>ACYPI005242</v>
      </c>
      <c r="V264" t="str">
        <f>HYPERLINK("http://www.ncbi.nlm.nih.gov/sutils/blink.cgi?pid=239792914","3E-015")</f>
        <v>3E-015</v>
      </c>
      <c r="W264" t="str">
        <f>HYPERLINK(".\links\NR-LIGHT\TI_asb-433-NR-LIGHT.txt"," 10")</f>
        <v xml:space="preserve"> 10</v>
      </c>
      <c r="X264" t="str">
        <f>HYPERLINK("http://www.ncbi.nlm.nih.gov/protein/239792914","gi|239792914")</f>
        <v>gi|239792914</v>
      </c>
      <c r="Y264">
        <v>84.3</v>
      </c>
      <c r="Z264">
        <v>116</v>
      </c>
      <c r="AA264">
        <v>201</v>
      </c>
      <c r="AB264">
        <v>33</v>
      </c>
      <c r="AC264">
        <v>58</v>
      </c>
      <c r="AD264">
        <v>77</v>
      </c>
      <c r="AE264">
        <v>0</v>
      </c>
      <c r="AF264">
        <v>87</v>
      </c>
      <c r="AG264">
        <v>295</v>
      </c>
      <c r="AH264">
        <v>1</v>
      </c>
      <c r="AI264">
        <v>1</v>
      </c>
      <c r="AJ264" t="s">
        <v>53</v>
      </c>
      <c r="AK264" t="s">
        <v>54</v>
      </c>
      <c r="AL264" t="s">
        <v>177</v>
      </c>
      <c r="AM264" t="str">
        <f>HYPERLINK(".\links\SWISSP\TI_asb-433-SWISSP.txt","Neurogenic locus notch homolog protein 4 OS=Mus musculus GN=Notch4 PE=1 SV=2")</f>
        <v>Neurogenic locus notch homolog protein 4 OS=Mus musculus GN=Notch4 PE=1 SV=2</v>
      </c>
      <c r="AN264" s="19" t="str">
        <f>HYPERLINK("http://www.uniprot.org/uniprot/P31695","0.14")</f>
        <v>0.14</v>
      </c>
      <c r="AO264" t="str">
        <f>HYPERLINK(".\links\SWISSP\TI_asb-433-SWISSP.txt"," 10")</f>
        <v xml:space="preserve"> 10</v>
      </c>
      <c r="AP264" t="s">
        <v>2598</v>
      </c>
      <c r="AQ264">
        <v>37</v>
      </c>
      <c r="AR264">
        <v>86</v>
      </c>
      <c r="AS264">
        <v>1964</v>
      </c>
      <c r="AT264">
        <v>26</v>
      </c>
      <c r="AU264">
        <v>4</v>
      </c>
      <c r="AV264">
        <v>63</v>
      </c>
      <c r="AW264">
        <v>0</v>
      </c>
      <c r="AX264">
        <v>187</v>
      </c>
      <c r="AY264">
        <v>340</v>
      </c>
      <c r="AZ264">
        <v>1</v>
      </c>
      <c r="BA264">
        <v>1</v>
      </c>
      <c r="BB264" t="s">
        <v>53</v>
      </c>
      <c r="BC264" t="s">
        <v>54</v>
      </c>
      <c r="BD264" t="s">
        <v>214</v>
      </c>
      <c r="BE264" t="s">
        <v>2599</v>
      </c>
      <c r="BF264" t="s">
        <v>2600</v>
      </c>
      <c r="BG264" t="str">
        <f>HYPERLINK(".\links\PREV-RHOD-PEP\TI_asb-433-PREV-RHOD-PEP.txt","Contig17540_9")</f>
        <v>Contig17540_9</v>
      </c>
      <c r="BH264" s="6">
        <v>9.4E-2</v>
      </c>
      <c r="BI264" t="str">
        <f>HYPERLINK(".\links\PREV-RHOD-PEP\TI_asb-433-PREV-RHOD-PEP.txt"," 10")</f>
        <v xml:space="preserve"> 10</v>
      </c>
      <c r="BJ264" t="s">
        <v>2601</v>
      </c>
      <c r="BK264">
        <v>33.5</v>
      </c>
      <c r="BL264">
        <v>49</v>
      </c>
      <c r="BM264">
        <v>4991</v>
      </c>
      <c r="BN264">
        <v>32</v>
      </c>
      <c r="BO264">
        <v>1</v>
      </c>
      <c r="BP264">
        <v>33</v>
      </c>
      <c r="BQ264">
        <v>12</v>
      </c>
      <c r="BR264">
        <v>1414</v>
      </c>
      <c r="BS264">
        <v>286</v>
      </c>
      <c r="BT264">
        <v>2</v>
      </c>
      <c r="BU264" t="s">
        <v>54</v>
      </c>
      <c r="BV264" t="s">
        <v>2602</v>
      </c>
      <c r="BW264" t="s">
        <v>56</v>
      </c>
      <c r="BX264" t="str">
        <f>HYPERLINK(".\links\PREV-RHOD-CDS\TI_asb-433-PREV-RHOD-CDS.txt","Contig17728_65")</f>
        <v>Contig17728_65</v>
      </c>
      <c r="BY264" s="6">
        <v>6.0000000000000001E-3</v>
      </c>
      <c r="BZ264" t="s">
        <v>2603</v>
      </c>
      <c r="CA264">
        <v>42.1</v>
      </c>
      <c r="CB264">
        <v>36</v>
      </c>
      <c r="CC264">
        <v>339</v>
      </c>
      <c r="CD264">
        <v>89</v>
      </c>
      <c r="CE264">
        <v>11</v>
      </c>
      <c r="CF264">
        <v>4</v>
      </c>
      <c r="CG264">
        <v>0</v>
      </c>
      <c r="CH264">
        <v>235</v>
      </c>
      <c r="CI264">
        <v>251</v>
      </c>
      <c r="CJ264">
        <v>1</v>
      </c>
      <c r="CK264" t="s">
        <v>64</v>
      </c>
      <c r="CL264" t="s">
        <v>2604</v>
      </c>
      <c r="CM264">
        <f>HYPERLINK(".\links\GO\TI_asb-433-GO.txt",0.04)</f>
        <v>0.04</v>
      </c>
      <c r="CN264" t="s">
        <v>1560</v>
      </c>
      <c r="CO264" t="s">
        <v>185</v>
      </c>
      <c r="CP264" t="s">
        <v>569</v>
      </c>
      <c r="CQ264" t="s">
        <v>1561</v>
      </c>
      <c r="CR264" s="6">
        <v>5.2999999999999999E-2</v>
      </c>
      <c r="CS264" t="s">
        <v>2605</v>
      </c>
      <c r="CT264" t="s">
        <v>540</v>
      </c>
      <c r="CU264" t="s">
        <v>1137</v>
      </c>
      <c r="CV264" t="s">
        <v>2606</v>
      </c>
      <c r="CW264" s="6">
        <v>5.2999999999999999E-2</v>
      </c>
      <c r="CX264" t="s">
        <v>2607</v>
      </c>
      <c r="CY264" t="s">
        <v>185</v>
      </c>
      <c r="CZ264" t="s">
        <v>569</v>
      </c>
      <c r="DA264" t="s">
        <v>2608</v>
      </c>
      <c r="DB264" s="6">
        <v>5.2999999999999999E-2</v>
      </c>
      <c r="DC264" t="str">
        <f>HYPERLINK(".\links\CDD\TI_asb-433-CDD.txt","EB")</f>
        <v>EB</v>
      </c>
      <c r="DD264" t="str">
        <f>HYPERLINK("http://www.ncbi.nlm.nih.gov/Structure/cdd/cddsrv.cgi?uid=pfam01683&amp;version=v4.0","0.003")</f>
        <v>0.003</v>
      </c>
      <c r="DE264" t="s">
        <v>2609</v>
      </c>
      <c r="DF264" t="str">
        <f>HYPERLINK(".\links\PFAM\TI_asb-433-PFAM.txt","EB")</f>
        <v>EB</v>
      </c>
      <c r="DG264" t="str">
        <f>HYPERLINK("http://pfam.sanger.ac.uk/family?acc=PF01683","1E-004")</f>
        <v>1E-004</v>
      </c>
      <c r="DH264" t="str">
        <f>HYPERLINK(".\links\PRK\TI_asb-433-PRK.txt","cytochrome b")</f>
        <v>cytochrome b</v>
      </c>
      <c r="DI264" s="6">
        <v>1.7000000000000001E-2</v>
      </c>
      <c r="DJ264" s="6" t="str">
        <f>HYPERLINK(".\links\KOG\TI_asb-433-KOG.txt","Nuclear protein, contains WD40 repeats")</f>
        <v>Nuclear protein, contains WD40 repeats</v>
      </c>
      <c r="DK264" s="6" t="str">
        <f>HYPERLINK("http://www.ncbi.nlm.nih.gov/COG/grace/shokog.cgi?KOG1916","0.0")</f>
        <v>0.0</v>
      </c>
      <c r="DL264" s="6" t="s">
        <v>4337</v>
      </c>
      <c r="DM264" s="6" t="str">
        <f>HYPERLINK(".\links\KOG\TI_asb-433-KOG.txt","KOG1916")</f>
        <v>KOG1916</v>
      </c>
      <c r="DN264" t="str">
        <f>HYPERLINK(".\links\SMART\TI_asb-433-SMART.txt","DM6")</f>
        <v>DM6</v>
      </c>
      <c r="DO264" t="str">
        <f>HYPERLINK("http://smart.embl-heidelberg.de/smart/do_annotation.pl?DOMAIN=DM6&amp;BLAST=DUMMY","0.020")</f>
        <v>0.020</v>
      </c>
      <c r="DP264" s="3" t="s">
        <v>56</v>
      </c>
      <c r="ED264" s="3" t="s">
        <v>56</v>
      </c>
    </row>
    <row r="265" spans="1:147">
      <c r="A265" t="str">
        <f>HYPERLINK(".\links\seq\TI_asb-434-seq.txt","TI_asb-434")</f>
        <v>TI_asb-434</v>
      </c>
      <c r="B265">
        <v>434</v>
      </c>
      <c r="C265" t="str">
        <f>HYPERLINK(".\links\tsa\TI_asb-434-tsa.txt","2")</f>
        <v>2</v>
      </c>
      <c r="D265">
        <v>2</v>
      </c>
      <c r="E265">
        <v>525</v>
      </c>
      <c r="F265">
        <v>491</v>
      </c>
      <c r="G265" t="str">
        <f>HYPERLINK(".\links\qual\TI_asb-434-qual.txt","64")</f>
        <v>64</v>
      </c>
      <c r="H265">
        <v>2</v>
      </c>
      <c r="I265">
        <v>0</v>
      </c>
      <c r="J265">
        <f t="shared" si="12"/>
        <v>2</v>
      </c>
      <c r="K265" s="6">
        <f t="shared" si="13"/>
        <v>2</v>
      </c>
      <c r="L265" s="6" t="s">
        <v>4044</v>
      </c>
      <c r="M265" s="6" t="s">
        <v>3976</v>
      </c>
      <c r="N265" s="6" t="s">
        <v>3909</v>
      </c>
      <c r="O265" s="6">
        <v>6.0000000000000002E-5</v>
      </c>
      <c r="P265" s="6">
        <v>95.5</v>
      </c>
      <c r="Q265" s="3">
        <v>525</v>
      </c>
      <c r="R265" s="3">
        <v>321</v>
      </c>
      <c r="S265" s="6" t="s">
        <v>3744</v>
      </c>
      <c r="T265" s="3">
        <v>1</v>
      </c>
      <c r="U265" t="str">
        <f>HYPERLINK(".\links\NR-LIGHT\TI_asb-434-NR-LIGHT.txt","defensin 4")</f>
        <v>defensin 4</v>
      </c>
      <c r="V265" t="str">
        <f>HYPERLINK("http://www.ncbi.nlm.nih.gov/sutils/blink.cgi?pid=197281888","2E-047")</f>
        <v>2E-047</v>
      </c>
      <c r="W265" t="str">
        <f>HYPERLINK(".\links\NR-LIGHT\TI_asb-434-NR-LIGHT.txt"," 10")</f>
        <v xml:space="preserve"> 10</v>
      </c>
      <c r="X265" t="str">
        <f>HYPERLINK("http://www.ncbi.nlm.nih.gov/protein/197281888","gi|197281888")</f>
        <v>gi|197281888</v>
      </c>
      <c r="Y265">
        <v>190</v>
      </c>
      <c r="Z265">
        <v>92</v>
      </c>
      <c r="AA265">
        <v>93</v>
      </c>
      <c r="AB265">
        <v>92</v>
      </c>
      <c r="AC265">
        <v>99</v>
      </c>
      <c r="AD265">
        <v>7</v>
      </c>
      <c r="AE265">
        <v>0</v>
      </c>
      <c r="AF265">
        <v>2</v>
      </c>
      <c r="AG265">
        <v>46</v>
      </c>
      <c r="AH265">
        <v>1</v>
      </c>
      <c r="AI265">
        <v>1</v>
      </c>
      <c r="AJ265" t="s">
        <v>53</v>
      </c>
      <c r="AK265" t="s">
        <v>54</v>
      </c>
      <c r="AL265" t="s">
        <v>1412</v>
      </c>
      <c r="AM265" t="str">
        <f>HYPERLINK(".\links\SWISSP\TI_asb-434-SWISSP.txt","Defensin OS=Pyrrhocoris apterus PE=1 SV=1")</f>
        <v>Defensin OS=Pyrrhocoris apterus PE=1 SV=1</v>
      </c>
      <c r="AN265" s="19" t="str">
        <f>HYPERLINK("http://www.uniprot.org/uniprot/P37364","3E-015")</f>
        <v>3E-015</v>
      </c>
      <c r="AO265" t="str">
        <f>HYPERLINK(".\links\SWISSP\TI_asb-434-SWISSP.txt"," 10")</f>
        <v xml:space="preserve"> 10</v>
      </c>
      <c r="AP265" t="s">
        <v>2610</v>
      </c>
      <c r="AQ265">
        <v>81.3</v>
      </c>
      <c r="AR265">
        <v>43</v>
      </c>
      <c r="AS265">
        <v>43</v>
      </c>
      <c r="AT265">
        <v>69</v>
      </c>
      <c r="AU265">
        <v>100</v>
      </c>
      <c r="AV265">
        <v>13</v>
      </c>
      <c r="AW265">
        <v>0</v>
      </c>
      <c r="AX265">
        <v>1</v>
      </c>
      <c r="AY265">
        <v>193</v>
      </c>
      <c r="AZ265">
        <v>1</v>
      </c>
      <c r="BA265">
        <v>1</v>
      </c>
      <c r="BB265" t="s">
        <v>53</v>
      </c>
      <c r="BC265" t="s">
        <v>54</v>
      </c>
      <c r="BD265" t="s">
        <v>2611</v>
      </c>
      <c r="BE265" t="s">
        <v>2612</v>
      </c>
      <c r="BF265" t="s">
        <v>2613</v>
      </c>
      <c r="BG265" t="str">
        <f>HYPERLINK(".\links\PREV-RHOD-PEP\TI_asb-434-PREV-RHOD-PEP.txt","Contig17966_77")</f>
        <v>Contig17966_77</v>
      </c>
      <c r="BH265" s="7">
        <v>2E-45</v>
      </c>
      <c r="BI265" t="str">
        <f>HYPERLINK(".\links\PREV-RHOD-PEP\TI_asb-434-PREV-RHOD-PEP.txt"," 10")</f>
        <v xml:space="preserve"> 10</v>
      </c>
      <c r="BJ265" t="s">
        <v>2614</v>
      </c>
      <c r="BK265">
        <v>177</v>
      </c>
      <c r="BL265">
        <v>93</v>
      </c>
      <c r="BM265">
        <v>94</v>
      </c>
      <c r="BN265">
        <v>86</v>
      </c>
      <c r="BO265">
        <v>99</v>
      </c>
      <c r="BP265">
        <v>13</v>
      </c>
      <c r="BQ265">
        <v>1</v>
      </c>
      <c r="BR265">
        <v>2</v>
      </c>
      <c r="BS265">
        <v>46</v>
      </c>
      <c r="BT265">
        <v>1</v>
      </c>
      <c r="BU265" t="s">
        <v>54</v>
      </c>
      <c r="BV265" t="s">
        <v>2615</v>
      </c>
      <c r="BW265" t="s">
        <v>56</v>
      </c>
      <c r="BX265" t="str">
        <f>HYPERLINK(".\links\PREV-RHOD-CDS\TI_asb-434-PREV-RHOD-CDS.txt","Contig17966_77")</f>
        <v>Contig17966_77</v>
      </c>
      <c r="BY265" s="7">
        <v>9.9999999999999997E-65</v>
      </c>
      <c r="BZ265" t="s">
        <v>2614</v>
      </c>
      <c r="CA265">
        <v>246</v>
      </c>
      <c r="CB265">
        <v>203</v>
      </c>
      <c r="CC265">
        <v>285</v>
      </c>
      <c r="CD265">
        <v>90</v>
      </c>
      <c r="CE265">
        <v>72</v>
      </c>
      <c r="CF265">
        <v>20</v>
      </c>
      <c r="CG265">
        <v>0</v>
      </c>
      <c r="CH265">
        <v>82</v>
      </c>
      <c r="CI265">
        <v>121</v>
      </c>
      <c r="CJ265">
        <v>1</v>
      </c>
      <c r="CK265" t="s">
        <v>54</v>
      </c>
      <c r="CL265" t="s">
        <v>2616</v>
      </c>
      <c r="CM265">
        <f>HYPERLINK(".\links\GO\TI_asb-434-GO.txt",0.000002)</f>
        <v>1.9999999999999999E-6</v>
      </c>
      <c r="CN265" t="s">
        <v>2617</v>
      </c>
      <c r="CO265" t="s">
        <v>1012</v>
      </c>
      <c r="CP265" t="s">
        <v>1631</v>
      </c>
      <c r="CQ265" t="s">
        <v>2618</v>
      </c>
      <c r="CR265">
        <v>9.5</v>
      </c>
      <c r="CS265" t="s">
        <v>224</v>
      </c>
      <c r="CT265" t="s">
        <v>75</v>
      </c>
      <c r="CU265" t="s">
        <v>76</v>
      </c>
      <c r="CV265" t="s">
        <v>225</v>
      </c>
      <c r="CW265">
        <v>9.5</v>
      </c>
      <c r="CX265" t="s">
        <v>2619</v>
      </c>
      <c r="CY265" t="s">
        <v>1012</v>
      </c>
      <c r="CZ265" t="s">
        <v>1631</v>
      </c>
      <c r="DA265" t="s">
        <v>2620</v>
      </c>
      <c r="DB265">
        <v>9.5</v>
      </c>
      <c r="DC265" t="str">
        <f>HYPERLINK(".\links\CDD\TI_asb-434-CDD.txt","Defensin_2")</f>
        <v>Defensin_2</v>
      </c>
      <c r="DD265" t="str">
        <f>HYPERLINK("http://www.ncbi.nlm.nih.gov/Structure/cdd/cddsrv.cgi?uid=pfam01097&amp;version=v4.0","2E-010")</f>
        <v>2E-010</v>
      </c>
      <c r="DE265" t="s">
        <v>2621</v>
      </c>
      <c r="DF265" t="str">
        <f>HYPERLINK(".\links\PFAM\TI_asb-434-PFAM.txt","Defensin_2")</f>
        <v>Defensin_2</v>
      </c>
      <c r="DG265" t="str">
        <f>HYPERLINK("http://pfam.sanger.ac.uk/family?acc=PF01097","6E-012")</f>
        <v>6E-012</v>
      </c>
      <c r="DH265" t="str">
        <f>HYPERLINK(".\links\PRK\TI_asb-434-PRK.txt","flagellar biosynthesis protein FliZ")</f>
        <v>flagellar biosynthesis protein FliZ</v>
      </c>
      <c r="DI265" s="7">
        <v>2.9999999999999997E-4</v>
      </c>
      <c r="DJ265" s="6" t="str">
        <f>HYPERLINK(".\links\KOG\TI_asb-434-KOG.txt","Nuclear protein, contains WD40 repeats")</f>
        <v>Nuclear protein, contains WD40 repeats</v>
      </c>
      <c r="DK265" s="6" t="str">
        <f>HYPERLINK("http://www.ncbi.nlm.nih.gov/COG/grace/shokog.cgi?KOG1916","0.0")</f>
        <v>0.0</v>
      </c>
      <c r="DL265" s="6" t="s">
        <v>4337</v>
      </c>
      <c r="DM265" s="6" t="str">
        <f>HYPERLINK(".\links\KOG\TI_asb-434-KOG.txt","KOG1916")</f>
        <v>KOG1916</v>
      </c>
      <c r="DN265" t="str">
        <f>HYPERLINK(".\links\SMART\TI_asb-434-SMART.txt","Knot1")</f>
        <v>Knot1</v>
      </c>
      <c r="DO265" t="str">
        <f>HYPERLINK("http://smart.embl-heidelberg.de/smart/do_annotation.pl?DOMAIN=Knot1&amp;BLAST=DUMMY","2E-008")</f>
        <v>2E-008</v>
      </c>
      <c r="DP265" s="3" t="s">
        <v>56</v>
      </c>
      <c r="ED265" s="3" t="s">
        <v>56</v>
      </c>
    </row>
    <row r="266" spans="1:147">
      <c r="A266" t="str">
        <f>HYPERLINK(".\links\seq\TI_asb-435-seq.txt","TI_asb-435")</f>
        <v>TI_asb-435</v>
      </c>
      <c r="B266">
        <v>435</v>
      </c>
      <c r="C266" t="str">
        <f>HYPERLINK(".\links\tsa\TI_asb-435-tsa.txt","2")</f>
        <v>2</v>
      </c>
      <c r="D266">
        <v>2</v>
      </c>
      <c r="E266">
        <v>741</v>
      </c>
      <c r="G266" t="str">
        <f>HYPERLINK(".\links\qual\TI_asb-435-qual.txt","69")</f>
        <v>69</v>
      </c>
      <c r="H266">
        <v>0</v>
      </c>
      <c r="I266">
        <v>2</v>
      </c>
      <c r="J266">
        <f t="shared" si="12"/>
        <v>2</v>
      </c>
      <c r="K266" s="6">
        <f t="shared" si="13"/>
        <v>-2</v>
      </c>
      <c r="L266" s="6" t="s">
        <v>3868</v>
      </c>
      <c r="M266" s="6" t="s">
        <v>3869</v>
      </c>
      <c r="N266" s="6"/>
      <c r="O266" s="6"/>
      <c r="P266" s="6"/>
      <c r="Q266" s="3">
        <v>741</v>
      </c>
      <c r="R266" s="3">
        <v>303</v>
      </c>
      <c r="S266" s="6" t="s">
        <v>3745</v>
      </c>
      <c r="T266" s="3">
        <v>4</v>
      </c>
      <c r="U266" t="str">
        <f>HYPERLINK(".\links\NR-LIGHT\TI_asb-435-NR-LIGHT.txt","hypothetical protein")</f>
        <v>hypothetical protein</v>
      </c>
      <c r="V266" t="str">
        <f>HYPERLINK("http://www.ncbi.nlm.nih.gov/sutils/blink.cgi?pid=82540149","1.7")</f>
        <v>1.7</v>
      </c>
      <c r="W266" t="str">
        <f>HYPERLINK(".\links\NR-LIGHT\TI_asb-435-NR-LIGHT.txt"," 4")</f>
        <v xml:space="preserve"> 4</v>
      </c>
      <c r="X266" t="str">
        <f>HYPERLINK("http://www.ncbi.nlm.nih.gov/protein/82540149","gi|82540149")</f>
        <v>gi|82540149</v>
      </c>
      <c r="Y266">
        <v>35.4</v>
      </c>
      <c r="Z266">
        <v>130</v>
      </c>
      <c r="AA266">
        <v>457</v>
      </c>
      <c r="AB266">
        <v>25</v>
      </c>
      <c r="AC266">
        <v>28</v>
      </c>
      <c r="AD266">
        <v>97</v>
      </c>
      <c r="AE266">
        <v>10</v>
      </c>
      <c r="AF266">
        <v>163</v>
      </c>
      <c r="AG266">
        <v>55</v>
      </c>
      <c r="AH266">
        <v>1</v>
      </c>
      <c r="AI266">
        <v>-1</v>
      </c>
      <c r="AJ266" t="s">
        <v>53</v>
      </c>
      <c r="AK266" t="s">
        <v>64</v>
      </c>
      <c r="AL266" t="s">
        <v>1544</v>
      </c>
      <c r="AM266" t="str">
        <f>HYPERLINK(".\links\SWISSP\TI_asb-435-SWISSP.txt","FACT complex subunit SPT16 OS=Dictyostelium discoideum GN=spt16 PE=3 SV=1")</f>
        <v>FACT complex subunit SPT16 OS=Dictyostelium discoideum GN=spt16 PE=3 SV=1</v>
      </c>
      <c r="AN266" s="19" t="str">
        <f>HYPERLINK("http://www.uniprot.org/uniprot/Q54S43","9.9")</f>
        <v>9.9</v>
      </c>
      <c r="AO266" t="str">
        <f>HYPERLINK(".\links\SWISSP\TI_asb-435-SWISSP.txt"," 1")</f>
        <v xml:space="preserve"> 1</v>
      </c>
      <c r="AP266" t="s">
        <v>2622</v>
      </c>
      <c r="AQ266">
        <v>30.8</v>
      </c>
      <c r="AR266">
        <v>51</v>
      </c>
      <c r="AS266">
        <v>1072</v>
      </c>
      <c r="AT266">
        <v>31</v>
      </c>
      <c r="AU266">
        <v>5</v>
      </c>
      <c r="AV266">
        <v>35</v>
      </c>
      <c r="AW266">
        <v>3</v>
      </c>
      <c r="AX266">
        <v>90</v>
      </c>
      <c r="AY266">
        <v>112</v>
      </c>
      <c r="AZ266">
        <v>1</v>
      </c>
      <c r="BA266">
        <v>-1</v>
      </c>
      <c r="BB266" t="s">
        <v>53</v>
      </c>
      <c r="BC266" t="s">
        <v>64</v>
      </c>
      <c r="BD266" t="s">
        <v>386</v>
      </c>
      <c r="BE266" t="s">
        <v>2623</v>
      </c>
      <c r="BF266" t="s">
        <v>2624</v>
      </c>
      <c r="BG266" t="str">
        <f>HYPERLINK(".\links\PREV-RHOD-PEP\TI_asb-435-PREV-RHOD-PEP.txt","Contig17932_114")</f>
        <v>Contig17932_114</v>
      </c>
      <c r="BH266" s="7">
        <v>2E-12</v>
      </c>
      <c r="BI266" t="str">
        <f>HYPERLINK(".\links\PREV-RHOD-PEP\TI_asb-435-PREV-RHOD-PEP.txt"," 10")</f>
        <v xml:space="preserve"> 10</v>
      </c>
      <c r="BJ266" t="s">
        <v>458</v>
      </c>
      <c r="BK266">
        <v>42.4</v>
      </c>
      <c r="BL266">
        <v>31</v>
      </c>
      <c r="BM266">
        <v>1330</v>
      </c>
      <c r="BN266">
        <v>48</v>
      </c>
      <c r="BO266">
        <v>2</v>
      </c>
      <c r="BP266">
        <v>16</v>
      </c>
      <c r="BQ266">
        <v>0</v>
      </c>
      <c r="BR266">
        <v>1052</v>
      </c>
      <c r="BS266">
        <v>17</v>
      </c>
      <c r="BT266">
        <v>3</v>
      </c>
      <c r="BU266" t="s">
        <v>64</v>
      </c>
      <c r="BV266" t="s">
        <v>2625</v>
      </c>
      <c r="BW266" t="s">
        <v>56</v>
      </c>
      <c r="BX266" t="str">
        <f>HYPERLINK(".\links\PREV-RHOD-CDS\TI_asb-435-PREV-RHOD-CDS.txt","Contig12256_1")</f>
        <v>Contig12256_1</v>
      </c>
      <c r="BY266" s="6">
        <v>9.2999999999999999E-2</v>
      </c>
      <c r="BZ266" t="s">
        <v>2626</v>
      </c>
      <c r="CA266">
        <v>38.200000000000003</v>
      </c>
      <c r="CB266">
        <v>18</v>
      </c>
      <c r="CC266">
        <v>1518</v>
      </c>
      <c r="CD266">
        <v>100</v>
      </c>
      <c r="CE266">
        <v>1</v>
      </c>
      <c r="CF266">
        <v>0</v>
      </c>
      <c r="CG266">
        <v>0</v>
      </c>
      <c r="CH266">
        <v>1013</v>
      </c>
      <c r="CI266">
        <v>476</v>
      </c>
      <c r="CJ266">
        <v>1</v>
      </c>
      <c r="CK266" t="s">
        <v>64</v>
      </c>
      <c r="CL266" t="s">
        <v>2627</v>
      </c>
      <c r="CM266">
        <f>HYPERLINK(".\links\GO\TI_asb-435-GO.txt",2.8)</f>
        <v>2.8</v>
      </c>
      <c r="CN266" t="s">
        <v>2628</v>
      </c>
      <c r="CO266" t="s">
        <v>1012</v>
      </c>
      <c r="CP266" t="s">
        <v>2629</v>
      </c>
      <c r="CQ266" t="s">
        <v>2630</v>
      </c>
      <c r="CR266" s="6">
        <v>2.8</v>
      </c>
      <c r="CS266" t="s">
        <v>2631</v>
      </c>
      <c r="CT266" t="s">
        <v>75</v>
      </c>
      <c r="CU266" t="s">
        <v>76</v>
      </c>
      <c r="CV266" t="s">
        <v>2632</v>
      </c>
      <c r="CW266" s="6">
        <v>2.8</v>
      </c>
      <c r="CX266" t="s">
        <v>2633</v>
      </c>
      <c r="CY266" t="s">
        <v>1012</v>
      </c>
      <c r="CZ266" t="s">
        <v>2629</v>
      </c>
      <c r="DA266" t="s">
        <v>2634</v>
      </c>
      <c r="DB266" s="6">
        <v>2.8</v>
      </c>
      <c r="DC266" t="s">
        <v>56</v>
      </c>
      <c r="DD266" t="s">
        <v>56</v>
      </c>
      <c r="DE266" t="s">
        <v>56</v>
      </c>
      <c r="DF266" t="str">
        <f>HYPERLINK(".\links\PFAM\TI_asb-435-PFAM.txt","LAGLIDADG_1")</f>
        <v>LAGLIDADG_1</v>
      </c>
      <c r="DG266" t="str">
        <f>HYPERLINK("http://pfam.sanger.ac.uk/family?acc=PF00961","0.065")</f>
        <v>0.065</v>
      </c>
      <c r="DH266" t="s">
        <v>56</v>
      </c>
      <c r="DI266" s="6" t="s">
        <v>56</v>
      </c>
      <c r="DJ266" s="6" t="s">
        <v>56</v>
      </c>
      <c r="DN266" t="s">
        <v>56</v>
      </c>
      <c r="DO266" t="s">
        <v>56</v>
      </c>
      <c r="DP266" s="3" t="s">
        <v>56</v>
      </c>
      <c r="ED266" s="3" t="s">
        <v>56</v>
      </c>
    </row>
    <row r="267" spans="1:147">
      <c r="A267" t="str">
        <f>HYPERLINK(".\links\seq\TI_asb-437-seq.txt","TI_asb-437")</f>
        <v>TI_asb-437</v>
      </c>
      <c r="B267">
        <v>437</v>
      </c>
      <c r="C267" t="str">
        <f>HYPERLINK(".\links\tsa\TI_asb-437-tsa.txt","1")</f>
        <v>1</v>
      </c>
      <c r="D267">
        <v>1</v>
      </c>
      <c r="E267">
        <v>490</v>
      </c>
      <c r="F267">
        <v>445</v>
      </c>
      <c r="G267" t="str">
        <f>HYPERLINK(".\links\qual\TI_asb-437-qual.txt","40")</f>
        <v>40</v>
      </c>
      <c r="H267">
        <v>0</v>
      </c>
      <c r="I267">
        <v>1</v>
      </c>
      <c r="J267">
        <f t="shared" si="12"/>
        <v>1</v>
      </c>
      <c r="K267" s="6">
        <f t="shared" si="13"/>
        <v>-1</v>
      </c>
      <c r="L267" s="6" t="s">
        <v>3868</v>
      </c>
      <c r="M267" s="6" t="s">
        <v>3869</v>
      </c>
      <c r="N267" s="6"/>
      <c r="O267" s="6"/>
      <c r="P267" s="6"/>
      <c r="Q267" s="3">
        <v>490</v>
      </c>
      <c r="R267" s="3">
        <v>279</v>
      </c>
      <c r="S267" s="6" t="s">
        <v>3746</v>
      </c>
      <c r="T267" s="3">
        <v>1</v>
      </c>
      <c r="U267" t="str">
        <f>HYPERLINK(".\links\NR-LIGHT\TI_asb-437-NR-LIGHT.txt","hypothetical protein AND_13361")</f>
        <v>hypothetical protein AND_13361</v>
      </c>
      <c r="V267" t="str">
        <f>HYPERLINK("http://www.ncbi.nlm.nih.gov/sutils/blink.cgi?pid=312375952","1.1")</f>
        <v>1.1</v>
      </c>
      <c r="W267" t="str">
        <f>HYPERLINK(".\links\NR-LIGHT\TI_asb-437-NR-LIGHT.txt"," 10")</f>
        <v xml:space="preserve"> 10</v>
      </c>
      <c r="X267" t="str">
        <f>HYPERLINK("http://www.ncbi.nlm.nih.gov/protein/312375952","gi|312375952")</f>
        <v>gi|312375952</v>
      </c>
      <c r="Y267">
        <v>34.700000000000003</v>
      </c>
      <c r="Z267">
        <v>31</v>
      </c>
      <c r="AA267">
        <v>1086</v>
      </c>
      <c r="AB267">
        <v>45</v>
      </c>
      <c r="AC267">
        <v>3</v>
      </c>
      <c r="AD267">
        <v>17</v>
      </c>
      <c r="AE267">
        <v>0</v>
      </c>
      <c r="AF267">
        <v>692</v>
      </c>
      <c r="AG267">
        <v>151</v>
      </c>
      <c r="AH267">
        <v>2</v>
      </c>
      <c r="AI267">
        <v>1</v>
      </c>
      <c r="AJ267" t="s">
        <v>53</v>
      </c>
      <c r="AK267" t="s">
        <v>54</v>
      </c>
      <c r="AL267" t="s">
        <v>532</v>
      </c>
      <c r="AM267" t="s">
        <v>56</v>
      </c>
      <c r="AN267" s="19" t="s">
        <v>56</v>
      </c>
      <c r="AO267" t="s">
        <v>56</v>
      </c>
      <c r="AP267" t="s">
        <v>56</v>
      </c>
      <c r="AQ267" t="s">
        <v>56</v>
      </c>
      <c r="AR267" t="s">
        <v>56</v>
      </c>
      <c r="AS267" t="s">
        <v>56</v>
      </c>
      <c r="AT267" t="s">
        <v>56</v>
      </c>
      <c r="AU267" t="s">
        <v>56</v>
      </c>
      <c r="AV267" t="s">
        <v>56</v>
      </c>
      <c r="AW267" t="s">
        <v>56</v>
      </c>
      <c r="AX267" t="s">
        <v>56</v>
      </c>
      <c r="AY267" t="s">
        <v>56</v>
      </c>
      <c r="AZ267" t="s">
        <v>56</v>
      </c>
      <c r="BA267" t="s">
        <v>56</v>
      </c>
      <c r="BB267" t="s">
        <v>56</v>
      </c>
      <c r="BC267" t="s">
        <v>56</v>
      </c>
      <c r="BD267" t="s">
        <v>56</v>
      </c>
      <c r="BE267" t="s">
        <v>56</v>
      </c>
      <c r="BF267" t="s">
        <v>56</v>
      </c>
      <c r="BG267" t="str">
        <f>HYPERLINK(".\links\PREV-RHOD-PEP\TI_asb-437-PREV-RHOD-PEP.txt","Contig17812_36")</f>
        <v>Contig17812_36</v>
      </c>
      <c r="BH267" s="7">
        <v>9.9999999999999991E-22</v>
      </c>
      <c r="BI267" t="str">
        <f>HYPERLINK(".\links\PREV-RHOD-PEP\TI_asb-437-PREV-RHOD-PEP.txt"," 10")</f>
        <v xml:space="preserve"> 10</v>
      </c>
      <c r="BJ267" t="s">
        <v>563</v>
      </c>
      <c r="BK267">
        <v>98.6</v>
      </c>
      <c r="BL267">
        <v>91</v>
      </c>
      <c r="BM267">
        <v>387</v>
      </c>
      <c r="BN267">
        <v>49</v>
      </c>
      <c r="BO267">
        <v>24</v>
      </c>
      <c r="BP267">
        <v>46</v>
      </c>
      <c r="BQ267">
        <v>0</v>
      </c>
      <c r="BR267">
        <v>133</v>
      </c>
      <c r="BS267">
        <v>1</v>
      </c>
      <c r="BT267">
        <v>4</v>
      </c>
      <c r="BU267" t="s">
        <v>54</v>
      </c>
      <c r="BV267" t="s">
        <v>2635</v>
      </c>
      <c r="BW267" t="s">
        <v>56</v>
      </c>
      <c r="BX267" t="str">
        <f>HYPERLINK(".\links\PREV-RHOD-CDS\TI_asb-437-PREV-RHOD-CDS.txt","Contig17812_36")</f>
        <v>Contig17812_36</v>
      </c>
      <c r="BY267" s="7">
        <v>3E-10</v>
      </c>
      <c r="BZ267" t="s">
        <v>563</v>
      </c>
      <c r="CA267">
        <v>65.900000000000006</v>
      </c>
      <c r="CB267">
        <v>48</v>
      </c>
      <c r="CC267">
        <v>1164</v>
      </c>
      <c r="CD267">
        <v>91</v>
      </c>
      <c r="CE267">
        <v>4</v>
      </c>
      <c r="CF267">
        <v>4</v>
      </c>
      <c r="CG267">
        <v>0</v>
      </c>
      <c r="CH267">
        <v>1093</v>
      </c>
      <c r="CI267">
        <v>208</v>
      </c>
      <c r="CJ267">
        <v>1</v>
      </c>
      <c r="CK267" t="s">
        <v>54</v>
      </c>
      <c r="CL267" t="s">
        <v>2636</v>
      </c>
      <c r="CM267">
        <f>HYPERLINK(".\links\GO\TI_asb-437-GO.txt",0.087)</f>
        <v>8.6999999999999994E-2</v>
      </c>
      <c r="CN267" t="s">
        <v>2637</v>
      </c>
      <c r="CO267" t="s">
        <v>185</v>
      </c>
      <c r="CP267" t="s">
        <v>186</v>
      </c>
      <c r="CQ267" t="s">
        <v>2638</v>
      </c>
      <c r="CR267" s="6">
        <v>1.3</v>
      </c>
      <c r="CS267" t="s">
        <v>1420</v>
      </c>
      <c r="CT267" t="s">
        <v>540</v>
      </c>
      <c r="CU267" t="s">
        <v>1137</v>
      </c>
      <c r="CV267" t="s">
        <v>1421</v>
      </c>
      <c r="CW267" s="6">
        <v>1.3</v>
      </c>
      <c r="CX267" t="s">
        <v>2639</v>
      </c>
      <c r="CY267" t="s">
        <v>185</v>
      </c>
      <c r="CZ267" t="s">
        <v>186</v>
      </c>
      <c r="DA267" t="s">
        <v>2640</v>
      </c>
      <c r="DB267" s="6">
        <v>1.3</v>
      </c>
      <c r="DC267" t="str">
        <f>HYPERLINK(".\links\CDD\TI_asb-437-CDD.txt","CBM_14")</f>
        <v>CBM_14</v>
      </c>
      <c r="DD267" t="str">
        <f>HYPERLINK("http://www.ncbi.nlm.nih.gov/Structure/cdd/cddsrv.cgi?uid=pfam01607&amp;version=v4.0","0.021")</f>
        <v>0.021</v>
      </c>
      <c r="DE267" t="s">
        <v>2641</v>
      </c>
      <c r="DF267" t="str">
        <f>HYPERLINK(".\links\PFAM\TI_asb-437-PFAM.txt","7TM_GPCR_Srd")</f>
        <v>7TM_GPCR_Srd</v>
      </c>
      <c r="DG267" t="str">
        <f>HYPERLINK("http://pfam.sanger.ac.uk/family?acc=PF10317","0.001")</f>
        <v>0.001</v>
      </c>
      <c r="DH267" t="str">
        <f>HYPERLINK(".\links\PRK\TI_asb-437-PRK.txt","NADH dehydrogenase subunit 6")</f>
        <v>NADH dehydrogenase subunit 6</v>
      </c>
      <c r="DI267" s="6">
        <v>3.0000000000000001E-3</v>
      </c>
      <c r="DJ267" s="6" t="str">
        <f>HYPERLINK(".\links\KOG\TI_asb-437-KOG.txt","Lipid exporter ABCA1 and related proteins, ABC superfamily")</f>
        <v>Lipid exporter ABCA1 and related proteins, ABC superfamily</v>
      </c>
      <c r="DK267" s="6" t="str">
        <f>HYPERLINK("http://www.ncbi.nlm.nih.gov/COG/grace/shokog.cgi?KOG0059","0.002")</f>
        <v>0.002</v>
      </c>
      <c r="DL267" s="6" t="s">
        <v>4336</v>
      </c>
      <c r="DM267" s="6" t="str">
        <f>HYPERLINK(".\links\KOG\TI_asb-437-KOG.txt","KOG0059")</f>
        <v>KOG0059</v>
      </c>
      <c r="DN267" t="str">
        <f>HYPERLINK(".\links\SMART\TI_asb-437-SMART.txt","ChtBD2")</f>
        <v>ChtBD2</v>
      </c>
      <c r="DO267" t="str">
        <f>HYPERLINK("http://smart.embl-heidelberg.de/smart/do_annotation.pl?DOMAIN=ChtBD2&amp;BLAST=DUMMY","0.001")</f>
        <v>0.001</v>
      </c>
      <c r="DP267" s="3" t="s">
        <v>56</v>
      </c>
      <c r="ED267" s="3" t="s">
        <v>56</v>
      </c>
    </row>
    <row r="268" spans="1:147">
      <c r="A268" t="str">
        <f>HYPERLINK(".\links\seq\TI_asb-438-seq.txt","TI_asb-438")</f>
        <v>TI_asb-438</v>
      </c>
      <c r="B268">
        <v>438</v>
      </c>
      <c r="C268" t="str">
        <f>HYPERLINK(".\links\tsa\TI_asb-438-tsa.txt","1")</f>
        <v>1</v>
      </c>
      <c r="D268">
        <v>1</v>
      </c>
      <c r="E268">
        <v>588</v>
      </c>
      <c r="F268">
        <v>541</v>
      </c>
      <c r="G268" t="str">
        <f>HYPERLINK(".\links\qual\TI_asb-438-qual.txt","53")</f>
        <v>53</v>
      </c>
      <c r="H268">
        <v>1</v>
      </c>
      <c r="I268">
        <v>0</v>
      </c>
      <c r="J268">
        <f t="shared" si="12"/>
        <v>1</v>
      </c>
      <c r="K268" s="6">
        <f t="shared" si="13"/>
        <v>1</v>
      </c>
      <c r="L268" s="6" t="s">
        <v>4006</v>
      </c>
      <c r="M268" s="6" t="s">
        <v>3904</v>
      </c>
      <c r="N268" s="6" t="s">
        <v>3875</v>
      </c>
      <c r="O268" s="7">
        <v>4.9999999999999998E-76</v>
      </c>
      <c r="P268" s="6">
        <v>68.7</v>
      </c>
      <c r="Q268" s="3">
        <v>588</v>
      </c>
      <c r="R268" s="3">
        <v>219</v>
      </c>
      <c r="S268" s="3" t="s">
        <v>3747</v>
      </c>
      <c r="T268" s="3">
        <v>4</v>
      </c>
      <c r="U268" t="str">
        <f>HYPERLINK(".\links\NR-LIGHT\TI_asb-438-NR-LIGHT.txt","cytochrome oxidase subunit 2")</f>
        <v>cytochrome oxidase subunit 2</v>
      </c>
      <c r="V268" t="str">
        <f>HYPERLINK("http://www.ncbi.nlm.nih.gov/sutils/blink.cgi?pid=149689096","1E-076")</f>
        <v>1E-076</v>
      </c>
      <c r="W268" t="str">
        <f>HYPERLINK(".\links\NR-LIGHT\TI_asb-438-NR-LIGHT.txt"," 10")</f>
        <v xml:space="preserve"> 10</v>
      </c>
      <c r="X268" t="str">
        <f>HYPERLINK("http://www.ncbi.nlm.nih.gov/protein/149689096","gi|149689096")</f>
        <v>gi|149689096</v>
      </c>
      <c r="Y268">
        <v>281</v>
      </c>
      <c r="Z268">
        <v>161</v>
      </c>
      <c r="AA268">
        <v>223</v>
      </c>
      <c r="AB268">
        <v>89</v>
      </c>
      <c r="AC268">
        <v>72</v>
      </c>
      <c r="AD268">
        <v>17</v>
      </c>
      <c r="AE268">
        <v>0</v>
      </c>
      <c r="AF268">
        <v>46</v>
      </c>
      <c r="AG268">
        <v>3</v>
      </c>
      <c r="AH268">
        <v>2</v>
      </c>
      <c r="AI268">
        <v>2</v>
      </c>
      <c r="AJ268" t="s">
        <v>65</v>
      </c>
      <c r="AK268" t="s">
        <v>54</v>
      </c>
      <c r="AL268" t="s">
        <v>55</v>
      </c>
      <c r="AM268" t="str">
        <f>HYPERLINK(".\links\SWISSP\TI_asb-438-SWISSP.txt","Cytochrome c oxidase subunit 2 OS=Anopheles quadrimaculatus GN=COXII PE=3 SV=1")</f>
        <v>Cytochrome c oxidase subunit 2 OS=Anopheles quadrimaculatus GN=COXII PE=3 SV=1</v>
      </c>
      <c r="AN268" s="19" t="str">
        <f>HYPERLINK("http://www.uniprot.org/uniprot/P33505","2E-062")</f>
        <v>2E-062</v>
      </c>
      <c r="AO268" t="str">
        <f>HYPERLINK(".\links\SWISSP\TI_asb-438-SWISSP.txt"," 10")</f>
        <v xml:space="preserve"> 10</v>
      </c>
      <c r="AP268" t="s">
        <v>2567</v>
      </c>
      <c r="AQ268">
        <v>237</v>
      </c>
      <c r="AR268">
        <v>160</v>
      </c>
      <c r="AS268">
        <v>228</v>
      </c>
      <c r="AT268">
        <v>70</v>
      </c>
      <c r="AU268">
        <v>70</v>
      </c>
      <c r="AV268">
        <v>48</v>
      </c>
      <c r="AW268">
        <v>0</v>
      </c>
      <c r="AX268">
        <v>49</v>
      </c>
      <c r="AY268">
        <v>3</v>
      </c>
      <c r="AZ268">
        <v>2</v>
      </c>
      <c r="BA268">
        <v>2</v>
      </c>
      <c r="BB268" t="s">
        <v>65</v>
      </c>
      <c r="BC268" t="s">
        <v>54</v>
      </c>
      <c r="BD268" t="s">
        <v>918</v>
      </c>
      <c r="BE268" t="s">
        <v>2642</v>
      </c>
      <c r="BF268" t="s">
        <v>2643</v>
      </c>
      <c r="BG268" t="str">
        <f>HYPERLINK(".\links\PREV-RHOD-PEP\TI_asb-438-PREV-RHOD-PEP.txt","Contig8179_1")</f>
        <v>Contig8179_1</v>
      </c>
      <c r="BH268" s="7">
        <v>8.9999999999999996E-17</v>
      </c>
      <c r="BI268" t="str">
        <f>HYPERLINK(".\links\PREV-RHOD-PEP\TI_asb-438-PREV-RHOD-PEP.txt"," 10")</f>
        <v xml:space="preserve"> 10</v>
      </c>
      <c r="BJ268" t="s">
        <v>2570</v>
      </c>
      <c r="BK268">
        <v>82.8</v>
      </c>
      <c r="BL268">
        <v>48</v>
      </c>
      <c r="BM268">
        <v>48</v>
      </c>
      <c r="BN268">
        <v>79</v>
      </c>
      <c r="BO268">
        <v>100</v>
      </c>
      <c r="BP268">
        <v>10</v>
      </c>
      <c r="BQ268">
        <v>0</v>
      </c>
      <c r="BR268">
        <v>1</v>
      </c>
      <c r="BS268">
        <v>340</v>
      </c>
      <c r="BT268">
        <v>1</v>
      </c>
      <c r="BU268" t="s">
        <v>64</v>
      </c>
      <c r="BV268" t="s">
        <v>2571</v>
      </c>
      <c r="BW268" t="s">
        <v>2572</v>
      </c>
      <c r="BX268" t="str">
        <f>HYPERLINK(".\links\PREV-RHOD-CDS\TI_asb-438-PREV-RHOD-CDS.txt","Contig8179_1")</f>
        <v>Contig8179_1</v>
      </c>
      <c r="BY268" s="7">
        <v>3.9999999999999999E-16</v>
      </c>
      <c r="BZ268" t="s">
        <v>2570</v>
      </c>
      <c r="CA268">
        <v>85.7</v>
      </c>
      <c r="CB268">
        <v>142</v>
      </c>
      <c r="CC268">
        <v>147</v>
      </c>
      <c r="CD268">
        <v>82</v>
      </c>
      <c r="CE268">
        <v>97</v>
      </c>
      <c r="CF268">
        <v>25</v>
      </c>
      <c r="CG268">
        <v>0</v>
      </c>
      <c r="CH268">
        <v>1</v>
      </c>
      <c r="CI268">
        <v>341</v>
      </c>
      <c r="CJ268">
        <v>1</v>
      </c>
      <c r="CK268" t="s">
        <v>64</v>
      </c>
      <c r="CL268" t="s">
        <v>1947</v>
      </c>
      <c r="CM268">
        <f>HYPERLINK(".\links\GO\TI_asb-438-GO.txt",5E-62)</f>
        <v>5.0000000000000002E-62</v>
      </c>
      <c r="CN268" t="s">
        <v>1597</v>
      </c>
      <c r="CO268" t="s">
        <v>88</v>
      </c>
      <c r="CP268" t="s">
        <v>89</v>
      </c>
      <c r="CQ268" t="s">
        <v>1598</v>
      </c>
      <c r="CR268" s="7">
        <v>5.0000000000000002E-62</v>
      </c>
      <c r="CS268" t="s">
        <v>241</v>
      </c>
      <c r="CT268" t="s">
        <v>75</v>
      </c>
      <c r="CU268" t="s">
        <v>76</v>
      </c>
      <c r="CV268" t="s">
        <v>242</v>
      </c>
      <c r="CW268" s="7">
        <v>5.0000000000000002E-62</v>
      </c>
      <c r="CX268" t="s">
        <v>1599</v>
      </c>
      <c r="CY268" t="s">
        <v>88</v>
      </c>
      <c r="CZ268" t="s">
        <v>89</v>
      </c>
      <c r="DA268" t="s">
        <v>1600</v>
      </c>
      <c r="DB268" s="7">
        <v>5.0000000000000002E-62</v>
      </c>
      <c r="DC268" t="str">
        <f>HYPERLINK(".\links\CDD\TI_asb-438-CDD.txt","COX2")</f>
        <v>COX2</v>
      </c>
      <c r="DD268" t="str">
        <f>HYPERLINK("http://www.ncbi.nlm.nih.gov/Structure/cdd/cddsrv.cgi?uid=pfam00116&amp;version=v4.0","1E-051")</f>
        <v>1E-051</v>
      </c>
      <c r="DE268" t="s">
        <v>2644</v>
      </c>
      <c r="DF268" t="str">
        <f>HYPERLINK(".\links\PFAM\TI_asb-438-PFAM.txt","COX2")</f>
        <v>COX2</v>
      </c>
      <c r="DG268" t="str">
        <f>HYPERLINK("http://pfam.sanger.ac.uk/family?acc=PF00116","6E-057")</f>
        <v>6E-057</v>
      </c>
      <c r="DH268" t="str">
        <f>HYPERLINK(".\links\PRK\TI_asb-438-PRK.txt","cytochrome c oxidase subunit II")</f>
        <v>cytochrome c oxidase subunit II</v>
      </c>
      <c r="DI268" s="7">
        <v>3.9999999999999996E-93</v>
      </c>
      <c r="DJ268" s="6" t="str">
        <f>HYPERLINK(".\links\KOG\TI_asb-438-KOG.txt","Cytochrome c oxidase, subunit II, and related proteins")</f>
        <v>Cytochrome c oxidase, subunit II, and related proteins</v>
      </c>
      <c r="DK268" s="6" t="str">
        <f>HYPERLINK("http://www.ncbi.nlm.nih.gov/COG/grace/shokog.cgi?KOG4767","4E-069")</f>
        <v>4E-069</v>
      </c>
      <c r="DL268" s="6" t="s">
        <v>4349</v>
      </c>
      <c r="DM268" s="6" t="str">
        <f>HYPERLINK(".\links\KOG\TI_asb-438-KOG.txt","KOG4767")</f>
        <v>KOG4767</v>
      </c>
      <c r="DN268" t="str">
        <f>HYPERLINK(".\links\SMART\TI_asb-438-SMART.txt","LITAF")</f>
        <v>LITAF</v>
      </c>
      <c r="DO268" t="str">
        <f>HYPERLINK("http://smart.embl-heidelberg.de/smart/do_annotation.pl?DOMAIN=LITAF&amp;BLAST=DUMMY","0.087")</f>
        <v>0.087</v>
      </c>
      <c r="DP268" s="3" t="s">
        <v>56</v>
      </c>
      <c r="ED268" s="3" t="str">
        <f>HYPERLINK(".\links\MIT-PLA\TI_asb-438-MIT-PLA.txt","Triatoma dimidiata mitochondrial DNA, complete genome")</f>
        <v>Triatoma dimidiata mitochondrial DNA, complete genome</v>
      </c>
      <c r="EE268" s="3" t="str">
        <f>HYPERLINK("http://www.ncbi.nlm.nih.gov/entrez/viewer.fcgi?db=nucleotide&amp;val=11139100","2E-069")</f>
        <v>2E-069</v>
      </c>
      <c r="EF268" s="3" t="str">
        <f>HYPERLINK("http://www.ncbi.nlm.nih.gov/entrez/viewer.fcgi?db=nucleotide&amp;val=11139100","gi|11139100")</f>
        <v>gi|11139100</v>
      </c>
      <c r="EG268" s="3">
        <v>262</v>
      </c>
      <c r="EH268" s="3">
        <v>426</v>
      </c>
      <c r="EI268" s="3">
        <v>17019</v>
      </c>
      <c r="EJ268" s="3">
        <v>82</v>
      </c>
      <c r="EK268" s="3">
        <v>3</v>
      </c>
      <c r="EL268" s="3">
        <v>74</v>
      </c>
      <c r="EM268" s="3">
        <v>0</v>
      </c>
      <c r="EN268" s="3">
        <v>3240</v>
      </c>
      <c r="EO268" s="3">
        <v>108</v>
      </c>
      <c r="EP268" s="3">
        <v>1</v>
      </c>
      <c r="EQ268" s="3" t="s">
        <v>54</v>
      </c>
    </row>
    <row r="269" spans="1:147" s="26" customFormat="1">
      <c r="A269" s="26" t="str">
        <f>HYPERLINK(".\links\seq\TI_asb-439-seq.txt","TI_asb-439")</f>
        <v>TI_asb-439</v>
      </c>
      <c r="B269" s="26">
        <v>439</v>
      </c>
      <c r="C269" s="27" t="str">
        <f>HYPERLINK(".\links\tsa\TI_asb-439-tsa.txt","3")</f>
        <v>3</v>
      </c>
      <c r="D269" s="26">
        <v>3</v>
      </c>
      <c r="E269" s="26">
        <v>869</v>
      </c>
      <c r="F269" s="26">
        <v>488</v>
      </c>
      <c r="G269" s="26" t="str">
        <f>HYPERLINK(".\links\qual\TI_asb-439-qual.txt","43")</f>
        <v>43</v>
      </c>
      <c r="H269" s="26">
        <v>2</v>
      </c>
      <c r="I269" s="26">
        <v>1</v>
      </c>
      <c r="J269" s="26">
        <f t="shared" si="12"/>
        <v>1</v>
      </c>
      <c r="K269" s="26">
        <f t="shared" si="13"/>
        <v>1</v>
      </c>
      <c r="L269" s="26" t="s">
        <v>3933</v>
      </c>
      <c r="M269" s="26" t="s">
        <v>3934</v>
      </c>
      <c r="N269" s="26" t="s">
        <v>3864</v>
      </c>
      <c r="O269" s="28">
        <v>3.9999999999999997E-77</v>
      </c>
      <c r="P269" s="26">
        <v>8.9</v>
      </c>
      <c r="Q269" s="26">
        <v>869</v>
      </c>
      <c r="R269" s="26">
        <v>618</v>
      </c>
      <c r="S269" s="26" t="s">
        <v>3748</v>
      </c>
      <c r="T269" s="26">
        <v>3</v>
      </c>
      <c r="U269" s="26" t="str">
        <f>HYPERLINK(".\links\NR-LIGHT\TI_asb-439-NR-LIGHT.txt","nonstructural protein precursor")</f>
        <v>nonstructural protein precursor</v>
      </c>
      <c r="V269" s="26" t="str">
        <f>HYPERLINK("http://www.ncbi.nlm.nih.gov/sutils/blink.cgi?pid=20451029","4E-077")</f>
        <v>4E-077</v>
      </c>
      <c r="W269" s="26" t="str">
        <f>HYPERLINK(".\links\NR-LIGHT\TI_asb-439-NR-LIGHT.txt"," 10")</f>
        <v xml:space="preserve"> 10</v>
      </c>
      <c r="X269" s="26" t="str">
        <f>HYPERLINK("http://www.ncbi.nlm.nih.gov/protein/20451029","gi|20451029")</f>
        <v>gi|20451029</v>
      </c>
      <c r="Y269" s="26">
        <v>290</v>
      </c>
      <c r="Z269" s="26">
        <v>161</v>
      </c>
      <c r="AA269" s="26">
        <v>1795</v>
      </c>
      <c r="AB269" s="26">
        <v>89</v>
      </c>
      <c r="AC269" s="26">
        <v>9</v>
      </c>
      <c r="AD269" s="26">
        <v>17</v>
      </c>
      <c r="AE269" s="26">
        <v>0</v>
      </c>
      <c r="AF269" s="26">
        <v>841</v>
      </c>
      <c r="AG269" s="26">
        <v>6</v>
      </c>
      <c r="AH269" s="26">
        <v>1</v>
      </c>
      <c r="AI269" s="26">
        <v>3</v>
      </c>
      <c r="AJ269" s="26" t="s">
        <v>53</v>
      </c>
      <c r="AK269" s="26" t="s">
        <v>54</v>
      </c>
      <c r="AL269" s="26" t="s">
        <v>137</v>
      </c>
      <c r="AM269" s="26" t="str">
        <f>HYPERLINK(".\links\SWISSP\TI_asb-439-SWISSP.txt","Protein prune homolog 2 OS=Homo sapiens GN=PRUNE2 PE=1 SV=3")</f>
        <v>Protein prune homolog 2 OS=Homo sapiens GN=PRUNE2 PE=1 SV=3</v>
      </c>
      <c r="AN269" s="29" t="str">
        <f>HYPERLINK("http://www.uniprot.org/uniprot/Q8WUY3","3.4")</f>
        <v>3.4</v>
      </c>
      <c r="AO269" s="26" t="str">
        <f>HYPERLINK(".\links\SWISSP\TI_asb-439-SWISSP.txt"," 2")</f>
        <v xml:space="preserve"> 2</v>
      </c>
      <c r="AP269" s="26" t="s">
        <v>2645</v>
      </c>
      <c r="AQ269" s="26">
        <v>32.700000000000003</v>
      </c>
      <c r="AR269" s="26">
        <v>78</v>
      </c>
      <c r="AS269" s="26">
        <v>3088</v>
      </c>
      <c r="AT269" s="26">
        <v>26</v>
      </c>
      <c r="AU269" s="26">
        <v>3</v>
      </c>
      <c r="AV269" s="26">
        <v>57</v>
      </c>
      <c r="AW269" s="26">
        <v>3</v>
      </c>
      <c r="AX269" s="26">
        <v>2495</v>
      </c>
      <c r="AY269" s="26">
        <v>605</v>
      </c>
      <c r="AZ269" s="26">
        <v>1</v>
      </c>
      <c r="BA269" s="26">
        <v>2</v>
      </c>
      <c r="BB269" s="26" t="s">
        <v>53</v>
      </c>
      <c r="BC269" s="26" t="s">
        <v>54</v>
      </c>
      <c r="BD269" s="26" t="s">
        <v>330</v>
      </c>
      <c r="BE269" s="26" t="s">
        <v>2646</v>
      </c>
      <c r="BF269" s="26" t="s">
        <v>2647</v>
      </c>
      <c r="BG269" s="26" t="str">
        <f>HYPERLINK(".\links\PREV-RHOD-PEP\TI_asb-439-PREV-RHOD-PEP.txt","Contig18051_49")</f>
        <v>Contig18051_49</v>
      </c>
      <c r="BH269" s="28">
        <v>5.0000000000000002E-27</v>
      </c>
      <c r="BI269" s="26" t="str">
        <f>HYPERLINK(".\links\PREV-RHOD-PEP\TI_asb-439-PREV-RHOD-PEP.txt"," 10")</f>
        <v xml:space="preserve"> 10</v>
      </c>
      <c r="BJ269" s="26" t="s">
        <v>2648</v>
      </c>
      <c r="BK269" s="26">
        <v>117</v>
      </c>
      <c r="BL269" s="26">
        <v>79</v>
      </c>
      <c r="BM269" s="26">
        <v>1092</v>
      </c>
      <c r="BN269" s="26">
        <v>68</v>
      </c>
      <c r="BO269" s="26">
        <v>7</v>
      </c>
      <c r="BP269" s="26">
        <v>25</v>
      </c>
      <c r="BQ269" s="26">
        <v>0</v>
      </c>
      <c r="BR269" s="26">
        <v>53</v>
      </c>
      <c r="BS269" s="26">
        <v>632</v>
      </c>
      <c r="BT269" s="26">
        <v>2</v>
      </c>
      <c r="BU269" s="26" t="s">
        <v>54</v>
      </c>
      <c r="BV269" s="26" t="s">
        <v>2649</v>
      </c>
      <c r="BW269" s="26" t="s">
        <v>56</v>
      </c>
      <c r="BX269" s="26" t="str">
        <f>HYPERLINK(".\links\PREV-RHOD-CDS\TI_asb-439-PREV-RHOD-CDS.txt","Contig17644_46")</f>
        <v>Contig17644_46</v>
      </c>
      <c r="BY269" s="28">
        <v>1E-4</v>
      </c>
      <c r="BZ269" s="26" t="s">
        <v>2650</v>
      </c>
      <c r="CA269" s="26">
        <v>48.1</v>
      </c>
      <c r="CB269" s="26">
        <v>878</v>
      </c>
      <c r="CC269" s="26">
        <v>1158</v>
      </c>
      <c r="CD269" s="26">
        <v>100</v>
      </c>
      <c r="CE269" s="26">
        <v>76</v>
      </c>
      <c r="CF269" s="26">
        <v>0</v>
      </c>
      <c r="CG269" s="26">
        <v>0</v>
      </c>
      <c r="CH269" s="26">
        <v>163</v>
      </c>
      <c r="CI269" s="26">
        <v>647</v>
      </c>
      <c r="CJ269" s="26">
        <v>2</v>
      </c>
      <c r="CK269" s="26" t="s">
        <v>54</v>
      </c>
      <c r="CL269" s="26" t="s">
        <v>2651</v>
      </c>
      <c r="CM269" s="26">
        <f>HYPERLINK(".\links\GO\TI_asb-439-GO.txt",0.0004)</f>
        <v>4.0000000000000002E-4</v>
      </c>
      <c r="CN269" s="26" t="s">
        <v>2141</v>
      </c>
      <c r="CO269" s="26" t="s">
        <v>185</v>
      </c>
      <c r="CP269" s="26" t="s">
        <v>222</v>
      </c>
      <c r="CQ269" s="26" t="s">
        <v>2142</v>
      </c>
      <c r="CR269" s="26">
        <v>3.6</v>
      </c>
      <c r="CS269" s="26" t="s">
        <v>224</v>
      </c>
      <c r="CT269" s="26" t="s">
        <v>75</v>
      </c>
      <c r="CU269" s="26" t="s">
        <v>76</v>
      </c>
      <c r="CV269" s="26" t="s">
        <v>225</v>
      </c>
      <c r="CW269" s="26">
        <v>3.6</v>
      </c>
      <c r="CX269" s="26" t="s">
        <v>2652</v>
      </c>
      <c r="CY269" s="26" t="s">
        <v>185</v>
      </c>
      <c r="CZ269" s="26" t="s">
        <v>222</v>
      </c>
      <c r="DA269" s="26" t="s">
        <v>2653</v>
      </c>
      <c r="DB269" s="26">
        <v>3.6</v>
      </c>
      <c r="DC269" s="26" t="s">
        <v>56</v>
      </c>
      <c r="DD269" s="26" t="s">
        <v>56</v>
      </c>
      <c r="DE269" s="26" t="s">
        <v>56</v>
      </c>
      <c r="DF269" s="26" t="str">
        <f>HYPERLINK(".\links\PFAM\TI_asb-439-PFAM.txt","HlyIII")</f>
        <v>HlyIII</v>
      </c>
      <c r="DG269" s="26" t="str">
        <f>HYPERLINK("http://pfam.sanger.ac.uk/family?acc=PF03006","0.070")</f>
        <v>0.070</v>
      </c>
      <c r="DH269" s="26" t="s">
        <v>56</v>
      </c>
      <c r="DI269" s="26" t="s">
        <v>56</v>
      </c>
      <c r="DJ269" s="26" t="str">
        <f>HYPERLINK(".\links\KOG\TI_asb-439-KOG.txt","Phosphatidylinositol transfer protein SEC14 and related proteins")</f>
        <v>Phosphatidylinositol transfer protein SEC14 and related proteins</v>
      </c>
      <c r="DK269" s="26" t="str">
        <f>HYPERLINK("http://www.ncbi.nlm.nih.gov/COG/grace/shokog.cgi?KOG1471","0.058")</f>
        <v>0.058</v>
      </c>
      <c r="DL269" s="26" t="s">
        <v>4334</v>
      </c>
      <c r="DM269" s="26" t="str">
        <f>HYPERLINK(".\links\KOG\TI_asb-439-KOG.txt","KOG1471")</f>
        <v>KOG1471</v>
      </c>
      <c r="DN269" s="26" t="s">
        <v>56</v>
      </c>
      <c r="DO269" s="26" t="s">
        <v>56</v>
      </c>
      <c r="DP269" s="26" t="s">
        <v>56</v>
      </c>
      <c r="ED269" s="26" t="s">
        <v>56</v>
      </c>
    </row>
    <row r="270" spans="1:147">
      <c r="A270" t="str">
        <f>HYPERLINK(".\links\seq\TI_asb-440-seq.txt","TI_asb-440")</f>
        <v>TI_asb-440</v>
      </c>
      <c r="B270">
        <v>440</v>
      </c>
      <c r="C270" t="str">
        <f>HYPERLINK(".\links\tsa\TI_asb-440-tsa.txt","1")</f>
        <v>1</v>
      </c>
      <c r="D270">
        <v>1</v>
      </c>
      <c r="E270">
        <v>745</v>
      </c>
      <c r="G270" t="str">
        <f>HYPERLINK(".\links\qual\TI_asb-440-qual.txt","52")</f>
        <v>52</v>
      </c>
      <c r="H270">
        <v>0</v>
      </c>
      <c r="I270">
        <v>1</v>
      </c>
      <c r="J270">
        <f t="shared" si="12"/>
        <v>1</v>
      </c>
      <c r="K270" s="6">
        <f t="shared" si="13"/>
        <v>-1</v>
      </c>
      <c r="L270" s="6" t="s">
        <v>4045</v>
      </c>
      <c r="M270" s="6" t="s">
        <v>3883</v>
      </c>
      <c r="N270" s="6" t="s">
        <v>3864</v>
      </c>
      <c r="O270" s="7">
        <v>2.0000000000000002E-43</v>
      </c>
      <c r="P270" s="6">
        <v>21.9</v>
      </c>
      <c r="Q270" s="3">
        <v>745</v>
      </c>
      <c r="R270" s="3">
        <v>402</v>
      </c>
      <c r="S270" s="3" t="s">
        <v>3749</v>
      </c>
      <c r="T270" s="3">
        <v>2</v>
      </c>
      <c r="U270" t="str">
        <f>HYPERLINK(".\links\NR-LIGHT\TI_asb-440-NR-LIGHT.txt","similar to GA13362-PA")</f>
        <v>similar to GA13362-PA</v>
      </c>
      <c r="V270" t="str">
        <f>HYPERLINK("http://www.ncbi.nlm.nih.gov/sutils/blink.cgi?pid=193709215","3E-046")</f>
        <v>3E-046</v>
      </c>
      <c r="W270" t="str">
        <f>HYPERLINK(".\links\NR-LIGHT\TI_asb-440-NR-LIGHT.txt"," 10")</f>
        <v xml:space="preserve"> 10</v>
      </c>
      <c r="X270" t="str">
        <f>HYPERLINK("http://www.ncbi.nlm.nih.gov/protein/193709215","gi|193709215")</f>
        <v>gi|193709215</v>
      </c>
      <c r="Y270">
        <v>127</v>
      </c>
      <c r="Z270">
        <v>129</v>
      </c>
      <c r="AA270">
        <v>621</v>
      </c>
      <c r="AB270">
        <v>48</v>
      </c>
      <c r="AC270">
        <v>21</v>
      </c>
      <c r="AD270">
        <v>67</v>
      </c>
      <c r="AE270">
        <v>5</v>
      </c>
      <c r="AF270">
        <v>131</v>
      </c>
      <c r="AG270">
        <v>1</v>
      </c>
      <c r="AH270">
        <v>3</v>
      </c>
      <c r="AI270">
        <v>2</v>
      </c>
      <c r="AJ270" t="s">
        <v>65</v>
      </c>
      <c r="AK270" t="s">
        <v>54</v>
      </c>
      <c r="AL270" t="s">
        <v>177</v>
      </c>
      <c r="AM270" t="str">
        <f>HYPERLINK(".\links\SWISSP\TI_asb-440-SWISSP.txt","Probable maltase OS=Aedes aegypti GN=MAL1 PE=2 SV=1")</f>
        <v>Probable maltase OS=Aedes aegypti GN=MAL1 PE=2 SV=1</v>
      </c>
      <c r="AN270" s="19" t="str">
        <f>HYPERLINK("http://www.uniprot.org/uniprot/P13080","5E-043")</f>
        <v>5E-043</v>
      </c>
      <c r="AO270" t="str">
        <f>HYPERLINK(".\links\SWISSP\TI_asb-440-SWISSP.txt"," 10")</f>
        <v xml:space="preserve"> 10</v>
      </c>
      <c r="AP270" t="s">
        <v>2654</v>
      </c>
      <c r="AQ270">
        <v>131</v>
      </c>
      <c r="AR270">
        <v>122</v>
      </c>
      <c r="AS270">
        <v>579</v>
      </c>
      <c r="AT270">
        <v>50</v>
      </c>
      <c r="AU270">
        <v>21</v>
      </c>
      <c r="AV270">
        <v>60</v>
      </c>
      <c r="AW270">
        <v>4</v>
      </c>
      <c r="AX270">
        <v>118</v>
      </c>
      <c r="AY270">
        <v>1</v>
      </c>
      <c r="AZ270">
        <v>3</v>
      </c>
      <c r="BA270">
        <v>2</v>
      </c>
      <c r="BB270" t="s">
        <v>65</v>
      </c>
      <c r="BC270" t="s">
        <v>54</v>
      </c>
      <c r="BD270" t="s">
        <v>120</v>
      </c>
      <c r="BE270" t="s">
        <v>2655</v>
      </c>
      <c r="BF270" t="s">
        <v>2656</v>
      </c>
      <c r="BG270" t="str">
        <f>HYPERLINK(".\links\PREV-RHOD-PEP\TI_asb-440-PREV-RHOD-PEP.txt","Contig17590_29")</f>
        <v>Contig17590_29</v>
      </c>
      <c r="BH270" s="7">
        <v>1E-100</v>
      </c>
      <c r="BI270" t="str">
        <f>HYPERLINK(".\links\PREV-RHOD-PEP\TI_asb-440-PREV-RHOD-PEP.txt"," 10")</f>
        <v xml:space="preserve"> 10</v>
      </c>
      <c r="BJ270" t="s">
        <v>2657</v>
      </c>
      <c r="BK270">
        <v>199</v>
      </c>
      <c r="BL270">
        <v>122</v>
      </c>
      <c r="BM270">
        <v>566</v>
      </c>
      <c r="BN270">
        <v>72</v>
      </c>
      <c r="BO270">
        <v>22</v>
      </c>
      <c r="BP270">
        <v>33</v>
      </c>
      <c r="BQ270">
        <v>0</v>
      </c>
      <c r="BR270">
        <v>123</v>
      </c>
      <c r="BS270">
        <v>1</v>
      </c>
      <c r="BT270">
        <v>3</v>
      </c>
      <c r="BU270" t="s">
        <v>54</v>
      </c>
      <c r="BV270" t="s">
        <v>2658</v>
      </c>
      <c r="BW270" t="s">
        <v>56</v>
      </c>
      <c r="BX270" t="str">
        <f>HYPERLINK(".\links\PREV-RHOD-CDS\TI_asb-440-PREV-RHOD-CDS.txt","Contig17590_29")</f>
        <v>Contig17590_29</v>
      </c>
      <c r="BY270" s="7">
        <v>1.0000000000000001E-68</v>
      </c>
      <c r="BZ270" t="s">
        <v>2657</v>
      </c>
      <c r="CA270">
        <v>260</v>
      </c>
      <c r="CB270">
        <v>684</v>
      </c>
      <c r="CC270">
        <v>1701</v>
      </c>
      <c r="CD270">
        <v>80</v>
      </c>
      <c r="CE270">
        <v>40</v>
      </c>
      <c r="CF270">
        <v>135</v>
      </c>
      <c r="CG270">
        <v>4</v>
      </c>
      <c r="CH270">
        <v>424</v>
      </c>
      <c r="CI270">
        <v>58</v>
      </c>
      <c r="CJ270">
        <v>1</v>
      </c>
      <c r="CK270" t="s">
        <v>54</v>
      </c>
      <c r="CL270" t="s">
        <v>2659</v>
      </c>
      <c r="CM270">
        <f>HYPERLINK(".\links\GO\TI_asb-440-GO.txt",6E-40)</f>
        <v>6.0000000000000004E-40</v>
      </c>
      <c r="CN270" t="s">
        <v>184</v>
      </c>
      <c r="CO270" t="s">
        <v>185</v>
      </c>
      <c r="CP270" t="s">
        <v>186</v>
      </c>
      <c r="CQ270" t="s">
        <v>187</v>
      </c>
      <c r="CR270" s="7">
        <v>4.0000000000000003E-30</v>
      </c>
      <c r="CS270" t="s">
        <v>188</v>
      </c>
      <c r="CT270" t="s">
        <v>75</v>
      </c>
      <c r="CU270" t="s">
        <v>76</v>
      </c>
      <c r="CV270" t="s">
        <v>189</v>
      </c>
      <c r="CW270" s="7">
        <v>4.0000000000000003E-30</v>
      </c>
      <c r="CX270" t="s">
        <v>190</v>
      </c>
      <c r="CY270" t="s">
        <v>185</v>
      </c>
      <c r="CZ270" t="s">
        <v>186</v>
      </c>
      <c r="DA270" t="s">
        <v>191</v>
      </c>
      <c r="DB270" s="7">
        <v>4.0000000000000003E-30</v>
      </c>
      <c r="DC270" t="str">
        <f>HYPERLINK(".\links\CDD\TI_asb-440-CDD.txt","AmyA")</f>
        <v>AmyA</v>
      </c>
      <c r="DD270" t="str">
        <f>HYPERLINK("http://www.ncbi.nlm.nih.gov/Structure/cdd/cddsrv.cgi?uid=COG0366&amp;version=v4.0","3E-020")</f>
        <v>3E-020</v>
      </c>
      <c r="DE270" t="s">
        <v>2660</v>
      </c>
      <c r="DF270" t="str">
        <f>HYPERLINK(".\links\PFAM\TI_asb-440-PFAM.txt","Alpha-amylase")</f>
        <v>Alpha-amylase</v>
      </c>
      <c r="DG270" t="str">
        <f>HYPERLINK("http://pfam.sanger.ac.uk/family?acc=PF00128","6E-018")</f>
        <v>6E-018</v>
      </c>
      <c r="DH270" t="str">
        <f>HYPERLINK(".\links\PRK\TI_asb-440-PRK.txt","trehalose-6-phosphate hydrolase")</f>
        <v>trehalose-6-phosphate hydrolase</v>
      </c>
      <c r="DI270" s="7">
        <v>2.9999999999999999E-21</v>
      </c>
      <c r="DJ270" s="6" t="str">
        <f>HYPERLINK(".\links\KOG\TI_asb-440-KOG.txt","Alpha-amylase")</f>
        <v>Alpha-amylase</v>
      </c>
      <c r="DK270" s="6" t="str">
        <f>HYPERLINK("http://www.ncbi.nlm.nih.gov/COG/grace/shokog.cgi?KOG0471","3E-022")</f>
        <v>3E-022</v>
      </c>
      <c r="DL270" s="6" t="s">
        <v>4341</v>
      </c>
      <c r="DM270" s="6" t="str">
        <f>HYPERLINK(".\links\KOG\TI_asb-440-KOG.txt","KOG0471")</f>
        <v>KOG0471</v>
      </c>
      <c r="DN270" t="s">
        <v>56</v>
      </c>
      <c r="DO270" t="s">
        <v>56</v>
      </c>
      <c r="DP270" s="3" t="s">
        <v>56</v>
      </c>
      <c r="ED270" s="3" t="s">
        <v>56</v>
      </c>
    </row>
    <row r="271" spans="1:147">
      <c r="A271" t="str">
        <f>HYPERLINK(".\links\seq\TI_asb-441-seq.txt","TI_asb-441")</f>
        <v>TI_asb-441</v>
      </c>
      <c r="B271">
        <v>441</v>
      </c>
      <c r="C271" t="str">
        <f>HYPERLINK(".\links\tsa\TI_asb-441-tsa.txt","1")</f>
        <v>1</v>
      </c>
      <c r="D271">
        <v>1</v>
      </c>
      <c r="E271">
        <v>773</v>
      </c>
      <c r="F271">
        <v>727</v>
      </c>
      <c r="G271" t="str">
        <f>HYPERLINK(".\links\qual\TI_asb-441-qual.txt","58")</f>
        <v>58</v>
      </c>
      <c r="H271">
        <v>1</v>
      </c>
      <c r="I271">
        <v>0</v>
      </c>
      <c r="J271">
        <f t="shared" si="12"/>
        <v>1</v>
      </c>
      <c r="K271" s="6">
        <f t="shared" si="13"/>
        <v>1</v>
      </c>
      <c r="L271" s="6" t="s">
        <v>4046</v>
      </c>
      <c r="M271" s="6" t="s">
        <v>3900</v>
      </c>
      <c r="N271" s="6" t="s">
        <v>3872</v>
      </c>
      <c r="O271" s="7">
        <v>6.0000000000000004E-53</v>
      </c>
      <c r="P271" s="6">
        <v>74.599999999999994</v>
      </c>
      <c r="Q271" s="3">
        <v>773</v>
      </c>
      <c r="R271" s="3">
        <v>636</v>
      </c>
      <c r="S271" s="3" t="s">
        <v>3750</v>
      </c>
      <c r="T271" s="3">
        <v>2</v>
      </c>
      <c r="U271" t="str">
        <f>HYPERLINK(".\links\NR-LIGHT\TI_asb-441-NR-LIGHT.txt","proteasome subunit alpha type, putative")</f>
        <v>proteasome subunit alpha type, putative</v>
      </c>
      <c r="V271" t="str">
        <f>HYPERLINK("http://www.ncbi.nlm.nih.gov/sutils/blink.cgi?pid=242003283","1E-052")</f>
        <v>1E-052</v>
      </c>
      <c r="W271" t="str">
        <f>HYPERLINK(".\links\NR-LIGHT\TI_asb-441-NR-LIGHT.txt"," 10")</f>
        <v xml:space="preserve"> 10</v>
      </c>
      <c r="X271" t="str">
        <f>HYPERLINK("http://www.ncbi.nlm.nih.gov/protein/242003283","gi|242003283")</f>
        <v>gi|242003283</v>
      </c>
      <c r="Y271">
        <v>208</v>
      </c>
      <c r="Z271">
        <v>171</v>
      </c>
      <c r="AA271">
        <v>293</v>
      </c>
      <c r="AB271">
        <v>59</v>
      </c>
      <c r="AC271">
        <v>58</v>
      </c>
      <c r="AD271">
        <v>69</v>
      </c>
      <c r="AE271">
        <v>0</v>
      </c>
      <c r="AF271">
        <v>84</v>
      </c>
      <c r="AG271">
        <v>2</v>
      </c>
      <c r="AH271">
        <v>1</v>
      </c>
      <c r="AI271">
        <v>2</v>
      </c>
      <c r="AJ271" t="s">
        <v>53</v>
      </c>
      <c r="AK271" t="s">
        <v>54</v>
      </c>
      <c r="AL271" t="s">
        <v>141</v>
      </c>
      <c r="AM271" t="str">
        <f>HYPERLINK(".\links\SWISSP\TI_asb-441-SWISSP.txt","Proteasome subunit alpha type-1 OS=Dictyostelium discoideum GN=psmA1 PE=3 SV=1")</f>
        <v>Proteasome subunit alpha type-1 OS=Dictyostelium discoideum GN=psmA1 PE=3 SV=1</v>
      </c>
      <c r="AN271" s="19" t="str">
        <f>HYPERLINK("http://www.uniprot.org/uniprot/Q27562","6E-043")</f>
        <v>6E-043</v>
      </c>
      <c r="AO271" t="str">
        <f>HYPERLINK(".\links\SWISSP\TI_asb-441-SWISSP.txt"," 10")</f>
        <v xml:space="preserve"> 10</v>
      </c>
      <c r="AP271" t="s">
        <v>2661</v>
      </c>
      <c r="AQ271">
        <v>174</v>
      </c>
      <c r="AR271">
        <v>172</v>
      </c>
      <c r="AS271">
        <v>248</v>
      </c>
      <c r="AT271">
        <v>53</v>
      </c>
      <c r="AU271">
        <v>69</v>
      </c>
      <c r="AV271">
        <v>80</v>
      </c>
      <c r="AW271">
        <v>1</v>
      </c>
      <c r="AX271">
        <v>71</v>
      </c>
      <c r="AY271">
        <v>2</v>
      </c>
      <c r="AZ271">
        <v>1</v>
      </c>
      <c r="BA271">
        <v>2</v>
      </c>
      <c r="BB271" t="s">
        <v>53</v>
      </c>
      <c r="BC271" t="s">
        <v>54</v>
      </c>
      <c r="BD271" t="s">
        <v>386</v>
      </c>
      <c r="BE271" t="s">
        <v>2662</v>
      </c>
      <c r="BF271" t="s">
        <v>2663</v>
      </c>
      <c r="BG271" t="str">
        <f>HYPERLINK(".\links\PREV-RHOD-PEP\TI_asb-441-PREV-RHOD-PEP.txt","Contig4158_3")</f>
        <v>Contig4158_3</v>
      </c>
      <c r="BH271" s="7">
        <v>1.9999999999999999E-88</v>
      </c>
      <c r="BI271" t="str">
        <f>HYPERLINK(".\links\PREV-RHOD-PEP\TI_asb-441-PREV-RHOD-PEP.txt"," 10")</f>
        <v xml:space="preserve"> 10</v>
      </c>
      <c r="BJ271" t="s">
        <v>2664</v>
      </c>
      <c r="BK271">
        <v>321</v>
      </c>
      <c r="BL271">
        <v>207</v>
      </c>
      <c r="BM271">
        <v>273</v>
      </c>
      <c r="BN271">
        <v>79</v>
      </c>
      <c r="BO271">
        <v>76</v>
      </c>
      <c r="BP271">
        <v>43</v>
      </c>
      <c r="BQ271">
        <v>0</v>
      </c>
      <c r="BR271">
        <v>46</v>
      </c>
      <c r="BS271">
        <v>2</v>
      </c>
      <c r="BT271">
        <v>1</v>
      </c>
      <c r="BU271" t="s">
        <v>54</v>
      </c>
      <c r="BV271" t="s">
        <v>2665</v>
      </c>
      <c r="BW271" t="s">
        <v>56</v>
      </c>
      <c r="BX271" t="str">
        <f>HYPERLINK(".\links\PREV-RHOD-CDS\TI_asb-441-PREV-RHOD-CDS.txt","Contig4158_3")</f>
        <v>Contig4158_3</v>
      </c>
      <c r="BY271" s="7">
        <v>1.0000000000000001E-158</v>
      </c>
      <c r="BZ271" t="s">
        <v>2664</v>
      </c>
      <c r="CA271">
        <v>557</v>
      </c>
      <c r="CB271">
        <v>616</v>
      </c>
      <c r="CC271">
        <v>822</v>
      </c>
      <c r="CD271">
        <v>86</v>
      </c>
      <c r="CE271">
        <v>75</v>
      </c>
      <c r="CF271">
        <v>84</v>
      </c>
      <c r="CG271">
        <v>0</v>
      </c>
      <c r="CH271">
        <v>139</v>
      </c>
      <c r="CI271">
        <v>5</v>
      </c>
      <c r="CJ271">
        <v>1</v>
      </c>
      <c r="CK271" t="s">
        <v>54</v>
      </c>
      <c r="CL271" t="s">
        <v>2666</v>
      </c>
      <c r="CM271">
        <f>HYPERLINK(".\links\GO\TI_asb-441-GO.txt",7E-45)</f>
        <v>7E-45</v>
      </c>
      <c r="CN271" t="s">
        <v>165</v>
      </c>
      <c r="CO271" t="s">
        <v>129</v>
      </c>
      <c r="CP271" t="s">
        <v>166</v>
      </c>
      <c r="CQ271" t="s">
        <v>167</v>
      </c>
      <c r="CR271" s="7">
        <v>2.0000000000000002E-43</v>
      </c>
      <c r="CS271" t="s">
        <v>74</v>
      </c>
      <c r="CT271" t="s">
        <v>75</v>
      </c>
      <c r="CU271" t="s">
        <v>76</v>
      </c>
      <c r="CV271" t="s">
        <v>77</v>
      </c>
      <c r="CW271" s="7">
        <v>2.0000000000000002E-43</v>
      </c>
      <c r="CX271" t="s">
        <v>301</v>
      </c>
      <c r="CY271" t="s">
        <v>129</v>
      </c>
      <c r="CZ271" t="s">
        <v>166</v>
      </c>
      <c r="DA271" t="s">
        <v>302</v>
      </c>
      <c r="DB271" s="7">
        <v>2.0000000000000002E-43</v>
      </c>
      <c r="DC271" t="str">
        <f>HYPERLINK(".\links\CDD\TI_asb-441-CDD.txt","proteasome_alph")</f>
        <v>proteasome_alph</v>
      </c>
      <c r="DD271" t="str">
        <f>HYPERLINK("http://www.ncbi.nlm.nih.gov/Structure/cdd/cddsrv.cgi?uid=cd03749&amp;version=v4.0","3E-053")</f>
        <v>3E-053</v>
      </c>
      <c r="DE271" t="s">
        <v>2667</v>
      </c>
      <c r="DF271" t="str">
        <f>HYPERLINK(".\links\PFAM\TI_asb-441-PFAM.txt","Proteasome")</f>
        <v>Proteasome</v>
      </c>
      <c r="DG271" t="str">
        <f>HYPERLINK("http://pfam.sanger.ac.uk/family?acc=PF00227","7E-034")</f>
        <v>7E-034</v>
      </c>
      <c r="DH271" t="str">
        <f>HYPERLINK(".\links\PRK\TI_asb-441-PRK.txt","proteasome subunit alpha")</f>
        <v>proteasome subunit alpha</v>
      </c>
      <c r="DI271" s="7">
        <v>1E-25</v>
      </c>
      <c r="DJ271" s="6" t="str">
        <f>HYPERLINK(".\links\KOG\TI_asb-441-KOG.txt","Nuclear protein, contains WD40 repeats")</f>
        <v>Nuclear protein, contains WD40 repeats</v>
      </c>
      <c r="DK271" s="6" t="str">
        <f>HYPERLINK("http://www.ncbi.nlm.nih.gov/COG/grace/shokog.cgi?KOG1916","0.0")</f>
        <v>0.0</v>
      </c>
      <c r="DL271" s="6" t="s">
        <v>4337</v>
      </c>
      <c r="DM271" s="6" t="str">
        <f>HYPERLINK(".\links\KOG\TI_asb-441-KOG.txt","KOG1916")</f>
        <v>KOG1916</v>
      </c>
      <c r="DN271" t="str">
        <f>HYPERLINK(".\links\SMART\TI_asb-441-SMART.txt","LITAF")</f>
        <v>LITAF</v>
      </c>
      <c r="DO271" t="str">
        <f>HYPERLINK("http://smart.embl-heidelberg.de/smart/do_annotation.pl?DOMAIN=LITAF&amp;BLAST=DUMMY","0.063")</f>
        <v>0.063</v>
      </c>
      <c r="DP271" s="3" t="s">
        <v>56</v>
      </c>
      <c r="ED271" s="3" t="s">
        <v>56</v>
      </c>
    </row>
    <row r="272" spans="1:147" s="26" customFormat="1">
      <c r="A272" s="26" t="str">
        <f>HYPERLINK(".\links\seq\TI_asb-445-seq.txt","TI_asb-445")</f>
        <v>TI_asb-445</v>
      </c>
      <c r="B272" s="26">
        <v>445</v>
      </c>
      <c r="C272" s="27" t="str">
        <f>HYPERLINK(".\links\tsa\TI_asb-445-tsa.txt","3")</f>
        <v>3</v>
      </c>
      <c r="D272" s="26">
        <v>3</v>
      </c>
      <c r="E272" s="26">
        <v>577</v>
      </c>
      <c r="F272" s="26">
        <v>544</v>
      </c>
      <c r="G272" s="26" t="str">
        <f>HYPERLINK(".\links\qual\TI_asb-445-qual.txt","81")</f>
        <v>81</v>
      </c>
      <c r="H272" s="26">
        <v>2</v>
      </c>
      <c r="I272" s="26">
        <v>1</v>
      </c>
      <c r="J272" s="26">
        <f t="shared" si="12"/>
        <v>1</v>
      </c>
      <c r="K272" s="26">
        <f t="shared" si="13"/>
        <v>1</v>
      </c>
      <c r="L272" s="26" t="s">
        <v>3933</v>
      </c>
      <c r="M272" s="26" t="s">
        <v>3934</v>
      </c>
      <c r="N272" s="26" t="s">
        <v>3864</v>
      </c>
      <c r="O272" s="28">
        <v>7.0000000000000001E-63</v>
      </c>
      <c r="P272" s="26">
        <v>6.6</v>
      </c>
      <c r="Q272" s="26">
        <v>577</v>
      </c>
      <c r="R272" s="26">
        <v>360</v>
      </c>
      <c r="S272" s="26" t="s">
        <v>3751</v>
      </c>
      <c r="T272" s="26">
        <v>2</v>
      </c>
      <c r="U272" s="26" t="str">
        <f>HYPERLINK(".\links\NR-LIGHT\TI_asb-445-NR-LIGHT.txt","nonstructural protein precursor")</f>
        <v>nonstructural protein precursor</v>
      </c>
      <c r="V272" s="26" t="str">
        <f>HYPERLINK("http://www.ncbi.nlm.nih.gov/sutils/blink.cgi?pid=20451029","7E-063")</f>
        <v>7E-063</v>
      </c>
      <c r="W272" s="26" t="str">
        <f>HYPERLINK(".\links\NR-LIGHT\TI_asb-445-NR-LIGHT.txt"," 10")</f>
        <v xml:space="preserve"> 10</v>
      </c>
      <c r="X272" s="26" t="str">
        <f>HYPERLINK("http://www.ncbi.nlm.nih.gov/protein/20451029","gi|20451029")</f>
        <v>gi|20451029</v>
      </c>
      <c r="Y272" s="26">
        <v>241</v>
      </c>
      <c r="Z272" s="26">
        <v>120</v>
      </c>
      <c r="AA272" s="26">
        <v>1795</v>
      </c>
      <c r="AB272" s="26">
        <v>97</v>
      </c>
      <c r="AC272" s="26">
        <v>7</v>
      </c>
      <c r="AD272" s="26">
        <v>3</v>
      </c>
      <c r="AE272" s="26">
        <v>0</v>
      </c>
      <c r="AF272" s="26">
        <v>1676</v>
      </c>
      <c r="AG272" s="26">
        <v>2</v>
      </c>
      <c r="AH272" s="26">
        <v>1</v>
      </c>
      <c r="AI272" s="26">
        <v>2</v>
      </c>
      <c r="AJ272" s="26" t="s">
        <v>53</v>
      </c>
      <c r="AK272" s="26" t="s">
        <v>54</v>
      </c>
      <c r="AL272" s="26" t="s">
        <v>137</v>
      </c>
      <c r="AM272" s="26" t="str">
        <f>HYPERLINK(".\links\SWISSP\TI_asb-445-SWISSP.txt","Replicase polyprotein OS=Drosophila C virus (strain EB) GN=ORF1 PE=4 SV=1")</f>
        <v>Replicase polyprotein OS=Drosophila C virus (strain EB) GN=ORF1 PE=4 SV=1</v>
      </c>
      <c r="AN272" s="29" t="str">
        <f>HYPERLINK("http://www.uniprot.org/uniprot/O36966","4E-008")</f>
        <v>4E-008</v>
      </c>
      <c r="AO272" s="26" t="str">
        <f>HYPERLINK(".\links\SWISSP\TI_asb-445-SWISSP.txt"," 10")</f>
        <v xml:space="preserve"> 10</v>
      </c>
      <c r="AP272" s="26" t="s">
        <v>2668</v>
      </c>
      <c r="AQ272" s="26">
        <v>58.2</v>
      </c>
      <c r="AR272" s="26">
        <v>79</v>
      </c>
      <c r="AS272" s="26">
        <v>1759</v>
      </c>
      <c r="AT272" s="26">
        <v>37</v>
      </c>
      <c r="AU272" s="26">
        <v>4</v>
      </c>
      <c r="AV272" s="26">
        <v>49</v>
      </c>
      <c r="AW272" s="26">
        <v>0</v>
      </c>
      <c r="AX272" s="26">
        <v>1648</v>
      </c>
      <c r="AY272" s="26">
        <v>11</v>
      </c>
      <c r="AZ272" s="26">
        <v>1</v>
      </c>
      <c r="BA272" s="26">
        <v>2</v>
      </c>
      <c r="BB272" s="26" t="s">
        <v>53</v>
      </c>
      <c r="BC272" s="26" t="s">
        <v>54</v>
      </c>
      <c r="BD272" s="26" t="s">
        <v>2669</v>
      </c>
      <c r="BE272" s="26" t="s">
        <v>2670</v>
      </c>
      <c r="BF272" s="26" t="s">
        <v>2671</v>
      </c>
      <c r="BG272" s="26" t="str">
        <f>HYPERLINK(".\links\PREV-RHOD-PEP\TI_asb-445-PREV-RHOD-PEP.txt","Contig11633_4")</f>
        <v>Contig11633_4</v>
      </c>
      <c r="BH272" s="26">
        <v>2</v>
      </c>
      <c r="BI272" s="26" t="str">
        <f>HYPERLINK(".\links\PREV-RHOD-PEP\TI_asb-445-PREV-RHOD-PEP.txt"," 9")</f>
        <v xml:space="preserve"> 9</v>
      </c>
      <c r="BJ272" s="26" t="s">
        <v>2672</v>
      </c>
      <c r="BK272" s="26">
        <v>28.5</v>
      </c>
      <c r="BL272" s="26">
        <v>76</v>
      </c>
      <c r="BM272" s="26">
        <v>235</v>
      </c>
      <c r="BN272" s="26">
        <v>25</v>
      </c>
      <c r="BO272" s="26">
        <v>32</v>
      </c>
      <c r="BP272" s="26">
        <v>57</v>
      </c>
      <c r="BQ272" s="26">
        <v>15</v>
      </c>
      <c r="BR272" s="26">
        <v>89</v>
      </c>
      <c r="BS272" s="26">
        <v>83</v>
      </c>
      <c r="BT272" s="26">
        <v>1</v>
      </c>
      <c r="BU272" s="26" t="s">
        <v>54</v>
      </c>
      <c r="BV272" s="26" t="s">
        <v>2673</v>
      </c>
      <c r="BW272" s="26" t="s">
        <v>56</v>
      </c>
      <c r="BX272" s="26" t="str">
        <f>HYPERLINK(".\links\PREV-RHOD-CDS\TI_asb-445-PREV-RHOD-CDS.txt","Contig17374_19")</f>
        <v>Contig17374_19</v>
      </c>
      <c r="BY272" s="26">
        <v>0.28000000000000003</v>
      </c>
      <c r="BZ272" s="26" t="s">
        <v>2674</v>
      </c>
      <c r="CA272" s="26">
        <v>36.200000000000003</v>
      </c>
      <c r="CB272" s="26">
        <v>17</v>
      </c>
      <c r="CC272" s="26">
        <v>315</v>
      </c>
      <c r="CD272" s="26">
        <v>100</v>
      </c>
      <c r="CE272" s="26">
        <v>6</v>
      </c>
      <c r="CF272" s="26">
        <v>0</v>
      </c>
      <c r="CG272" s="26">
        <v>0</v>
      </c>
      <c r="CH272" s="26">
        <v>166</v>
      </c>
      <c r="CI272" s="26">
        <v>176</v>
      </c>
      <c r="CJ272" s="26">
        <v>1</v>
      </c>
      <c r="CK272" s="26" t="s">
        <v>54</v>
      </c>
      <c r="CL272" s="26" t="s">
        <v>2675</v>
      </c>
      <c r="CM272" s="26">
        <f>HYPERLINK(".\links\GO\TI_asb-445-GO.txt",2.3)</f>
        <v>2.2999999999999998</v>
      </c>
      <c r="CN272" s="26" t="s">
        <v>208</v>
      </c>
      <c r="CO272" s="26" t="s">
        <v>185</v>
      </c>
      <c r="CP272" s="26" t="s">
        <v>186</v>
      </c>
      <c r="CQ272" s="26" t="s">
        <v>209</v>
      </c>
      <c r="CR272" s="26">
        <v>8.9</v>
      </c>
      <c r="CS272" s="26" t="s">
        <v>74</v>
      </c>
      <c r="CT272" s="26" t="s">
        <v>75</v>
      </c>
      <c r="CU272" s="26" t="s">
        <v>76</v>
      </c>
      <c r="CV272" s="26" t="s">
        <v>77</v>
      </c>
      <c r="CW272" s="26">
        <v>8.9</v>
      </c>
      <c r="CX272" s="26" t="s">
        <v>56</v>
      </c>
      <c r="CY272" s="26" t="s">
        <v>56</v>
      </c>
      <c r="CZ272" s="26" t="s">
        <v>56</v>
      </c>
      <c r="DA272" s="26" t="s">
        <v>56</v>
      </c>
      <c r="DB272" s="26" t="s">
        <v>56</v>
      </c>
      <c r="DC272" s="26" t="str">
        <f>HYPERLINK(".\links\CDD\TI_asb-445-CDD.txt","RNA_dep_RNAP")</f>
        <v>RNA_dep_RNAP</v>
      </c>
      <c r="DD272" s="26" t="str">
        <f>HYPERLINK("http://www.ncbi.nlm.nih.gov/Structure/cdd/cddsrv.cgi?uid=cd01699&amp;version=v4.0","2E-004")</f>
        <v>2E-004</v>
      </c>
      <c r="DE272" s="26" t="s">
        <v>2676</v>
      </c>
      <c r="DF272" s="26" t="str">
        <f>HYPERLINK(".\links\PFAM\TI_asb-445-PFAM.txt","RdRP_1")</f>
        <v>RdRP_1</v>
      </c>
      <c r="DG272" s="26" t="str">
        <f>HYPERLINK("http://pfam.sanger.ac.uk/family?acc=PF00680","0.036")</f>
        <v>0.036</v>
      </c>
      <c r="DH272" s="26" t="str">
        <f>HYPERLINK(".\links\PRK\TI_asb-445-PRK.txt","predicted protein")</f>
        <v>predicted protein</v>
      </c>
      <c r="DI272" s="26">
        <v>7.8E-2</v>
      </c>
      <c r="DJ272" s="26" t="s">
        <v>56</v>
      </c>
      <c r="DN272" s="26" t="str">
        <f>HYPERLINK(".\links\SMART\TI_asb-445-SMART.txt","CTLH")</f>
        <v>CTLH</v>
      </c>
      <c r="DO272" s="26" t="str">
        <f>HYPERLINK("http://smart.embl-heidelberg.de/smart/do_annotation.pl?DOMAIN=CTLH&amp;BLAST=DUMMY","0.049")</f>
        <v>0.049</v>
      </c>
      <c r="DP272" s="26" t="s">
        <v>56</v>
      </c>
      <c r="ED272" s="26" t="s">
        <v>56</v>
      </c>
    </row>
    <row r="273" spans="1:147" s="26" customFormat="1">
      <c r="A273" s="26" t="str">
        <f>HYPERLINK(".\links\seq\TI_asb-446-seq.txt","TI_asb-446")</f>
        <v>TI_asb-446</v>
      </c>
      <c r="B273" s="26">
        <v>446</v>
      </c>
      <c r="C273" s="27" t="str">
        <f>HYPERLINK(".\links\tsa\TI_asb-446-tsa.txt","1")</f>
        <v>1</v>
      </c>
      <c r="D273" s="26">
        <v>1</v>
      </c>
      <c r="E273" s="26">
        <v>428</v>
      </c>
      <c r="G273" s="26" t="str">
        <f>HYPERLINK(".\links\qual\TI_asb-446-qual.txt","43")</f>
        <v>43</v>
      </c>
      <c r="H273" s="26">
        <v>0</v>
      </c>
      <c r="I273" s="26">
        <v>1</v>
      </c>
      <c r="J273" s="26">
        <f t="shared" si="12"/>
        <v>1</v>
      </c>
      <c r="K273" s="26">
        <f t="shared" si="13"/>
        <v>-1</v>
      </c>
      <c r="L273" s="26" t="s">
        <v>3868</v>
      </c>
      <c r="M273" s="26" t="s">
        <v>3869</v>
      </c>
      <c r="Q273" s="26">
        <v>428</v>
      </c>
      <c r="R273" s="26">
        <v>120</v>
      </c>
      <c r="S273" s="26" t="s">
        <v>3752</v>
      </c>
      <c r="T273" s="26">
        <v>1</v>
      </c>
      <c r="U273" s="26" t="s">
        <v>56</v>
      </c>
      <c r="V273" s="26" t="s">
        <v>56</v>
      </c>
      <c r="W273" s="26" t="s">
        <v>56</v>
      </c>
      <c r="X273" s="26" t="s">
        <v>56</v>
      </c>
      <c r="Y273" s="26" t="s">
        <v>56</v>
      </c>
      <c r="Z273" s="26" t="s">
        <v>56</v>
      </c>
      <c r="AA273" s="26" t="s">
        <v>56</v>
      </c>
      <c r="AB273" s="26" t="s">
        <v>56</v>
      </c>
      <c r="AC273" s="26" t="s">
        <v>56</v>
      </c>
      <c r="AD273" s="26" t="s">
        <v>56</v>
      </c>
      <c r="AE273" s="26" t="s">
        <v>56</v>
      </c>
      <c r="AF273" s="26" t="s">
        <v>56</v>
      </c>
      <c r="AG273" s="26" t="s">
        <v>56</v>
      </c>
      <c r="AH273" s="26" t="s">
        <v>56</v>
      </c>
      <c r="AI273" s="26" t="s">
        <v>56</v>
      </c>
      <c r="AJ273" s="26" t="s">
        <v>56</v>
      </c>
      <c r="AK273" s="26" t="s">
        <v>56</v>
      </c>
      <c r="AL273" s="26" t="s">
        <v>56</v>
      </c>
      <c r="AM273" s="26" t="s">
        <v>56</v>
      </c>
      <c r="AN273" s="29" t="s">
        <v>56</v>
      </c>
      <c r="AO273" s="26" t="s">
        <v>56</v>
      </c>
      <c r="AP273" s="26" t="s">
        <v>56</v>
      </c>
      <c r="AQ273" s="26" t="s">
        <v>56</v>
      </c>
      <c r="AR273" s="26" t="s">
        <v>56</v>
      </c>
      <c r="AS273" s="26" t="s">
        <v>56</v>
      </c>
      <c r="AT273" s="26" t="s">
        <v>56</v>
      </c>
      <c r="AU273" s="26" t="s">
        <v>56</v>
      </c>
      <c r="AV273" s="26" t="s">
        <v>56</v>
      </c>
      <c r="AW273" s="26" t="s">
        <v>56</v>
      </c>
      <c r="AX273" s="26" t="s">
        <v>56</v>
      </c>
      <c r="AY273" s="26" t="s">
        <v>56</v>
      </c>
      <c r="AZ273" s="26" t="s">
        <v>56</v>
      </c>
      <c r="BA273" s="26" t="s">
        <v>56</v>
      </c>
      <c r="BB273" s="26" t="s">
        <v>56</v>
      </c>
      <c r="BC273" s="26" t="s">
        <v>56</v>
      </c>
      <c r="BD273" s="26" t="s">
        <v>56</v>
      </c>
      <c r="BE273" s="26" t="s">
        <v>56</v>
      </c>
      <c r="BF273" s="26" t="s">
        <v>56</v>
      </c>
      <c r="BG273" s="26" t="str">
        <f>HYPERLINK(".\links\PREV-RHOD-PEP\TI_asb-446-PREV-RHOD-PEP.txt","Contig17904_42")</f>
        <v>Contig17904_42</v>
      </c>
      <c r="BH273" s="26">
        <v>1.5</v>
      </c>
      <c r="BI273" s="26" t="str">
        <f>HYPERLINK(".\links\PREV-RHOD-PEP\TI_asb-446-PREV-RHOD-PEP.txt"," 2")</f>
        <v xml:space="preserve"> 2</v>
      </c>
      <c r="BJ273" s="26" t="s">
        <v>2677</v>
      </c>
      <c r="BK273" s="26">
        <v>28.1</v>
      </c>
      <c r="BL273" s="26">
        <v>24</v>
      </c>
      <c r="BM273" s="26">
        <v>61</v>
      </c>
      <c r="BN273" s="26">
        <v>50</v>
      </c>
      <c r="BO273" s="26">
        <v>39</v>
      </c>
      <c r="BP273" s="26">
        <v>12</v>
      </c>
      <c r="BQ273" s="26">
        <v>0</v>
      </c>
      <c r="BR273" s="26">
        <v>34</v>
      </c>
      <c r="BS273" s="26">
        <v>238</v>
      </c>
      <c r="BT273" s="26">
        <v>1</v>
      </c>
      <c r="BU273" s="26" t="s">
        <v>64</v>
      </c>
      <c r="BV273" s="26" t="s">
        <v>2678</v>
      </c>
      <c r="BW273" s="26" t="s">
        <v>56</v>
      </c>
      <c r="BX273" s="26" t="str">
        <f>HYPERLINK(".\links\PREV-RHOD-CDS\TI_asb-446-PREV-RHOD-CDS.txt","Contig17968_87")</f>
        <v>Contig17968_87</v>
      </c>
      <c r="BY273" s="26">
        <v>0.21</v>
      </c>
      <c r="BZ273" s="26" t="s">
        <v>2163</v>
      </c>
      <c r="CA273" s="26">
        <v>36.200000000000003</v>
      </c>
      <c r="CB273" s="26">
        <v>21</v>
      </c>
      <c r="CC273" s="26">
        <v>1815</v>
      </c>
      <c r="CD273" s="26">
        <v>95</v>
      </c>
      <c r="CE273" s="26">
        <v>1</v>
      </c>
      <c r="CF273" s="26">
        <v>1</v>
      </c>
      <c r="CG273" s="26">
        <v>0</v>
      </c>
      <c r="CH273" s="26">
        <v>1531</v>
      </c>
      <c r="CI273" s="26">
        <v>112</v>
      </c>
      <c r="CJ273" s="26">
        <v>1</v>
      </c>
      <c r="CK273" s="26" t="s">
        <v>64</v>
      </c>
      <c r="CL273" s="26" t="s">
        <v>56</v>
      </c>
      <c r="CM273" s="26" t="s">
        <v>56</v>
      </c>
      <c r="CN273" s="26" t="s">
        <v>56</v>
      </c>
      <c r="CO273" s="26" t="s">
        <v>56</v>
      </c>
      <c r="CP273" s="26" t="s">
        <v>56</v>
      </c>
      <c r="CQ273" s="26" t="s">
        <v>56</v>
      </c>
      <c r="CR273" s="26" t="s">
        <v>56</v>
      </c>
      <c r="CS273" s="26" t="s">
        <v>56</v>
      </c>
      <c r="CT273" s="26" t="s">
        <v>56</v>
      </c>
      <c r="CU273" s="26" t="s">
        <v>56</v>
      </c>
      <c r="CV273" s="26" t="s">
        <v>56</v>
      </c>
      <c r="CW273" s="26" t="s">
        <v>56</v>
      </c>
      <c r="CX273" s="26" t="s">
        <v>56</v>
      </c>
      <c r="CY273" s="26" t="s">
        <v>56</v>
      </c>
      <c r="CZ273" s="26" t="s">
        <v>56</v>
      </c>
      <c r="DA273" s="26" t="s">
        <v>56</v>
      </c>
      <c r="DB273" s="26" t="s">
        <v>56</v>
      </c>
      <c r="DC273" s="26" t="str">
        <f>HYPERLINK(".\links\CDD\TI_asb-446-CDD.txt","ND5")</f>
        <v>ND5</v>
      </c>
      <c r="DD273" s="26" t="str">
        <f>HYPERLINK("http://www.ncbi.nlm.nih.gov/Structure/cdd/cddsrv.cgi?uid=MTH00165&amp;version=v4.0","0.083")</f>
        <v>0.083</v>
      </c>
      <c r="DE273" s="26" t="s">
        <v>2679</v>
      </c>
      <c r="DF273" s="26" t="str">
        <f>HYPERLINK(".\links\PFAM\TI_asb-446-PFAM.txt","s48_45")</f>
        <v>s48_45</v>
      </c>
      <c r="DG273" s="26" t="str">
        <f>HYPERLINK("http://pfam.sanger.ac.uk/family?acc=PF07422","0.052")</f>
        <v>0.052</v>
      </c>
      <c r="DH273" s="26" t="str">
        <f>HYPERLINK(".\links\PRK\TI_asb-446-PRK.txt","NADH dehydrogenase subunit 5")</f>
        <v>NADH dehydrogenase subunit 5</v>
      </c>
      <c r="DI273" s="28">
        <v>2.0000000000000001E-4</v>
      </c>
      <c r="DJ273" s="26" t="s">
        <v>56</v>
      </c>
      <c r="DN273" s="26" t="s">
        <v>56</v>
      </c>
      <c r="DO273" s="26" t="s">
        <v>56</v>
      </c>
      <c r="DP273" s="26" t="s">
        <v>56</v>
      </c>
      <c r="ED273" s="26" t="str">
        <f>HYPERLINK(".\links\MIT-PLA\TI_asb-446-MIT-PLA.txt","Triatoma dimidiata mitochondrial DNA, complete genome")</f>
        <v>Triatoma dimidiata mitochondrial DNA, complete genome</v>
      </c>
      <c r="EE273" s="26" t="str">
        <f>HYPERLINK("http://www.ncbi.nlm.nih.gov/entrez/viewer.fcgi?db=nucleotide&amp;val=11139100","3E-009")</f>
        <v>3E-009</v>
      </c>
      <c r="EF273" s="26" t="str">
        <f>HYPERLINK("http://www.ncbi.nlm.nih.gov/entrez/viewer.fcgi?db=nucleotide&amp;val=11139100","gi|11139100")</f>
        <v>gi|11139100</v>
      </c>
      <c r="EG273" s="26">
        <v>61.9</v>
      </c>
      <c r="EH273" s="26">
        <v>147</v>
      </c>
      <c r="EI273" s="26">
        <v>17019</v>
      </c>
      <c r="EJ273" s="26">
        <v>91</v>
      </c>
      <c r="EK273" s="26">
        <v>1</v>
      </c>
      <c r="EL273" s="26">
        <v>4</v>
      </c>
      <c r="EM273" s="26">
        <v>0</v>
      </c>
      <c r="EN273" s="26">
        <v>13730</v>
      </c>
      <c r="EO273" s="26">
        <v>115</v>
      </c>
      <c r="EP273" s="26">
        <v>2</v>
      </c>
      <c r="EQ273" s="26" t="s">
        <v>64</v>
      </c>
    </row>
    <row r="274" spans="1:147">
      <c r="A274" t="str">
        <f>HYPERLINK(".\links\seq\TI_asb-447-seq.txt","TI_asb-447")</f>
        <v>TI_asb-447</v>
      </c>
      <c r="B274">
        <v>447</v>
      </c>
      <c r="C274" t="str">
        <f>HYPERLINK(".\links\tsa\TI_asb-447-tsa.txt","2")</f>
        <v>2</v>
      </c>
      <c r="D274">
        <v>2</v>
      </c>
      <c r="E274">
        <v>659</v>
      </c>
      <c r="G274" t="str">
        <f>HYPERLINK(".\links\qual\TI_asb-447-qual.txt","75")</f>
        <v>75</v>
      </c>
      <c r="H274">
        <v>0</v>
      </c>
      <c r="I274">
        <v>2</v>
      </c>
      <c r="J274">
        <f t="shared" si="12"/>
        <v>2</v>
      </c>
      <c r="K274" s="6">
        <f t="shared" si="13"/>
        <v>-2</v>
      </c>
      <c r="L274" s="6" t="s">
        <v>4047</v>
      </c>
      <c r="M274" s="6" t="s">
        <v>3883</v>
      </c>
      <c r="N274" s="6" t="s">
        <v>3872</v>
      </c>
      <c r="O274" s="7">
        <v>9.0000000000000004E-73</v>
      </c>
      <c r="P274" s="6">
        <v>69.599999999999994</v>
      </c>
      <c r="Q274" s="3">
        <v>659</v>
      </c>
      <c r="R274" s="3">
        <v>633</v>
      </c>
      <c r="S274" s="3" t="s">
        <v>3753</v>
      </c>
      <c r="T274" s="3">
        <v>1</v>
      </c>
      <c r="U274" t="str">
        <f>HYPERLINK(".\links\NR-LIGHT\TI_asb-447-NR-LIGHT.txt","triosephosphate isomerase")</f>
        <v>triosephosphate isomerase</v>
      </c>
      <c r="V274" t="str">
        <f>HYPERLINK("http://www.ncbi.nlm.nih.gov/sutils/blink.cgi?pid=45382061","3E-067")</f>
        <v>3E-067</v>
      </c>
      <c r="W274" t="str">
        <f>HYPERLINK(".\links\NR-LIGHT\TI_asb-447-NR-LIGHT.txt"," 10")</f>
        <v xml:space="preserve"> 10</v>
      </c>
      <c r="X274" t="str">
        <f>HYPERLINK("http://www.ncbi.nlm.nih.gov/protein/45382061","gi|45382061")</f>
        <v>gi|45382061</v>
      </c>
      <c r="Y274">
        <v>256</v>
      </c>
      <c r="Z274">
        <v>172</v>
      </c>
      <c r="AA274">
        <v>248</v>
      </c>
      <c r="AB274">
        <v>68</v>
      </c>
      <c r="AC274">
        <v>69</v>
      </c>
      <c r="AD274">
        <v>54</v>
      </c>
      <c r="AE274">
        <v>0</v>
      </c>
      <c r="AF274">
        <v>4</v>
      </c>
      <c r="AG274">
        <v>142</v>
      </c>
      <c r="AH274">
        <v>1</v>
      </c>
      <c r="AI274">
        <v>1</v>
      </c>
      <c r="AJ274" t="s">
        <v>53</v>
      </c>
      <c r="AK274" t="s">
        <v>54</v>
      </c>
      <c r="AL274" t="s">
        <v>159</v>
      </c>
      <c r="AM274" t="str">
        <f>HYPERLINK(".\links\SWISSP\TI_asb-447-SWISSP.txt","Triosephosphate isomerase OS=Gallus gallus GN=TPI1 PE=1 SV=2")</f>
        <v>Triosephosphate isomerase OS=Gallus gallus GN=TPI1 PE=1 SV=2</v>
      </c>
      <c r="AN274" s="19" t="str">
        <f>HYPERLINK("http://www.uniprot.org/uniprot/P00940","7E-068")</f>
        <v>7E-068</v>
      </c>
      <c r="AO274" t="str">
        <f>HYPERLINK(".\links\SWISSP\TI_asb-447-SWISSP.txt"," 10")</f>
        <v xml:space="preserve"> 10</v>
      </c>
      <c r="AP274" t="s">
        <v>2680</v>
      </c>
      <c r="AQ274">
        <v>256</v>
      </c>
      <c r="AR274">
        <v>172</v>
      </c>
      <c r="AS274">
        <v>248</v>
      </c>
      <c r="AT274">
        <v>68</v>
      </c>
      <c r="AU274">
        <v>69</v>
      </c>
      <c r="AV274">
        <v>54</v>
      </c>
      <c r="AW274">
        <v>0</v>
      </c>
      <c r="AX274">
        <v>4</v>
      </c>
      <c r="AY274">
        <v>142</v>
      </c>
      <c r="AZ274">
        <v>1</v>
      </c>
      <c r="BA274">
        <v>1</v>
      </c>
      <c r="BB274" t="s">
        <v>53</v>
      </c>
      <c r="BC274" t="s">
        <v>54</v>
      </c>
      <c r="BD274" t="s">
        <v>159</v>
      </c>
      <c r="BE274" t="s">
        <v>2681</v>
      </c>
      <c r="BF274" t="s">
        <v>2682</v>
      </c>
      <c r="BG274" t="str">
        <f>HYPERLINK(".\links\PREV-RHOD-PEP\TI_asb-447-PREV-RHOD-PEP.txt","Contig18070_346")</f>
        <v>Contig18070_346</v>
      </c>
      <c r="BH274" s="7">
        <v>9.9999999999999996E-83</v>
      </c>
      <c r="BI274" t="str">
        <f>HYPERLINK(".\links\PREV-RHOD-PEP\TI_asb-447-PREV-RHOD-PEP.txt"," 10")</f>
        <v xml:space="preserve"> 10</v>
      </c>
      <c r="BJ274" t="s">
        <v>2683</v>
      </c>
      <c r="BK274">
        <v>301</v>
      </c>
      <c r="BL274">
        <v>173</v>
      </c>
      <c r="BM274">
        <v>248</v>
      </c>
      <c r="BN274">
        <v>81</v>
      </c>
      <c r="BO274">
        <v>70</v>
      </c>
      <c r="BP274">
        <v>32</v>
      </c>
      <c r="BQ274">
        <v>0</v>
      </c>
      <c r="BR274">
        <v>1</v>
      </c>
      <c r="BS274">
        <v>139</v>
      </c>
      <c r="BT274">
        <v>1</v>
      </c>
      <c r="BU274" t="s">
        <v>54</v>
      </c>
      <c r="BV274" t="s">
        <v>2684</v>
      </c>
      <c r="BW274" t="s">
        <v>56</v>
      </c>
      <c r="BX274" t="str">
        <f>HYPERLINK(".\links\PREV-RHOD-CDS\TI_asb-447-PREV-RHOD-CDS.txt","Contig18070_346")</f>
        <v>Contig18070_346</v>
      </c>
      <c r="BY274" s="7">
        <v>1.9999999999999999E-67</v>
      </c>
      <c r="BZ274" t="s">
        <v>2683</v>
      </c>
      <c r="CA274">
        <v>256</v>
      </c>
      <c r="CB274">
        <v>520</v>
      </c>
      <c r="CC274">
        <v>747</v>
      </c>
      <c r="CD274">
        <v>81</v>
      </c>
      <c r="CE274">
        <v>70</v>
      </c>
      <c r="CF274">
        <v>98</v>
      </c>
      <c r="CG274">
        <v>0</v>
      </c>
      <c r="CH274">
        <v>1</v>
      </c>
      <c r="CI274">
        <v>139</v>
      </c>
      <c r="CJ274">
        <v>1</v>
      </c>
      <c r="CK274" t="s">
        <v>54</v>
      </c>
      <c r="CL274" t="s">
        <v>2685</v>
      </c>
      <c r="CM274">
        <f>HYPERLINK(".\links\GO\TI_asb-447-GO.txt",2E-65)</f>
        <v>1.9999999999999998E-65</v>
      </c>
      <c r="CN274" t="s">
        <v>2686</v>
      </c>
      <c r="CO274" t="s">
        <v>129</v>
      </c>
      <c r="CP274" t="s">
        <v>1939</v>
      </c>
      <c r="CQ274" t="s">
        <v>2687</v>
      </c>
      <c r="CR274" s="7">
        <v>1.9999999999999998E-65</v>
      </c>
      <c r="CS274" t="s">
        <v>1061</v>
      </c>
      <c r="CT274" t="s">
        <v>75</v>
      </c>
      <c r="CU274" t="s">
        <v>555</v>
      </c>
      <c r="CV274" t="s">
        <v>1062</v>
      </c>
      <c r="CW274" s="7">
        <v>1.9999999999999998E-65</v>
      </c>
      <c r="CX274" t="s">
        <v>2688</v>
      </c>
      <c r="CY274" t="s">
        <v>129</v>
      </c>
      <c r="CZ274" t="s">
        <v>1939</v>
      </c>
      <c r="DA274" t="s">
        <v>2689</v>
      </c>
      <c r="DB274" s="7">
        <v>1.9999999999999998E-65</v>
      </c>
      <c r="DC274" t="str">
        <f>HYPERLINK(".\links\CDD\TI_asb-447-CDD.txt","tpiA")</f>
        <v>tpiA</v>
      </c>
      <c r="DD274" t="str">
        <f>HYPERLINK("http://www.ncbi.nlm.nih.gov/Structure/cdd/cddsrv.cgi?uid=PRK00042&amp;version=v4.0","4E-064")</f>
        <v>4E-064</v>
      </c>
      <c r="DE274" t="s">
        <v>2690</v>
      </c>
      <c r="DF274" t="str">
        <f>HYPERLINK(".\links\PFAM\TI_asb-447-PFAM.txt","TIM")</f>
        <v>TIM</v>
      </c>
      <c r="DG274" t="str">
        <f>HYPERLINK("http://pfam.sanger.ac.uk/family?acc=PF00121","2E-062")</f>
        <v>2E-062</v>
      </c>
      <c r="DH274" t="str">
        <f>HYPERLINK(".\links\PRK\TI_asb-447-PRK.txt","triosephosphate isomerase")</f>
        <v>triosephosphate isomerase</v>
      </c>
      <c r="DI274" s="7">
        <v>7.0000000000000001E-66</v>
      </c>
      <c r="DJ274" s="6" t="str">
        <f>HYPERLINK(".\links\KOG\TI_asb-447-KOG.txt","Triosephosphate isomerase")</f>
        <v>Triosephosphate isomerase</v>
      </c>
      <c r="DK274" s="6" t="str">
        <f>HYPERLINK("http://www.ncbi.nlm.nih.gov/COG/grace/shokog.cgi?KOG1643","9E-073")</f>
        <v>9E-073</v>
      </c>
      <c r="DL274" s="6" t="s">
        <v>4341</v>
      </c>
      <c r="DM274" s="6" t="str">
        <f>HYPERLINK(".\links\KOG\TI_asb-447-KOG.txt","KOG1643")</f>
        <v>KOG1643</v>
      </c>
      <c r="DN274" t="str">
        <f>HYPERLINK(".\links\SMART\TI_asb-447-SMART.txt","LPD_N")</f>
        <v>LPD_N</v>
      </c>
      <c r="DO274" t="str">
        <f>HYPERLINK("http://smart.embl-heidelberg.de/smart/do_annotation.pl?DOMAIN=LPD_N&amp;BLAST=DUMMY","0.036")</f>
        <v>0.036</v>
      </c>
      <c r="DP274" s="3" t="s">
        <v>56</v>
      </c>
      <c r="ED274" s="3" t="s">
        <v>56</v>
      </c>
    </row>
    <row r="275" spans="1:147">
      <c r="A275" t="str">
        <f>HYPERLINK(".\links\seq\TI_asb-448-seq.txt","TI_asb-448")</f>
        <v>TI_asb-448</v>
      </c>
      <c r="B275">
        <v>448</v>
      </c>
      <c r="C275" t="str">
        <f>HYPERLINK(".\links\tsa\TI_asb-448-tsa.txt","2")</f>
        <v>2</v>
      </c>
      <c r="D275">
        <v>2</v>
      </c>
      <c r="E275">
        <v>876</v>
      </c>
      <c r="F275">
        <v>762</v>
      </c>
      <c r="G275" t="str">
        <f>HYPERLINK(".\links\qual\TI_asb-448-qual.txt","62")</f>
        <v>62</v>
      </c>
      <c r="H275">
        <v>1</v>
      </c>
      <c r="I275">
        <v>1</v>
      </c>
      <c r="J275">
        <f t="shared" si="12"/>
        <v>0</v>
      </c>
      <c r="K275" s="6">
        <f t="shared" si="13"/>
        <v>0</v>
      </c>
      <c r="L275" s="6" t="s">
        <v>3868</v>
      </c>
      <c r="M275" s="6" t="s">
        <v>3869</v>
      </c>
      <c r="N275" s="6"/>
      <c r="O275" s="6"/>
      <c r="P275" s="6"/>
      <c r="Q275" s="3">
        <v>876</v>
      </c>
      <c r="R275" s="3">
        <v>693</v>
      </c>
      <c r="S275" s="6" t="s">
        <v>3754</v>
      </c>
      <c r="T275" s="3">
        <v>2</v>
      </c>
      <c r="U275" t="str">
        <f>HYPERLINK(".\links\NR-LIGHT\TI_asb-448-NR-LIGHT.txt","aldehyde dehydrogenase 2, like")</f>
        <v>aldehyde dehydrogenase 2, like</v>
      </c>
      <c r="V275" t="str">
        <f>HYPERLINK("http://www.ncbi.nlm.nih.gov/sutils/blink.cgi?pid=292614411","6.8")</f>
        <v>6.8</v>
      </c>
      <c r="W275" t="str">
        <f>HYPERLINK(".\links\NR-LIGHT\TI_asb-448-NR-LIGHT.txt"," 8")</f>
        <v xml:space="preserve"> 8</v>
      </c>
      <c r="X275" t="str">
        <f>HYPERLINK("http://www.ncbi.nlm.nih.gov/protein/292614411","gi|292614411")</f>
        <v>gi|292614411</v>
      </c>
      <c r="Y275">
        <v>33.9</v>
      </c>
      <c r="Z275">
        <v>46</v>
      </c>
      <c r="AA275">
        <v>516</v>
      </c>
      <c r="AB275">
        <v>34</v>
      </c>
      <c r="AC275">
        <v>9</v>
      </c>
      <c r="AD275">
        <v>30</v>
      </c>
      <c r="AE275">
        <v>2</v>
      </c>
      <c r="AF275">
        <v>326</v>
      </c>
      <c r="AG275">
        <v>74</v>
      </c>
      <c r="AH275">
        <v>1</v>
      </c>
      <c r="AI275">
        <v>2</v>
      </c>
      <c r="AJ275" t="s">
        <v>53</v>
      </c>
      <c r="AK275" t="s">
        <v>54</v>
      </c>
      <c r="AL275" t="s">
        <v>202</v>
      </c>
      <c r="AM275" t="str">
        <f>HYPERLINK(".\links\SWISSP\TI_asb-448-SWISSP.txt","Actin-related protein 9 OS=Oryza sativa subsp. japonica GN=ARP9 PE=2 SV=1")</f>
        <v>Actin-related protein 9 OS=Oryza sativa subsp. japonica GN=ARP9 PE=2 SV=1</v>
      </c>
      <c r="AN275" s="19" t="str">
        <f>HYPERLINK("http://www.uniprot.org/uniprot/Q0JF03","0.23")</f>
        <v>0.23</v>
      </c>
      <c r="AO275" t="str">
        <f>HYPERLINK(".\links\SWISSP\TI_asb-448-SWISSP.txt"," 5")</f>
        <v xml:space="preserve"> 5</v>
      </c>
      <c r="AP275" t="s">
        <v>2691</v>
      </c>
      <c r="AQ275">
        <v>36.6</v>
      </c>
      <c r="AR275">
        <v>118</v>
      </c>
      <c r="AS275">
        <v>586</v>
      </c>
      <c r="AT275">
        <v>26</v>
      </c>
      <c r="AU275">
        <v>20</v>
      </c>
      <c r="AV275">
        <v>87</v>
      </c>
      <c r="AW275">
        <v>14</v>
      </c>
      <c r="AX275">
        <v>123</v>
      </c>
      <c r="AY275">
        <v>68</v>
      </c>
      <c r="AZ275">
        <v>1</v>
      </c>
      <c r="BA275">
        <v>2</v>
      </c>
      <c r="BB275" t="s">
        <v>53</v>
      </c>
      <c r="BC275" t="s">
        <v>54</v>
      </c>
      <c r="BD275" t="s">
        <v>2692</v>
      </c>
      <c r="BE275" t="s">
        <v>2693</v>
      </c>
      <c r="BF275" t="s">
        <v>2694</v>
      </c>
      <c r="BG275" t="str">
        <f>HYPERLINK(".\links\PREV-RHOD-PEP\TI_asb-448-PREV-RHOD-PEP.txt","Contig17914_3")</f>
        <v>Contig17914_3</v>
      </c>
      <c r="BH275" s="7">
        <v>6.0000000000000001E-64</v>
      </c>
      <c r="BI275" t="str">
        <f>HYPERLINK(".\links\PREV-RHOD-PEP\TI_asb-448-PREV-RHOD-PEP.txt"," 10")</f>
        <v xml:space="preserve"> 10</v>
      </c>
      <c r="BJ275" t="s">
        <v>2695</v>
      </c>
      <c r="BK275">
        <v>240</v>
      </c>
      <c r="BL275">
        <v>226</v>
      </c>
      <c r="BM275">
        <v>225</v>
      </c>
      <c r="BN275">
        <v>51</v>
      </c>
      <c r="BO275">
        <v>100</v>
      </c>
      <c r="BP275">
        <v>110</v>
      </c>
      <c r="BQ275">
        <v>0</v>
      </c>
      <c r="BR275">
        <v>1</v>
      </c>
      <c r="BS275">
        <v>8</v>
      </c>
      <c r="BT275">
        <v>1</v>
      </c>
      <c r="BU275" t="s">
        <v>54</v>
      </c>
      <c r="BV275" t="s">
        <v>2696</v>
      </c>
      <c r="BW275" t="s">
        <v>439</v>
      </c>
      <c r="BX275" t="str">
        <f>HYPERLINK(".\links\PREV-RHOD-CDS\TI_asb-448-PREV-RHOD-CDS.txt","Contig17914_2")</f>
        <v>Contig17914_2</v>
      </c>
      <c r="BY275" s="7">
        <v>4.9999999999999999E-13</v>
      </c>
      <c r="BZ275" t="s">
        <v>2697</v>
      </c>
      <c r="CA275">
        <v>75.8</v>
      </c>
      <c r="CB275">
        <v>944</v>
      </c>
      <c r="CC275">
        <v>1323</v>
      </c>
      <c r="CD275">
        <v>89</v>
      </c>
      <c r="CE275">
        <v>71</v>
      </c>
      <c r="CF275">
        <v>7</v>
      </c>
      <c r="CG275">
        <v>0</v>
      </c>
      <c r="CH275">
        <v>55</v>
      </c>
      <c r="CI275">
        <v>65</v>
      </c>
      <c r="CJ275">
        <v>4</v>
      </c>
      <c r="CK275" t="s">
        <v>54</v>
      </c>
      <c r="CL275" t="s">
        <v>2698</v>
      </c>
      <c r="CM275">
        <f>HYPERLINK(".\links\GO\TI_asb-448-GO.txt",0.73)</f>
        <v>0.73</v>
      </c>
      <c r="CN275" t="s">
        <v>2699</v>
      </c>
      <c r="CO275" t="s">
        <v>129</v>
      </c>
      <c r="CP275" t="s">
        <v>130</v>
      </c>
      <c r="CQ275" t="s">
        <v>2700</v>
      </c>
      <c r="CR275" s="6">
        <v>0.73</v>
      </c>
      <c r="CS275" t="s">
        <v>60</v>
      </c>
      <c r="CT275" t="s">
        <v>60</v>
      </c>
      <c r="CV275" t="s">
        <v>61</v>
      </c>
      <c r="CW275" s="6">
        <v>0.73</v>
      </c>
      <c r="CX275" t="s">
        <v>2701</v>
      </c>
      <c r="CY275" t="s">
        <v>129</v>
      </c>
      <c r="CZ275" t="s">
        <v>130</v>
      </c>
      <c r="DA275" t="s">
        <v>2702</v>
      </c>
      <c r="DB275" s="6">
        <v>0.73</v>
      </c>
      <c r="DC275" t="s">
        <v>56</v>
      </c>
      <c r="DD275" t="s">
        <v>56</v>
      </c>
      <c r="DE275" t="s">
        <v>56</v>
      </c>
      <c r="DF275" t="s">
        <v>56</v>
      </c>
      <c r="DG275" t="s">
        <v>56</v>
      </c>
      <c r="DH275" t="str">
        <f>HYPERLINK(".\links\PRK\TI_asb-448-PRK.txt","coproporphyrinogen III oxidase")</f>
        <v>coproporphyrinogen III oxidase</v>
      </c>
      <c r="DI275" s="6">
        <v>8.7999999999999995E-2</v>
      </c>
      <c r="DJ275" s="6" t="s">
        <v>56</v>
      </c>
      <c r="DN275" t="str">
        <f>HYPERLINK(".\links\SMART\TI_asb-448-SMART.txt","STE")</f>
        <v>STE</v>
      </c>
      <c r="DO275" t="str">
        <f>HYPERLINK("http://smart.embl-heidelberg.de/smart/do_annotation.pl?DOMAIN=STE&amp;BLAST=DUMMY","0.095")</f>
        <v>0.095</v>
      </c>
      <c r="DP275" s="3" t="s">
        <v>56</v>
      </c>
      <c r="ED275" s="3" t="s">
        <v>56</v>
      </c>
    </row>
    <row r="276" spans="1:147" s="26" customFormat="1">
      <c r="A276" s="26" t="str">
        <f>HYPERLINK(".\links\seq\TI_asb-449-seq.txt","TI_asb-449")</f>
        <v>TI_asb-449</v>
      </c>
      <c r="B276" s="26">
        <v>449</v>
      </c>
      <c r="C276" s="27" t="str">
        <f>HYPERLINK(".\links\tsa\TI_asb-449-tsa.txt","2")</f>
        <v>2</v>
      </c>
      <c r="D276" s="26">
        <v>2</v>
      </c>
      <c r="E276" s="26">
        <v>537</v>
      </c>
      <c r="G276" s="26" t="str">
        <f>HYPERLINK(".\links\qual\TI_asb-449-qual.txt","55")</f>
        <v>55</v>
      </c>
      <c r="H276" s="26">
        <v>2</v>
      </c>
      <c r="I276" s="26">
        <v>0</v>
      </c>
      <c r="J276" s="26">
        <f t="shared" ref="J276:J314" si="14">ABS(H276-I276)</f>
        <v>2</v>
      </c>
      <c r="K276" s="26">
        <f t="shared" ref="K276:K314" si="15">H276-I276</f>
        <v>2</v>
      </c>
      <c r="L276" s="26" t="s">
        <v>4048</v>
      </c>
      <c r="M276" s="26" t="s">
        <v>3871</v>
      </c>
      <c r="N276" s="26" t="s">
        <v>3867</v>
      </c>
      <c r="O276" s="28">
        <v>4.0000000000000001E-46</v>
      </c>
      <c r="P276" s="26">
        <v>49.4</v>
      </c>
      <c r="Q276" s="26">
        <v>537</v>
      </c>
      <c r="R276" s="26">
        <v>447</v>
      </c>
      <c r="S276" s="26" t="s">
        <v>3755</v>
      </c>
      <c r="T276" s="26">
        <v>3</v>
      </c>
      <c r="U276" s="26" t="str">
        <f>HYPERLINK(".\links\NR-LIGHT\TI_asb-449-NR-LIGHT.txt","similar to AGAP011050-PA")</f>
        <v>similar to AGAP011050-PA</v>
      </c>
      <c r="V276" s="26" t="str">
        <f>HYPERLINK("http://www.ncbi.nlm.nih.gov/sutils/blink.cgi?pid=193601268","2E-040")</f>
        <v>2E-040</v>
      </c>
      <c r="W276" s="26" t="str">
        <f>HYPERLINK(".\links\NR-LIGHT\TI_asb-449-NR-LIGHT.txt"," 10")</f>
        <v xml:space="preserve"> 10</v>
      </c>
      <c r="X276" s="26" t="str">
        <f>HYPERLINK("http://www.ncbi.nlm.nih.gov/protein/193601268","gi|193601268")</f>
        <v>gi|193601268</v>
      </c>
      <c r="Y276" s="26">
        <v>166</v>
      </c>
      <c r="Z276" s="26">
        <v>158</v>
      </c>
      <c r="AA276" s="26">
        <v>320</v>
      </c>
      <c r="AB276" s="26">
        <v>54</v>
      </c>
      <c r="AC276" s="26">
        <v>49</v>
      </c>
      <c r="AD276" s="26">
        <v>72</v>
      </c>
      <c r="AE276" s="26">
        <v>0</v>
      </c>
      <c r="AF276" s="26">
        <v>164</v>
      </c>
      <c r="AG276" s="26">
        <v>3</v>
      </c>
      <c r="AH276" s="26">
        <v>1</v>
      </c>
      <c r="AI276" s="26">
        <v>3</v>
      </c>
      <c r="AJ276" s="26" t="s">
        <v>53</v>
      </c>
      <c r="AK276" s="26" t="s">
        <v>54</v>
      </c>
      <c r="AL276" s="26" t="s">
        <v>177</v>
      </c>
      <c r="AM276" s="26" t="str">
        <f>HYPERLINK(".\links\SWISSP\TI_asb-449-SWISSP.txt","Aldose reductase OS=Bos taurus GN=AKR1B1 PE=1 SV=1")</f>
        <v>Aldose reductase OS=Bos taurus GN=AKR1B1 PE=1 SV=1</v>
      </c>
      <c r="AN276" s="29" t="str">
        <f>HYPERLINK("http://www.uniprot.org/uniprot/P16116","2E-034")</f>
        <v>2E-034</v>
      </c>
      <c r="AO276" s="26" t="str">
        <f>HYPERLINK(".\links\SWISSP\TI_asb-449-SWISSP.txt"," 10")</f>
        <v xml:space="preserve"> 10</v>
      </c>
      <c r="AP276" s="26" t="s">
        <v>2703</v>
      </c>
      <c r="AQ276" s="26">
        <v>144</v>
      </c>
      <c r="AR276" s="26">
        <v>160</v>
      </c>
      <c r="AS276" s="26">
        <v>315</v>
      </c>
      <c r="AT276" s="26">
        <v>48</v>
      </c>
      <c r="AU276" s="26">
        <v>51</v>
      </c>
      <c r="AV276" s="26">
        <v>83</v>
      </c>
      <c r="AW276" s="26">
        <v>2</v>
      </c>
      <c r="AX276" s="26">
        <v>157</v>
      </c>
      <c r="AY276" s="26">
        <v>3</v>
      </c>
      <c r="AZ276" s="26">
        <v>1</v>
      </c>
      <c r="BA276" s="26">
        <v>3</v>
      </c>
      <c r="BB276" s="26" t="s">
        <v>53</v>
      </c>
      <c r="BC276" s="26" t="s">
        <v>54</v>
      </c>
      <c r="BD276" s="26" t="s">
        <v>113</v>
      </c>
      <c r="BE276" s="26" t="s">
        <v>2704</v>
      </c>
      <c r="BF276" s="26" t="s">
        <v>2705</v>
      </c>
      <c r="BG276" s="26" t="str">
        <f>HYPERLINK(".\links\PREV-RHOD-PEP\TI_asb-449-PREV-RHOD-PEP.txt","Contig5015_1")</f>
        <v>Contig5015_1</v>
      </c>
      <c r="BH276" s="28">
        <v>1E-62</v>
      </c>
      <c r="BI276" s="26" t="str">
        <f>HYPERLINK(".\links\PREV-RHOD-PEP\TI_asb-449-PREV-RHOD-PEP.txt"," 7")</f>
        <v xml:space="preserve"> 7</v>
      </c>
      <c r="BJ276" s="26" t="s">
        <v>2706</v>
      </c>
      <c r="BK276" s="26">
        <v>235</v>
      </c>
      <c r="BL276" s="26">
        <v>158</v>
      </c>
      <c r="BM276" s="26">
        <v>313</v>
      </c>
      <c r="BN276" s="26">
        <v>76</v>
      </c>
      <c r="BO276" s="26">
        <v>50</v>
      </c>
      <c r="BP276" s="26">
        <v>37</v>
      </c>
      <c r="BQ276" s="26">
        <v>0</v>
      </c>
      <c r="BR276" s="26">
        <v>160</v>
      </c>
      <c r="BS276" s="26">
        <v>3</v>
      </c>
      <c r="BT276" s="26">
        <v>1</v>
      </c>
      <c r="BU276" s="26" t="s">
        <v>54</v>
      </c>
      <c r="BV276" s="26" t="s">
        <v>2707</v>
      </c>
      <c r="BW276" s="26" t="s">
        <v>56</v>
      </c>
      <c r="BX276" s="26" t="str">
        <f>HYPERLINK(".\links\PREV-RHOD-CDS\TI_asb-449-PREV-RHOD-CDS.txt","Contig5015_1")</f>
        <v>Contig5015_1</v>
      </c>
      <c r="BY276" s="28">
        <v>1.9999999999999999E-94</v>
      </c>
      <c r="BZ276" s="26" t="s">
        <v>2706</v>
      </c>
      <c r="CA276" s="26">
        <v>345</v>
      </c>
      <c r="CB276" s="26">
        <v>433</v>
      </c>
      <c r="CC276" s="26">
        <v>942</v>
      </c>
      <c r="CD276" s="26">
        <v>85</v>
      </c>
      <c r="CE276" s="26">
        <v>46</v>
      </c>
      <c r="CF276" s="26">
        <v>65</v>
      </c>
      <c r="CG276" s="26">
        <v>0</v>
      </c>
      <c r="CH276" s="26">
        <v>478</v>
      </c>
      <c r="CI276" s="26">
        <v>3</v>
      </c>
      <c r="CJ276" s="26">
        <v>1</v>
      </c>
      <c r="CK276" s="26" t="s">
        <v>54</v>
      </c>
      <c r="CL276" s="26" t="s">
        <v>2708</v>
      </c>
      <c r="CM276" s="26">
        <f>HYPERLINK(".\links\GO\TI_asb-449-GO.txt",9E-36)</f>
        <v>9.0000000000000005E-36</v>
      </c>
      <c r="CN276" s="26" t="s">
        <v>2709</v>
      </c>
      <c r="CO276" s="26" t="s">
        <v>129</v>
      </c>
      <c r="CP276" s="26" t="s">
        <v>130</v>
      </c>
      <c r="CQ276" s="26" t="s">
        <v>2710</v>
      </c>
      <c r="CR276" s="28">
        <v>8.9999999999999998E-33</v>
      </c>
      <c r="CS276" s="26" t="s">
        <v>1136</v>
      </c>
      <c r="CT276" s="26" t="s">
        <v>540</v>
      </c>
      <c r="CU276" s="26" t="s">
        <v>1137</v>
      </c>
      <c r="CV276" s="26" t="s">
        <v>1138</v>
      </c>
      <c r="CW276" s="28">
        <v>8.9999999999999998E-33</v>
      </c>
      <c r="CX276" s="26" t="s">
        <v>2711</v>
      </c>
      <c r="CY276" s="26" t="s">
        <v>129</v>
      </c>
      <c r="CZ276" s="26" t="s">
        <v>130</v>
      </c>
      <c r="DA276" s="26" t="s">
        <v>2712</v>
      </c>
      <c r="DB276" s="28">
        <v>8.9999999999999998E-33</v>
      </c>
      <c r="DC276" s="26" t="str">
        <f>HYPERLINK(".\links\CDD\TI_asb-449-CDD.txt","Aldo_ket_red")</f>
        <v>Aldo_ket_red</v>
      </c>
      <c r="DD276" s="26" t="str">
        <f>HYPERLINK("http://www.ncbi.nlm.nih.gov/Structure/cdd/cddsrv.cgi?uid=pfam00248&amp;version=v4.0","2E-045")</f>
        <v>2E-045</v>
      </c>
      <c r="DE276" s="26" t="s">
        <v>2713</v>
      </c>
      <c r="DF276" s="26" t="str">
        <f>HYPERLINK(".\links\PFAM\TI_asb-449-PFAM.txt","Aldo_ket_red")</f>
        <v>Aldo_ket_red</v>
      </c>
      <c r="DG276" s="26" t="str">
        <f>HYPERLINK("http://pfam.sanger.ac.uk/family?acc=PF00248","4E-046")</f>
        <v>4E-046</v>
      </c>
      <c r="DH276" s="26" t="str">
        <f>HYPERLINK(".\links\PRK\TI_asb-449-PRK.txt","5-diketo-D-gluconate reductase A")</f>
        <v>5-diketo-D-gluconate reductase A</v>
      </c>
      <c r="DI276" s="28">
        <v>8.0000000000000003E-25</v>
      </c>
      <c r="DJ276" s="26" t="str">
        <f>HYPERLINK(".\links\KOG\TI_asb-449-KOG.txt","Aldo/keto reductase family proteins")</f>
        <v>Aldo/keto reductase family proteins</v>
      </c>
      <c r="DK276" s="26" t="str">
        <f>HYPERLINK("http://www.ncbi.nlm.nih.gov/COG/grace/shokog.cgi?KOG1577","3E-048")</f>
        <v>3E-048</v>
      </c>
      <c r="DL276" s="26" t="s">
        <v>4337</v>
      </c>
      <c r="DM276" s="26" t="str">
        <f>HYPERLINK(".\links\KOG\TI_asb-449-KOG.txt","KOG1577")</f>
        <v>KOG1577</v>
      </c>
      <c r="DN276" s="26" t="s">
        <v>56</v>
      </c>
      <c r="DO276" s="26" t="s">
        <v>56</v>
      </c>
      <c r="DP276" s="26" t="s">
        <v>56</v>
      </c>
      <c r="ED276" s="26" t="s">
        <v>56</v>
      </c>
    </row>
    <row r="277" spans="1:147">
      <c r="A277" t="str">
        <f>HYPERLINK(".\links\seq\TI_asb-450-seq.txt","TI_asb-450")</f>
        <v>TI_asb-450</v>
      </c>
      <c r="B277">
        <v>450</v>
      </c>
      <c r="C277" t="str">
        <f>HYPERLINK(".\links\tsa\TI_asb-450-tsa.txt","2")</f>
        <v>2</v>
      </c>
      <c r="D277">
        <v>2</v>
      </c>
      <c r="E277">
        <v>646</v>
      </c>
      <c r="F277">
        <v>613</v>
      </c>
      <c r="G277" t="str">
        <f>HYPERLINK(".\links\qual\TI_asb-450-qual.txt","67")</f>
        <v>67</v>
      </c>
      <c r="H277">
        <v>0</v>
      </c>
      <c r="I277">
        <v>2</v>
      </c>
      <c r="J277">
        <f t="shared" si="14"/>
        <v>2</v>
      </c>
      <c r="K277" s="6">
        <f t="shared" si="15"/>
        <v>-2</v>
      </c>
      <c r="L277" s="6" t="s">
        <v>4049</v>
      </c>
      <c r="M277" s="6" t="s">
        <v>3866</v>
      </c>
      <c r="N277" s="6" t="s">
        <v>3864</v>
      </c>
      <c r="O277" s="7">
        <v>4.9999999999999999E-48</v>
      </c>
      <c r="P277" s="6">
        <v>79.7</v>
      </c>
      <c r="Q277" s="3">
        <v>646</v>
      </c>
      <c r="R277" s="3">
        <v>513</v>
      </c>
      <c r="S277" s="3" t="s">
        <v>3756</v>
      </c>
      <c r="T277" s="3">
        <v>3</v>
      </c>
      <c r="U277" t="str">
        <f>HYPERLINK(".\links\NR-LIGHT\TI_asb-450-NR-LIGHT.txt","similar to ribosomal protein L35Ae")</f>
        <v>similar to ribosomal protein L35Ae</v>
      </c>
      <c r="V277" t="str">
        <f>HYPERLINK("http://www.ncbi.nlm.nih.gov/sutils/blink.cgi?pid=91094995","5E-048")</f>
        <v>5E-048</v>
      </c>
      <c r="W277" t="str">
        <f>HYPERLINK(".\links\NR-LIGHT\TI_asb-450-NR-LIGHT.txt"," 10")</f>
        <v xml:space="preserve"> 10</v>
      </c>
      <c r="X277" t="str">
        <f>HYPERLINK("http://www.ncbi.nlm.nih.gov/protein/91094995","gi|91094995")</f>
        <v>gi|91094995</v>
      </c>
      <c r="Y277">
        <v>192</v>
      </c>
      <c r="Z277">
        <v>114</v>
      </c>
      <c r="AA277">
        <v>143</v>
      </c>
      <c r="AB277">
        <v>81</v>
      </c>
      <c r="AC277">
        <v>80</v>
      </c>
      <c r="AD277">
        <v>21</v>
      </c>
      <c r="AE277">
        <v>1</v>
      </c>
      <c r="AF277">
        <v>30</v>
      </c>
      <c r="AG277">
        <v>240</v>
      </c>
      <c r="AH277">
        <v>1</v>
      </c>
      <c r="AI277">
        <v>3</v>
      </c>
      <c r="AJ277" t="s">
        <v>53</v>
      </c>
      <c r="AK277" t="s">
        <v>54</v>
      </c>
      <c r="AL277" t="s">
        <v>79</v>
      </c>
      <c r="AM277" t="str">
        <f>HYPERLINK(".\links\SWISSP\TI_asb-450-SWISSP.txt","60S ribosomal protein L35a OS=Pongo abelii GN=RPL35A PE=3 SV=1")</f>
        <v>60S ribosomal protein L35a OS=Pongo abelii GN=RPL35A PE=3 SV=1</v>
      </c>
      <c r="AN277" s="19" t="str">
        <f>HYPERLINK("http://www.uniprot.org/uniprot/Q5R8K6","4E-036")</f>
        <v>4E-036</v>
      </c>
      <c r="AO277" t="str">
        <f>HYPERLINK(".\links\SWISSP\TI_asb-450-SWISSP.txt"," 10")</f>
        <v xml:space="preserve"> 10</v>
      </c>
      <c r="AP277" t="s">
        <v>2714</v>
      </c>
      <c r="AQ277">
        <v>151</v>
      </c>
      <c r="AR277">
        <v>110</v>
      </c>
      <c r="AS277">
        <v>110</v>
      </c>
      <c r="AT277">
        <v>65</v>
      </c>
      <c r="AU277">
        <v>100</v>
      </c>
      <c r="AV277">
        <v>38</v>
      </c>
      <c r="AW277">
        <v>0</v>
      </c>
      <c r="AX277">
        <v>3</v>
      </c>
      <c r="AY277">
        <v>249</v>
      </c>
      <c r="AZ277">
        <v>1</v>
      </c>
      <c r="BA277">
        <v>3</v>
      </c>
      <c r="BB277" t="s">
        <v>53</v>
      </c>
      <c r="BC277" t="s">
        <v>54</v>
      </c>
      <c r="BD277" t="s">
        <v>245</v>
      </c>
      <c r="BE277" t="s">
        <v>2715</v>
      </c>
      <c r="BF277" t="s">
        <v>2716</v>
      </c>
      <c r="BG277" t="str">
        <f>HYPERLINK(".\links\PREV-RHOD-PEP\TI_asb-450-PREV-RHOD-PEP.txt","Contig18035_25")</f>
        <v>Contig18035_25</v>
      </c>
      <c r="BH277" s="7">
        <v>9.9999999999999997E-65</v>
      </c>
      <c r="BI277" t="str">
        <f>HYPERLINK(".\links\PREV-RHOD-PEP\TI_asb-450-PREV-RHOD-PEP.txt"," 4")</f>
        <v xml:space="preserve"> 4</v>
      </c>
      <c r="BJ277" t="s">
        <v>2717</v>
      </c>
      <c r="BK277">
        <v>241</v>
      </c>
      <c r="BL277">
        <v>118</v>
      </c>
      <c r="BM277">
        <v>169</v>
      </c>
      <c r="BN277">
        <v>98</v>
      </c>
      <c r="BO277">
        <v>70</v>
      </c>
      <c r="BP277">
        <v>2</v>
      </c>
      <c r="BQ277">
        <v>0</v>
      </c>
      <c r="BR277">
        <v>52</v>
      </c>
      <c r="BS277">
        <v>225</v>
      </c>
      <c r="BT277">
        <v>1</v>
      </c>
      <c r="BU277" t="s">
        <v>54</v>
      </c>
      <c r="BV277" t="s">
        <v>2718</v>
      </c>
      <c r="BW277" t="s">
        <v>56</v>
      </c>
      <c r="BX277" t="str">
        <f>HYPERLINK(".\links\PREV-RHOD-CDS\TI_asb-450-PREV-RHOD-CDS.txt","Contig18035_25")</f>
        <v>Contig18035_25</v>
      </c>
      <c r="BY277" s="7">
        <v>1E-142</v>
      </c>
      <c r="BZ277" t="s">
        <v>2717</v>
      </c>
      <c r="CA277">
        <v>504</v>
      </c>
      <c r="CB277">
        <v>509</v>
      </c>
      <c r="CC277">
        <v>510</v>
      </c>
      <c r="CD277">
        <v>86</v>
      </c>
      <c r="CE277">
        <v>100</v>
      </c>
      <c r="CF277">
        <v>68</v>
      </c>
      <c r="CG277">
        <v>0</v>
      </c>
      <c r="CH277">
        <v>1</v>
      </c>
      <c r="CI277">
        <v>72</v>
      </c>
      <c r="CJ277">
        <v>1</v>
      </c>
      <c r="CK277" t="s">
        <v>54</v>
      </c>
      <c r="CL277" t="s">
        <v>2719</v>
      </c>
      <c r="CM277">
        <f>HYPERLINK(".\links\GO\TI_asb-450-GO.txt",4E-40)</f>
        <v>3.9999999999999997E-40</v>
      </c>
      <c r="CN277" t="s">
        <v>702</v>
      </c>
      <c r="CO277" t="s">
        <v>703</v>
      </c>
      <c r="CP277" t="s">
        <v>704</v>
      </c>
      <c r="CQ277" t="s">
        <v>705</v>
      </c>
      <c r="CR277" s="7">
        <v>3.9999999999999997E-40</v>
      </c>
      <c r="CS277" t="s">
        <v>706</v>
      </c>
      <c r="CT277" t="s">
        <v>75</v>
      </c>
      <c r="CU277" t="s">
        <v>76</v>
      </c>
      <c r="CV277" t="s">
        <v>707</v>
      </c>
      <c r="CW277" s="7">
        <v>3.9999999999999997E-40</v>
      </c>
      <c r="CX277" t="s">
        <v>708</v>
      </c>
      <c r="CY277" t="s">
        <v>703</v>
      </c>
      <c r="CZ277" t="s">
        <v>704</v>
      </c>
      <c r="DA277" t="s">
        <v>709</v>
      </c>
      <c r="DB277" s="7">
        <v>3.9999999999999997E-40</v>
      </c>
      <c r="DC277" t="str">
        <f>HYPERLINK(".\links\CDD\TI_asb-450-CDD.txt","PTZ00041")</f>
        <v>PTZ00041</v>
      </c>
      <c r="DD277" t="str">
        <f>HYPERLINK("http://www.ncbi.nlm.nih.gov/Structure/cdd/cddsrv.cgi?uid=PTZ00041&amp;version=v4.0","3E-043")</f>
        <v>3E-043</v>
      </c>
      <c r="DE277" t="s">
        <v>2720</v>
      </c>
      <c r="DF277" t="str">
        <f>HYPERLINK(".\links\PFAM\TI_asb-450-PFAM.txt","Ribosomal_L35Ae")</f>
        <v>Ribosomal_L35Ae</v>
      </c>
      <c r="DG277" t="str">
        <f>HYPERLINK("http://pfam.sanger.ac.uk/family?acc=PF01247","2E-036")</f>
        <v>2E-036</v>
      </c>
      <c r="DH277" t="str">
        <f>HYPERLINK(".\links\PRK\TI_asb-450-PRK.txt","60S ribosomal protein L35a")</f>
        <v>60S ribosomal protein L35a</v>
      </c>
      <c r="DI277" s="7">
        <v>1.9999999999999999E-44</v>
      </c>
      <c r="DJ277" s="6" t="str">
        <f>HYPERLINK(".\links\KOG\TI_asb-450-KOG.txt","60S ribosomal protein L35A/L37")</f>
        <v>60S ribosomal protein L35A/L37</v>
      </c>
      <c r="DK277" s="6" t="str">
        <f>HYPERLINK("http://www.ncbi.nlm.nih.gov/COG/grace/shokog.cgi?KOG0887","2E-041")</f>
        <v>2E-041</v>
      </c>
      <c r="DL277" s="6" t="s">
        <v>4333</v>
      </c>
      <c r="DM277" s="6" t="str">
        <f>HYPERLINK(".\links\KOG\TI_asb-450-KOG.txt","KOG0887")</f>
        <v>KOG0887</v>
      </c>
      <c r="DN277" t="str">
        <f>HYPERLINK(".\links\SMART\TI_asb-450-SMART.txt","Glyco_32")</f>
        <v>Glyco_32</v>
      </c>
      <c r="DO277" t="str">
        <f>HYPERLINK("http://smart.embl-heidelberg.de/smart/do_annotation.pl?DOMAIN=Glyco_32&amp;BLAST=DUMMY","0.006")</f>
        <v>0.006</v>
      </c>
      <c r="DP277" s="3" t="s">
        <v>56</v>
      </c>
      <c r="ED277" s="3" t="s">
        <v>56</v>
      </c>
    </row>
    <row r="278" spans="1:147">
      <c r="A278" t="str">
        <f>HYPERLINK(".\links\seq\TI_asb-453-seq.txt","TI_asb-453")</f>
        <v>TI_asb-453</v>
      </c>
      <c r="B278">
        <v>453</v>
      </c>
      <c r="C278" t="str">
        <f>HYPERLINK(".\links\tsa\TI_asb-453-tsa.txt","1")</f>
        <v>1</v>
      </c>
      <c r="D278">
        <v>1</v>
      </c>
      <c r="E278">
        <v>446</v>
      </c>
      <c r="G278" t="str">
        <f>HYPERLINK(".\links\qual\TI_asb-453-qual.txt","51")</f>
        <v>51</v>
      </c>
      <c r="H278">
        <v>1</v>
      </c>
      <c r="I278">
        <v>0</v>
      </c>
      <c r="J278">
        <f t="shared" si="14"/>
        <v>1</v>
      </c>
      <c r="K278" s="6">
        <f t="shared" si="15"/>
        <v>1</v>
      </c>
      <c r="L278" s="6" t="s">
        <v>3868</v>
      </c>
      <c r="M278" s="6" t="s">
        <v>3869</v>
      </c>
      <c r="N278" s="6"/>
      <c r="O278" s="6"/>
      <c r="P278" s="6"/>
      <c r="Q278" s="3">
        <v>446</v>
      </c>
      <c r="R278" s="3">
        <v>261</v>
      </c>
      <c r="S278" s="6" t="s">
        <v>3757</v>
      </c>
      <c r="T278" s="3">
        <v>6</v>
      </c>
      <c r="U278" t="str">
        <f>HYPERLINK(".\links\NR-LIGHT\TI_asb-453-NR-LIGHT.txt","transcription factor HIVEP3")</f>
        <v>transcription factor HIVEP3</v>
      </c>
      <c r="V278" t="str">
        <f>HYPERLINK("http://www.ncbi.nlm.nih.gov/sutils/blink.cgi?pid=124107625","0.40")</f>
        <v>0.40</v>
      </c>
      <c r="W278" t="str">
        <f>HYPERLINK(".\links\NR-LIGHT\TI_asb-453-NR-LIGHT.txt"," 10")</f>
        <v xml:space="preserve"> 10</v>
      </c>
      <c r="X278" t="str">
        <f>HYPERLINK("http://www.ncbi.nlm.nih.gov/protein/124107625","gi|124107625")</f>
        <v>gi|124107625</v>
      </c>
      <c r="Y278">
        <v>35.799999999999997</v>
      </c>
      <c r="Z278">
        <v>74</v>
      </c>
      <c r="AA278">
        <v>2348</v>
      </c>
      <c r="AB278">
        <v>31</v>
      </c>
      <c r="AC278">
        <v>3</v>
      </c>
      <c r="AD278">
        <v>51</v>
      </c>
      <c r="AE278">
        <v>1</v>
      </c>
      <c r="AF278">
        <v>51</v>
      </c>
      <c r="AG278">
        <v>56</v>
      </c>
      <c r="AH278">
        <v>1</v>
      </c>
      <c r="AI278">
        <v>2</v>
      </c>
      <c r="AJ278" t="s">
        <v>53</v>
      </c>
      <c r="AK278" t="s">
        <v>54</v>
      </c>
      <c r="AL278" t="s">
        <v>349</v>
      </c>
      <c r="AM278" t="str">
        <f>HYPERLINK(".\links\SWISSP\TI_asb-453-SWISSP.txt","Transcription factor HIVEP3 OS=Mus musculus GN=Hivep3 PE=1 SV=1")</f>
        <v>Transcription factor HIVEP3 OS=Mus musculus GN=Hivep3 PE=1 SV=1</v>
      </c>
      <c r="AN278" s="19" t="str">
        <f>HYPERLINK("http://www.uniprot.org/uniprot/A2A884","0.10")</f>
        <v>0.10</v>
      </c>
      <c r="AO278" t="str">
        <f>HYPERLINK(".\links\SWISSP\TI_asb-453-SWISSP.txt"," 10")</f>
        <v xml:space="preserve"> 10</v>
      </c>
      <c r="AP278" t="s">
        <v>2721</v>
      </c>
      <c r="AQ278">
        <v>35.799999999999997</v>
      </c>
      <c r="AR278">
        <v>74</v>
      </c>
      <c r="AS278">
        <v>2348</v>
      </c>
      <c r="AT278">
        <v>31</v>
      </c>
      <c r="AU278">
        <v>3</v>
      </c>
      <c r="AV278">
        <v>51</v>
      </c>
      <c r="AW278">
        <v>1</v>
      </c>
      <c r="AX278">
        <v>51</v>
      </c>
      <c r="AY278">
        <v>56</v>
      </c>
      <c r="AZ278">
        <v>1</v>
      </c>
      <c r="BA278">
        <v>2</v>
      </c>
      <c r="BB278" t="s">
        <v>53</v>
      </c>
      <c r="BC278" t="s">
        <v>54</v>
      </c>
      <c r="BD278" t="s">
        <v>214</v>
      </c>
      <c r="BE278" t="s">
        <v>2722</v>
      </c>
      <c r="BF278" t="s">
        <v>2723</v>
      </c>
      <c r="BG278" t="str">
        <f>HYPERLINK(".\links\PREV-RHOD-PEP\TI_asb-453-PREV-RHOD-PEP.txt","Contig17523_11")</f>
        <v>Contig17523_11</v>
      </c>
      <c r="BH278" s="6">
        <v>0.11</v>
      </c>
      <c r="BI278" t="str">
        <f>HYPERLINK(".\links\PREV-RHOD-PEP\TI_asb-453-PREV-RHOD-PEP.txt"," 10")</f>
        <v xml:space="preserve"> 10</v>
      </c>
      <c r="BJ278" t="s">
        <v>2724</v>
      </c>
      <c r="BK278">
        <v>32</v>
      </c>
      <c r="BL278">
        <v>50</v>
      </c>
      <c r="BM278">
        <v>388</v>
      </c>
      <c r="BN278">
        <v>34</v>
      </c>
      <c r="BO278">
        <v>13</v>
      </c>
      <c r="BP278">
        <v>33</v>
      </c>
      <c r="BQ278">
        <v>0</v>
      </c>
      <c r="BR278">
        <v>126</v>
      </c>
      <c r="BS278">
        <v>296</v>
      </c>
      <c r="BT278">
        <v>1</v>
      </c>
      <c r="BU278" t="s">
        <v>64</v>
      </c>
      <c r="BV278" t="s">
        <v>2725</v>
      </c>
      <c r="BW278" t="s">
        <v>56</v>
      </c>
      <c r="BX278" t="str">
        <f>HYPERLINK(".\links\PREV-RHOD-CDS\TI_asb-453-PREV-RHOD-CDS.txt","Contig17970_618")</f>
        <v>Contig17970_618</v>
      </c>
      <c r="BY278" s="6">
        <v>3.4</v>
      </c>
      <c r="BZ278" t="s">
        <v>2726</v>
      </c>
      <c r="CA278">
        <v>32.200000000000003</v>
      </c>
      <c r="CB278">
        <v>15</v>
      </c>
      <c r="CC278">
        <v>2952</v>
      </c>
      <c r="CD278">
        <v>100</v>
      </c>
      <c r="CE278">
        <v>1</v>
      </c>
      <c r="CF278">
        <v>0</v>
      </c>
      <c r="CG278">
        <v>0</v>
      </c>
      <c r="CH278">
        <v>401</v>
      </c>
      <c r="CI278">
        <v>356</v>
      </c>
      <c r="CJ278">
        <v>1</v>
      </c>
      <c r="CK278" t="s">
        <v>54</v>
      </c>
      <c r="CL278" t="s">
        <v>2727</v>
      </c>
      <c r="CM278">
        <f>HYPERLINK(".\links\GO\TI_asb-453-GO.txt",0.031)</f>
        <v>3.1E-2</v>
      </c>
      <c r="CN278" t="s">
        <v>221</v>
      </c>
      <c r="CO278" t="s">
        <v>185</v>
      </c>
      <c r="CP278" t="s">
        <v>222</v>
      </c>
      <c r="CQ278" t="s">
        <v>223</v>
      </c>
      <c r="CR278" s="6">
        <v>3.1E-2</v>
      </c>
      <c r="CS278" t="s">
        <v>224</v>
      </c>
      <c r="CT278" t="s">
        <v>75</v>
      </c>
      <c r="CU278" t="s">
        <v>76</v>
      </c>
      <c r="CV278" t="s">
        <v>225</v>
      </c>
      <c r="CW278" s="6">
        <v>3.1E-2</v>
      </c>
      <c r="CX278" t="s">
        <v>1277</v>
      </c>
      <c r="CY278" t="s">
        <v>185</v>
      </c>
      <c r="CZ278" t="s">
        <v>222</v>
      </c>
      <c r="DA278" t="s">
        <v>1278</v>
      </c>
      <c r="DB278" s="6">
        <v>3.1E-2</v>
      </c>
      <c r="DC278" t="s">
        <v>56</v>
      </c>
      <c r="DD278" t="s">
        <v>56</v>
      </c>
      <c r="DE278" t="s">
        <v>56</v>
      </c>
      <c r="DF278" t="s">
        <v>56</v>
      </c>
      <c r="DG278" t="s">
        <v>56</v>
      </c>
      <c r="DH278" t="str">
        <f>HYPERLINK(".\links\PRK\TI_asb-453-PRK.txt","large tegument protein UL36")</f>
        <v>large tegument protein UL36</v>
      </c>
      <c r="DI278" s="6">
        <v>8.5999999999999993E-2</v>
      </c>
      <c r="DJ278" s="6" t="str">
        <f>HYPERLINK(".\links\KOG\TI_asb-453-KOG.txt","Molecular chaperone (DnaJ superfamily)")</f>
        <v>Molecular chaperone (DnaJ superfamily)</v>
      </c>
      <c r="DK278" s="6" t="str">
        <f>HYPERLINK("http://www.ncbi.nlm.nih.gov/COG/grace/shokog.cgi?KOG0717","0.038")</f>
        <v>0.038</v>
      </c>
      <c r="DL278" s="6" t="s">
        <v>4340</v>
      </c>
      <c r="DM278" s="6" t="str">
        <f>HYPERLINK(".\links\KOG\TI_asb-453-KOG.txt","KOG0717")</f>
        <v>KOG0717</v>
      </c>
      <c r="DN278" t="s">
        <v>56</v>
      </c>
      <c r="DO278" t="s">
        <v>56</v>
      </c>
      <c r="DP278" s="3" t="s">
        <v>56</v>
      </c>
      <c r="ED278" s="3" t="s">
        <v>56</v>
      </c>
    </row>
    <row r="279" spans="1:147">
      <c r="A279" t="str">
        <f>HYPERLINK(".\links\seq\TI_asb-454-seq.txt","TI_asb-454")</f>
        <v>TI_asb-454</v>
      </c>
      <c r="B279">
        <v>454</v>
      </c>
      <c r="C279" t="str">
        <f>HYPERLINK(".\links\tsa\TI_asb-454-tsa.txt","1")</f>
        <v>1</v>
      </c>
      <c r="D279">
        <v>1</v>
      </c>
      <c r="E279">
        <v>977</v>
      </c>
      <c r="F279">
        <v>936</v>
      </c>
      <c r="G279" t="str">
        <f>HYPERLINK(".\links\qual\TI_asb-454-qual.txt","29")</f>
        <v>29</v>
      </c>
      <c r="H279">
        <v>0</v>
      </c>
      <c r="I279">
        <v>1</v>
      </c>
      <c r="J279">
        <f t="shared" si="14"/>
        <v>1</v>
      </c>
      <c r="K279" s="6">
        <f t="shared" si="15"/>
        <v>-1</v>
      </c>
      <c r="L279" s="6" t="s">
        <v>3868</v>
      </c>
      <c r="M279" s="6" t="s">
        <v>3869</v>
      </c>
      <c r="N279" s="6"/>
      <c r="O279" s="6"/>
      <c r="P279" s="6"/>
      <c r="Q279" s="3">
        <v>977</v>
      </c>
      <c r="R279" s="3">
        <v>273</v>
      </c>
      <c r="S279" s="6" t="s">
        <v>3758</v>
      </c>
      <c r="T279" s="3">
        <v>3</v>
      </c>
      <c r="U279" t="s">
        <v>56</v>
      </c>
      <c r="V279" t="s">
        <v>56</v>
      </c>
      <c r="W279" t="s">
        <v>56</v>
      </c>
      <c r="X279" t="s">
        <v>56</v>
      </c>
      <c r="Y279" t="s">
        <v>56</v>
      </c>
      <c r="Z279" t="s">
        <v>56</v>
      </c>
      <c r="AA279" t="s">
        <v>56</v>
      </c>
      <c r="AB279" t="s">
        <v>56</v>
      </c>
      <c r="AC279" t="s">
        <v>56</v>
      </c>
      <c r="AD279" t="s">
        <v>56</v>
      </c>
      <c r="AE279" t="s">
        <v>56</v>
      </c>
      <c r="AF279" t="s">
        <v>56</v>
      </c>
      <c r="AG279" t="s">
        <v>56</v>
      </c>
      <c r="AH279" t="s">
        <v>56</v>
      </c>
      <c r="AI279" t="s">
        <v>56</v>
      </c>
      <c r="AJ279" t="s">
        <v>56</v>
      </c>
      <c r="AK279" t="s">
        <v>56</v>
      </c>
      <c r="AL279" t="s">
        <v>56</v>
      </c>
      <c r="AM279" t="s">
        <v>56</v>
      </c>
      <c r="AN279" s="19" t="s">
        <v>56</v>
      </c>
      <c r="AO279" t="s">
        <v>56</v>
      </c>
      <c r="AP279" t="s">
        <v>56</v>
      </c>
      <c r="AQ279" t="s">
        <v>56</v>
      </c>
      <c r="AR279" t="s">
        <v>56</v>
      </c>
      <c r="AS279" t="s">
        <v>56</v>
      </c>
      <c r="AT279" t="s">
        <v>56</v>
      </c>
      <c r="AU279" t="s">
        <v>56</v>
      </c>
      <c r="AV279" t="s">
        <v>56</v>
      </c>
      <c r="AW279" t="s">
        <v>56</v>
      </c>
      <c r="AX279" t="s">
        <v>56</v>
      </c>
      <c r="AY279" t="s">
        <v>56</v>
      </c>
      <c r="AZ279" t="s">
        <v>56</v>
      </c>
      <c r="BA279" t="s">
        <v>56</v>
      </c>
      <c r="BB279" t="s">
        <v>56</v>
      </c>
      <c r="BC279" t="s">
        <v>56</v>
      </c>
      <c r="BD279" t="s">
        <v>56</v>
      </c>
      <c r="BE279" t="s">
        <v>56</v>
      </c>
      <c r="BF279" t="s">
        <v>56</v>
      </c>
      <c r="BG279" t="s">
        <v>56</v>
      </c>
      <c r="BH279" s="6" t="s">
        <v>56</v>
      </c>
      <c r="BI279" t="s">
        <v>56</v>
      </c>
      <c r="BJ279" t="s">
        <v>56</v>
      </c>
      <c r="BK279" t="s">
        <v>56</v>
      </c>
      <c r="BL279" t="s">
        <v>56</v>
      </c>
      <c r="BM279" t="s">
        <v>56</v>
      </c>
      <c r="BN279" t="s">
        <v>56</v>
      </c>
      <c r="BO279" t="s">
        <v>56</v>
      </c>
      <c r="BP279" t="s">
        <v>56</v>
      </c>
      <c r="BQ279" t="s">
        <v>56</v>
      </c>
      <c r="BR279" t="s">
        <v>56</v>
      </c>
      <c r="BS279" t="s">
        <v>56</v>
      </c>
      <c r="BT279" t="s">
        <v>56</v>
      </c>
      <c r="BU279" t="s">
        <v>56</v>
      </c>
      <c r="BV279" t="s">
        <v>56</v>
      </c>
      <c r="BW279" t="s">
        <v>56</v>
      </c>
      <c r="BX279" t="str">
        <f>HYPERLINK(".\links\PREV-RHOD-CDS\TI_asb-454-PREV-RHOD-CDS.txt","Contig17968_87")</f>
        <v>Contig17968_87</v>
      </c>
      <c r="BY279" s="6">
        <v>0.49</v>
      </c>
      <c r="BZ279" t="s">
        <v>2163</v>
      </c>
      <c r="CA279">
        <v>36.200000000000003</v>
      </c>
      <c r="CB279">
        <v>21</v>
      </c>
      <c r="CC279">
        <v>1815</v>
      </c>
      <c r="CD279">
        <v>95</v>
      </c>
      <c r="CE279">
        <v>1</v>
      </c>
      <c r="CF279">
        <v>1</v>
      </c>
      <c r="CG279">
        <v>0</v>
      </c>
      <c r="CH279">
        <v>1531</v>
      </c>
      <c r="CI279">
        <v>114</v>
      </c>
      <c r="CJ279">
        <v>1</v>
      </c>
      <c r="CK279" t="s">
        <v>64</v>
      </c>
      <c r="CL279" t="s">
        <v>56</v>
      </c>
      <c r="CM279" t="s">
        <v>56</v>
      </c>
      <c r="CN279" t="s">
        <v>56</v>
      </c>
      <c r="CO279" t="s">
        <v>56</v>
      </c>
      <c r="CP279" t="s">
        <v>56</v>
      </c>
      <c r="CQ279" t="s">
        <v>56</v>
      </c>
      <c r="CR279" t="s">
        <v>56</v>
      </c>
      <c r="CS279" t="s">
        <v>56</v>
      </c>
      <c r="CT279" t="s">
        <v>56</v>
      </c>
      <c r="CU279" t="s">
        <v>56</v>
      </c>
      <c r="CV279" t="s">
        <v>56</v>
      </c>
      <c r="CW279" t="s">
        <v>56</v>
      </c>
      <c r="CX279" t="s">
        <v>56</v>
      </c>
      <c r="CY279" t="s">
        <v>56</v>
      </c>
      <c r="CZ279" t="s">
        <v>56</v>
      </c>
      <c r="DA279" t="s">
        <v>56</v>
      </c>
      <c r="DB279" t="s">
        <v>56</v>
      </c>
      <c r="DC279" t="str">
        <f>HYPERLINK(".\links\CDD\TI_asb-454-CDD.txt","ND5")</f>
        <v>ND5</v>
      </c>
      <c r="DD279" t="str">
        <f>HYPERLINK("http://www.ncbi.nlm.nih.gov/Structure/cdd/cddsrv.cgi?uid=MTH00095&amp;version=v4.0","0.001")</f>
        <v>0.001</v>
      </c>
      <c r="DE279" t="s">
        <v>2728</v>
      </c>
      <c r="DF279" t="str">
        <f>HYPERLINK(".\links\PFAM\TI_asb-454-PFAM.txt","DUF1980")</f>
        <v>DUF1980</v>
      </c>
      <c r="DG279" t="str">
        <f>HYPERLINK("http://pfam.sanger.ac.uk/family?acc=PF09323","0.008")</f>
        <v>0.008</v>
      </c>
      <c r="DH279" t="str">
        <f>HYPERLINK(".\links\PRK\TI_asb-454-PRK.txt","NADH dehydrogenase subunit 3")</f>
        <v>NADH dehydrogenase subunit 3</v>
      </c>
      <c r="DI279" s="6">
        <v>6.5000000000000002E-2</v>
      </c>
      <c r="DJ279" s="6" t="s">
        <v>56</v>
      </c>
      <c r="DN279" t="str">
        <f>HYPERLINK(".\links\SMART\TI_asb-454-SMART.txt","TOP1Ac")</f>
        <v>TOP1Ac</v>
      </c>
      <c r="DO279" t="str">
        <f>HYPERLINK("http://smart.embl-heidelberg.de/smart/do_annotation.pl?DOMAIN=TOP1Ac&amp;BLAST=DUMMY","0.080")</f>
        <v>0.080</v>
      </c>
      <c r="DP279" s="3" t="s">
        <v>56</v>
      </c>
      <c r="ED279" s="3" t="str">
        <f>HYPERLINK(".\links\MIT-PLA\TI_asb-454-MIT-PLA.txt","Triatoma dimidiata mitochondrial DNA, complete genome")</f>
        <v>Triatoma dimidiata mitochondrial DNA, complete genome</v>
      </c>
      <c r="EE279" s="3" t="str">
        <f>HYPERLINK("http://www.ncbi.nlm.nih.gov/entrez/viewer.fcgi?db=nucleotide&amp;val=11139100","7E-021")</f>
        <v>7E-021</v>
      </c>
      <c r="EF279" s="3" t="str">
        <f>HYPERLINK("http://www.ncbi.nlm.nih.gov/entrez/viewer.fcgi?db=nucleotide&amp;val=11139100","gi|11139100")</f>
        <v>gi|11139100</v>
      </c>
      <c r="EG279" s="3">
        <v>101</v>
      </c>
      <c r="EH279" s="3">
        <v>332</v>
      </c>
      <c r="EI279" s="3">
        <v>17019</v>
      </c>
      <c r="EJ279" s="3">
        <v>82</v>
      </c>
      <c r="EK279" s="3">
        <v>2</v>
      </c>
      <c r="EL279" s="3">
        <v>32</v>
      </c>
      <c r="EM279" s="3">
        <v>1</v>
      </c>
      <c r="EN279" s="3">
        <v>13545</v>
      </c>
      <c r="EO279" s="3">
        <v>117</v>
      </c>
      <c r="EP279" s="3">
        <v>2</v>
      </c>
      <c r="EQ279" s="3" t="s">
        <v>64</v>
      </c>
    </row>
    <row r="280" spans="1:147">
      <c r="A280" t="str">
        <f>HYPERLINK(".\links\seq\TI_asb-455-seq.txt","TI_asb-455")</f>
        <v>TI_asb-455</v>
      </c>
      <c r="B280">
        <v>455</v>
      </c>
      <c r="C280" t="str">
        <f>HYPERLINK(".\links\tsa\TI_asb-455-tsa.txt","2")</f>
        <v>2</v>
      </c>
      <c r="D280">
        <v>2</v>
      </c>
      <c r="E280">
        <v>856</v>
      </c>
      <c r="G280" t="str">
        <f>HYPERLINK(".\links\qual\TI_asb-455-qual.txt","53")</f>
        <v>53</v>
      </c>
      <c r="H280">
        <v>1</v>
      </c>
      <c r="I280">
        <v>1</v>
      </c>
      <c r="J280">
        <f t="shared" si="14"/>
        <v>0</v>
      </c>
      <c r="K280" s="6">
        <f t="shared" si="15"/>
        <v>0</v>
      </c>
      <c r="L280" s="6" t="s">
        <v>3888</v>
      </c>
      <c r="M280" s="6" t="s">
        <v>3886</v>
      </c>
      <c r="N280" s="6" t="s">
        <v>3872</v>
      </c>
      <c r="O280" s="6">
        <v>0</v>
      </c>
      <c r="P280" s="6">
        <v>6</v>
      </c>
      <c r="Q280" s="3">
        <v>856</v>
      </c>
      <c r="R280" s="3">
        <v>201</v>
      </c>
      <c r="S280" s="3" t="s">
        <v>3759</v>
      </c>
      <c r="T280" s="3">
        <v>5</v>
      </c>
      <c r="U280" t="str">
        <f>HYPERLINK(".\links\NR-LIGHT\TI_asb-455-NR-LIGHT.txt","10 kDa putative secreted protein")</f>
        <v>10 kDa putative secreted protein</v>
      </c>
      <c r="V280" t="str">
        <f>HYPERLINK("http://www.ncbi.nlm.nih.gov/sutils/blink.cgi?pid=114153154","1E-009")</f>
        <v>1E-009</v>
      </c>
      <c r="W280" t="str">
        <f>HYPERLINK(".\links\NR-LIGHT\TI_asb-455-NR-LIGHT.txt"," 5")</f>
        <v xml:space="preserve"> 5</v>
      </c>
      <c r="X280" t="str">
        <f>HYPERLINK("http://www.ncbi.nlm.nih.gov/protein/114153154","gi|114153154")</f>
        <v>gi|114153154</v>
      </c>
      <c r="Y280">
        <v>66.2</v>
      </c>
      <c r="Z280">
        <v>36</v>
      </c>
      <c r="AA280">
        <v>102</v>
      </c>
      <c r="AB280">
        <v>80</v>
      </c>
      <c r="AC280">
        <v>35</v>
      </c>
      <c r="AD280">
        <v>7</v>
      </c>
      <c r="AE280">
        <v>0</v>
      </c>
      <c r="AF280">
        <v>9</v>
      </c>
      <c r="AG280">
        <v>379</v>
      </c>
      <c r="AH280">
        <v>1</v>
      </c>
      <c r="AI280">
        <v>1</v>
      </c>
      <c r="AJ280" t="s">
        <v>53</v>
      </c>
      <c r="AK280" t="s">
        <v>54</v>
      </c>
      <c r="AL280" t="s">
        <v>2729</v>
      </c>
      <c r="AM280" t="s">
        <v>56</v>
      </c>
      <c r="AN280" s="19" t="s">
        <v>56</v>
      </c>
      <c r="AO280" t="s">
        <v>56</v>
      </c>
      <c r="AP280" t="s">
        <v>56</v>
      </c>
      <c r="AQ280" t="s">
        <v>56</v>
      </c>
      <c r="AR280" t="s">
        <v>56</v>
      </c>
      <c r="AS280" t="s">
        <v>56</v>
      </c>
      <c r="AT280" t="s">
        <v>56</v>
      </c>
      <c r="AU280" t="s">
        <v>56</v>
      </c>
      <c r="AV280" t="s">
        <v>56</v>
      </c>
      <c r="AW280" t="s">
        <v>56</v>
      </c>
      <c r="AX280" t="s">
        <v>56</v>
      </c>
      <c r="AY280" t="s">
        <v>56</v>
      </c>
      <c r="AZ280" t="s">
        <v>56</v>
      </c>
      <c r="BA280" t="s">
        <v>56</v>
      </c>
      <c r="BB280" t="s">
        <v>56</v>
      </c>
      <c r="BC280" t="s">
        <v>56</v>
      </c>
      <c r="BD280" t="s">
        <v>56</v>
      </c>
      <c r="BE280" t="s">
        <v>56</v>
      </c>
      <c r="BF280" t="s">
        <v>56</v>
      </c>
      <c r="BG280" t="str">
        <f>HYPERLINK(".\links\PREV-RHOD-PEP\TI_asb-455-PREV-RHOD-PEP.txt","Contig8233_1")</f>
        <v>Contig8233_1</v>
      </c>
      <c r="BH280" s="7">
        <v>5.0000000000000002E-5</v>
      </c>
      <c r="BI280" t="str">
        <f>HYPERLINK(".\links\PREV-RHOD-PEP\TI_asb-455-PREV-RHOD-PEP.txt"," 6")</f>
        <v xml:space="preserve"> 6</v>
      </c>
      <c r="BJ280" t="s">
        <v>2730</v>
      </c>
      <c r="BK280">
        <v>44.7</v>
      </c>
      <c r="BL280">
        <v>23</v>
      </c>
      <c r="BM280">
        <v>23</v>
      </c>
      <c r="BN280">
        <v>82</v>
      </c>
      <c r="BO280">
        <v>100</v>
      </c>
      <c r="BP280">
        <v>4</v>
      </c>
      <c r="BQ280">
        <v>0</v>
      </c>
      <c r="BR280">
        <v>1</v>
      </c>
      <c r="BS280">
        <v>365</v>
      </c>
      <c r="BT280">
        <v>1</v>
      </c>
      <c r="BU280" t="s">
        <v>54</v>
      </c>
      <c r="BV280" t="s">
        <v>2731</v>
      </c>
      <c r="BW280" t="s">
        <v>56</v>
      </c>
      <c r="BX280" t="str">
        <f>HYPERLINK(".\links\PREV-RHOD-CDS\TI_asb-455-PREV-RHOD-CDS.txt","Contig8233_1")</f>
        <v>Contig8233_1</v>
      </c>
      <c r="BY280" s="7">
        <v>5.0000000000000004E-19</v>
      </c>
      <c r="BZ280" t="s">
        <v>2730</v>
      </c>
      <c r="CA280">
        <v>95.6</v>
      </c>
      <c r="CB280">
        <v>67</v>
      </c>
      <c r="CC280">
        <v>72</v>
      </c>
      <c r="CD280">
        <v>92</v>
      </c>
      <c r="CE280">
        <v>94</v>
      </c>
      <c r="CF280">
        <v>5</v>
      </c>
      <c r="CG280">
        <v>0</v>
      </c>
      <c r="CH280">
        <v>5</v>
      </c>
      <c r="CI280">
        <v>369</v>
      </c>
      <c r="CJ280">
        <v>1</v>
      </c>
      <c r="CK280" t="s">
        <v>54</v>
      </c>
      <c r="CL280" t="s">
        <v>2732</v>
      </c>
      <c r="CM280">
        <f>HYPERLINK(".\links\GO\TI_asb-455-GO.txt",2.7)</f>
        <v>2.7</v>
      </c>
      <c r="CN280" t="s">
        <v>2733</v>
      </c>
      <c r="CO280" t="s">
        <v>129</v>
      </c>
      <c r="CP280" t="s">
        <v>130</v>
      </c>
      <c r="CQ280" t="s">
        <v>2734</v>
      </c>
      <c r="CR280" s="6">
        <v>2.7</v>
      </c>
      <c r="CS280" t="s">
        <v>2735</v>
      </c>
      <c r="CT280" t="s">
        <v>75</v>
      </c>
      <c r="CU280" t="s">
        <v>76</v>
      </c>
      <c r="CV280" t="s">
        <v>2736</v>
      </c>
      <c r="CW280" s="6">
        <v>2.7</v>
      </c>
      <c r="CX280" t="s">
        <v>2737</v>
      </c>
      <c r="CY280" t="s">
        <v>129</v>
      </c>
      <c r="CZ280" t="s">
        <v>130</v>
      </c>
      <c r="DA280" t="s">
        <v>2738</v>
      </c>
      <c r="DB280" s="6">
        <v>2.7</v>
      </c>
      <c r="DC280" t="str">
        <f>HYPERLINK(".\links\CDD\TI_asb-455-CDD.txt","lnt")</f>
        <v>lnt</v>
      </c>
      <c r="DD280" t="str">
        <f>HYPERLINK("http://www.ncbi.nlm.nih.gov/Structure/cdd/cddsrv.cgi?uid=PRK00302&amp;version=v4.0","0.002")</f>
        <v>0.002</v>
      </c>
      <c r="DE280" t="s">
        <v>2739</v>
      </c>
      <c r="DF280" t="str">
        <f>HYPERLINK(".\links\PFAM\TI_asb-455-PFAM.txt","Spore_YabQ")</f>
        <v>Spore_YabQ</v>
      </c>
      <c r="DG280" t="str">
        <f>HYPERLINK("http://pfam.sanger.ac.uk/family?acc=PF09578","0.006")</f>
        <v>0.006</v>
      </c>
      <c r="DH280" t="str">
        <f>HYPERLINK(".\links\PRK\TI_asb-455-PRK.txt","apolipoprotein N-acyltransferase")</f>
        <v>apolipoprotein N-acyltransferase</v>
      </c>
      <c r="DI280" s="6">
        <v>0.01</v>
      </c>
      <c r="DJ280" s="6" t="str">
        <f>HYPERLINK(".\links\KOG\TI_asb-455-KOG.txt","Nuclear protein, contains WD40 repeats")</f>
        <v>Nuclear protein, contains WD40 repeats</v>
      </c>
      <c r="DK280" s="6" t="str">
        <f>HYPERLINK("http://www.ncbi.nlm.nih.gov/COG/grace/shokog.cgi?KOG1916","0.0")</f>
        <v>0.0</v>
      </c>
      <c r="DL280" s="6" t="s">
        <v>4337</v>
      </c>
      <c r="DM280" s="6" t="str">
        <f>HYPERLINK(".\links\KOG\TI_asb-455-KOG.txt","KOG1916")</f>
        <v>KOG1916</v>
      </c>
      <c r="DN280" t="str">
        <f>HYPERLINK(".\links\SMART\TI_asb-455-SMART.txt","MIF4G")</f>
        <v>MIF4G</v>
      </c>
      <c r="DO280" t="str">
        <f>HYPERLINK("http://smart.embl-heidelberg.de/smart/do_annotation.pl?DOMAIN=MIF4G&amp;BLAST=DUMMY","0.018")</f>
        <v>0.018</v>
      </c>
      <c r="DP280" s="3" t="str">
        <f>HYPERLINK(".\links\RRNA\TI_asb-455-RRNA.txt","Mus musculus 28S ribosomal RNA (LOC236598)")</f>
        <v>Mus musculus 28S ribosomal RNA (LOC236598)</v>
      </c>
      <c r="DQ280" s="3" t="str">
        <f>HYPERLINK("http://www.ncbi.nlm.nih.gov/entrez/viewer.fcgi?db=nucleotide&amp;val=120444900","2E-029")</f>
        <v>2E-029</v>
      </c>
      <c r="DR280" s="3" t="str">
        <f>HYPERLINK("http://www.ncbi.nlm.nih.gov/entrez/viewer.fcgi?db=nucleotide&amp;val=120444900","gi|120444900")</f>
        <v>gi|120444900</v>
      </c>
      <c r="DS280" s="3">
        <v>127</v>
      </c>
      <c r="DT280" s="3">
        <v>107</v>
      </c>
      <c r="DU280" s="3">
        <v>4730</v>
      </c>
      <c r="DV280" s="3">
        <v>89</v>
      </c>
      <c r="DW280" s="3">
        <v>2</v>
      </c>
      <c r="DX280" s="3">
        <v>11</v>
      </c>
      <c r="DY280" s="3">
        <v>0</v>
      </c>
      <c r="DZ280" s="3">
        <v>1762</v>
      </c>
      <c r="EA280" s="3">
        <v>386</v>
      </c>
      <c r="EB280" s="3">
        <v>1</v>
      </c>
      <c r="EC280" s="3" t="s">
        <v>54</v>
      </c>
      <c r="ED280" s="3" t="s">
        <v>56</v>
      </c>
    </row>
    <row r="281" spans="1:147">
      <c r="A281" t="str">
        <f>HYPERLINK(".\links\seq\TI_asb-456-seq.txt","TI_asb-456")</f>
        <v>TI_asb-456</v>
      </c>
      <c r="B281">
        <v>456</v>
      </c>
      <c r="C281" t="str">
        <f>HYPERLINK(".\links\tsa\TI_asb-456-tsa.txt","1")</f>
        <v>1</v>
      </c>
      <c r="D281">
        <v>1</v>
      </c>
      <c r="E281">
        <v>856</v>
      </c>
      <c r="F281">
        <v>204</v>
      </c>
      <c r="G281" t="str">
        <f>HYPERLINK(".\links\qual\TI_asb-456-qual.txt","32")</f>
        <v>32</v>
      </c>
      <c r="H281">
        <v>1</v>
      </c>
      <c r="I281">
        <v>0</v>
      </c>
      <c r="J281">
        <f t="shared" si="14"/>
        <v>1</v>
      </c>
      <c r="K281" s="6">
        <f t="shared" si="15"/>
        <v>1</v>
      </c>
      <c r="L281" s="6" t="s">
        <v>3888</v>
      </c>
      <c r="M281" s="6" t="s">
        <v>3886</v>
      </c>
      <c r="N281" s="6" t="str">
        <f>HYPERLINK(".\links\KOG\TI_asb-456-KOG.txt","KOG")</f>
        <v>KOG</v>
      </c>
      <c r="O281" s="6">
        <v>0</v>
      </c>
      <c r="P281" s="6">
        <v>6</v>
      </c>
      <c r="Q281" s="3">
        <v>856</v>
      </c>
      <c r="R281" s="3">
        <v>207</v>
      </c>
      <c r="S281" s="3" t="s">
        <v>3760</v>
      </c>
      <c r="T281" s="3">
        <v>4</v>
      </c>
      <c r="U281" t="s">
        <v>56</v>
      </c>
      <c r="V281" t="s">
        <v>56</v>
      </c>
      <c r="W281" t="s">
        <v>56</v>
      </c>
      <c r="X281" t="s">
        <v>56</v>
      </c>
      <c r="Y281" t="s">
        <v>56</v>
      </c>
      <c r="Z281" t="s">
        <v>56</v>
      </c>
      <c r="AA281" t="s">
        <v>56</v>
      </c>
      <c r="AB281" t="s">
        <v>56</v>
      </c>
      <c r="AC281" t="s">
        <v>56</v>
      </c>
      <c r="AD281" t="s">
        <v>56</v>
      </c>
      <c r="AE281" t="s">
        <v>56</v>
      </c>
      <c r="AF281" t="s">
        <v>56</v>
      </c>
      <c r="AG281" t="s">
        <v>56</v>
      </c>
      <c r="AH281" t="s">
        <v>56</v>
      </c>
      <c r="AI281" t="s">
        <v>56</v>
      </c>
      <c r="AJ281" t="s">
        <v>56</v>
      </c>
      <c r="AK281" t="s">
        <v>56</v>
      </c>
      <c r="AL281" t="s">
        <v>56</v>
      </c>
      <c r="AM281" t="str">
        <f>HYPERLINK(".\links\SWISSP\TI_asb-456-SWISSP.txt","Maturase K OS=Aethionema cordifolium GN=matK PE=3 SV=1")</f>
        <v>Maturase K OS=Aethionema cordifolium GN=matK PE=3 SV=1</v>
      </c>
      <c r="AN281" s="19" t="str">
        <f>HYPERLINK("http://www.uniprot.org/uniprot/A4QJ97","5.6")</f>
        <v>5.6</v>
      </c>
      <c r="AO281" t="str">
        <f>HYPERLINK(".\links\SWISSP\TI_asb-456-SWISSP.txt"," 2")</f>
        <v xml:space="preserve"> 2</v>
      </c>
      <c r="AP281" t="s">
        <v>2740</v>
      </c>
      <c r="AQ281">
        <v>32</v>
      </c>
      <c r="AR281">
        <v>55</v>
      </c>
      <c r="AS281">
        <v>503</v>
      </c>
      <c r="AT281">
        <v>34</v>
      </c>
      <c r="AU281">
        <v>11</v>
      </c>
      <c r="AV281">
        <v>36</v>
      </c>
      <c r="AW281">
        <v>4</v>
      </c>
      <c r="AX281">
        <v>89</v>
      </c>
      <c r="AY281">
        <v>290</v>
      </c>
      <c r="AZ281">
        <v>1</v>
      </c>
      <c r="BA281">
        <v>-1</v>
      </c>
      <c r="BB281" t="s">
        <v>53</v>
      </c>
      <c r="BC281" t="s">
        <v>64</v>
      </c>
      <c r="BD281" t="s">
        <v>2741</v>
      </c>
      <c r="BE281" t="s">
        <v>2742</v>
      </c>
      <c r="BF281" t="s">
        <v>2743</v>
      </c>
      <c r="BG281" t="str">
        <f>HYPERLINK(".\links\PREV-RHOD-PEP\TI_asb-456-PREV-RHOD-PEP.txt","Contig17945_26")</f>
        <v>Contig17945_26</v>
      </c>
      <c r="BH281" s="6">
        <v>6.1</v>
      </c>
      <c r="BI281" t="str">
        <f>HYPERLINK(".\links\PREV-RHOD-PEP\TI_asb-456-PREV-RHOD-PEP.txt"," 1")</f>
        <v xml:space="preserve"> 1</v>
      </c>
      <c r="BJ281" t="s">
        <v>2744</v>
      </c>
      <c r="BK281">
        <v>27.7</v>
      </c>
      <c r="BL281">
        <v>50</v>
      </c>
      <c r="BM281">
        <v>974</v>
      </c>
      <c r="BN281">
        <v>34</v>
      </c>
      <c r="BO281">
        <v>5</v>
      </c>
      <c r="BP281">
        <v>33</v>
      </c>
      <c r="BQ281">
        <v>0</v>
      </c>
      <c r="BR281">
        <v>829</v>
      </c>
      <c r="BS281">
        <v>287</v>
      </c>
      <c r="BT281">
        <v>1</v>
      </c>
      <c r="BU281" t="s">
        <v>64</v>
      </c>
      <c r="BV281" t="s">
        <v>2745</v>
      </c>
      <c r="BW281" t="s">
        <v>56</v>
      </c>
      <c r="BX281" t="str">
        <f>HYPERLINK(".\links\PREV-RHOD-CDS\TI_asb-456-PREV-RHOD-CDS.txt","Contig17965_89")</f>
        <v>Contig17965_89</v>
      </c>
      <c r="BY281" s="6">
        <v>0.11</v>
      </c>
      <c r="BZ281" t="s">
        <v>2746</v>
      </c>
      <c r="CA281">
        <v>38.200000000000003</v>
      </c>
      <c r="CB281">
        <v>18</v>
      </c>
      <c r="CC281">
        <v>531</v>
      </c>
      <c r="CD281">
        <v>100</v>
      </c>
      <c r="CE281">
        <v>4</v>
      </c>
      <c r="CF281">
        <v>0</v>
      </c>
      <c r="CG281">
        <v>0</v>
      </c>
      <c r="CH281">
        <v>486</v>
      </c>
      <c r="CI281">
        <v>245</v>
      </c>
      <c r="CJ281">
        <v>1</v>
      </c>
      <c r="CK281" t="s">
        <v>54</v>
      </c>
      <c r="CL281" t="s">
        <v>56</v>
      </c>
      <c r="CM281" t="s">
        <v>56</v>
      </c>
      <c r="CN281" t="s">
        <v>56</v>
      </c>
      <c r="CO281" t="s">
        <v>56</v>
      </c>
      <c r="CP281" t="s">
        <v>56</v>
      </c>
      <c r="CQ281" t="s">
        <v>56</v>
      </c>
      <c r="CR281" t="s">
        <v>56</v>
      </c>
      <c r="CS281" t="s">
        <v>56</v>
      </c>
      <c r="CT281" t="s">
        <v>56</v>
      </c>
      <c r="CU281" t="s">
        <v>56</v>
      </c>
      <c r="CV281" t="s">
        <v>56</v>
      </c>
      <c r="CW281" t="s">
        <v>56</v>
      </c>
      <c r="CX281" t="s">
        <v>56</v>
      </c>
      <c r="CY281" t="s">
        <v>56</v>
      </c>
      <c r="CZ281" t="s">
        <v>56</v>
      </c>
      <c r="DA281" t="s">
        <v>56</v>
      </c>
      <c r="DB281" t="s">
        <v>56</v>
      </c>
      <c r="DC281" t="str">
        <f>HYPERLINK(".\links\CDD\TI_asb-456-CDD.txt","ND5")</f>
        <v>ND5</v>
      </c>
      <c r="DD281" t="str">
        <f>HYPERLINK("http://www.ncbi.nlm.nih.gov/Structure/cdd/cddsrv.cgi?uid=MTH00095&amp;version=v4.0","2E-006")</f>
        <v>2E-006</v>
      </c>
      <c r="DE281" t="s">
        <v>2747</v>
      </c>
      <c r="DF281" t="str">
        <f>HYPERLINK(".\links\PFAM\TI_asb-456-PFAM.txt","7TM_GPCR_Srz")</f>
        <v>7TM_GPCR_Srz</v>
      </c>
      <c r="DG281" t="str">
        <f>HYPERLINK("http://pfam.sanger.ac.uk/family?acc=PF10325","9E-007")</f>
        <v>9E-007</v>
      </c>
      <c r="DH281" t="str">
        <f>HYPERLINK(".\links\PRK\TI_asb-456-PRK.txt","NADH dehydrogenase subunit 5")</f>
        <v>NADH dehydrogenase subunit 5</v>
      </c>
      <c r="DI281" s="7">
        <v>7.9999999999999996E-7</v>
      </c>
      <c r="DJ281" s="6" t="str">
        <f>HYPERLINK(".\links\KOG\TI_asb-456-KOG.txt","Nuclear protein, contains WD40 repeats")</f>
        <v>Nuclear protein, contains WD40 repeats</v>
      </c>
      <c r="DK281" s="6" t="str">
        <f>HYPERLINK("http://www.ncbi.nlm.nih.gov/COG/grace/shokog.cgi?KOG1916","0.0")</f>
        <v>0.0</v>
      </c>
      <c r="DL281" s="6" t="s">
        <v>4337</v>
      </c>
      <c r="DM281" s="6" t="str">
        <f>HYPERLINK(".\links\KOG\TI_asb-456-KOG.txt","KOG1916")</f>
        <v>KOG1916</v>
      </c>
      <c r="DN281" t="str">
        <f>HYPERLINK(".\links\SMART\TI_asb-456-SMART.txt","PSN")</f>
        <v>PSN</v>
      </c>
      <c r="DO281" t="str">
        <f>HYPERLINK("http://smart.embl-heidelberg.de/smart/do_annotation.pl?DOMAIN=PSN&amp;BLAST=DUMMY","0.005")</f>
        <v>0.005</v>
      </c>
      <c r="DP281" s="3" t="s">
        <v>56</v>
      </c>
      <c r="ED281" s="3" t="s">
        <v>56</v>
      </c>
    </row>
    <row r="282" spans="1:147">
      <c r="A282" t="str">
        <f>HYPERLINK(".\links\seq\TI_asb-457-seq.txt","TI_asb-457")</f>
        <v>TI_asb-457</v>
      </c>
      <c r="B282">
        <v>457</v>
      </c>
      <c r="C282" t="str">
        <f>HYPERLINK(".\links\tsa\TI_asb-457-tsa.txt","4")</f>
        <v>4</v>
      </c>
      <c r="D282">
        <v>4</v>
      </c>
      <c r="E282">
        <v>624</v>
      </c>
      <c r="F282">
        <v>560</v>
      </c>
      <c r="G282" t="str">
        <f>HYPERLINK(".\links\qual\TI_asb-457-qual.txt","85")</f>
        <v>85</v>
      </c>
      <c r="H282">
        <v>2</v>
      </c>
      <c r="I282">
        <v>2</v>
      </c>
      <c r="J282">
        <f t="shared" si="14"/>
        <v>0</v>
      </c>
      <c r="K282" s="6">
        <f t="shared" si="15"/>
        <v>0</v>
      </c>
      <c r="L282" s="6" t="s">
        <v>4050</v>
      </c>
      <c r="M282" s="6" t="s">
        <v>3874</v>
      </c>
      <c r="N282" s="6" t="s">
        <v>3864</v>
      </c>
      <c r="O282" s="7">
        <v>6.9999999999999995E-44</v>
      </c>
      <c r="P282" s="6">
        <v>100</v>
      </c>
      <c r="Q282" s="3">
        <v>624</v>
      </c>
      <c r="R282" s="3">
        <v>390</v>
      </c>
      <c r="S282" s="6" t="s">
        <v>3761</v>
      </c>
      <c r="T282" s="3">
        <v>3</v>
      </c>
      <c r="U282" t="str">
        <f>HYPERLINK(".\links\NR-LIGHT\TI_asb-457-NR-LIGHT.txt","fatty acid-binding lipocalin")</f>
        <v>fatty acid-binding lipocalin</v>
      </c>
      <c r="V282" t="str">
        <f>HYPERLINK("http://www.ncbi.nlm.nih.gov/sutils/blink.cgi?pid=263173263","7E-044")</f>
        <v>7E-044</v>
      </c>
      <c r="W282" t="str">
        <f>HYPERLINK(".\links\NR-LIGHT\TI_asb-457-NR-LIGHT.txt"," 10")</f>
        <v xml:space="preserve"> 10</v>
      </c>
      <c r="X282" t="str">
        <f>HYPERLINK("http://www.ncbi.nlm.nih.gov/protein/263173263","gi|263173263")</f>
        <v>gi|263173263</v>
      </c>
      <c r="Y282">
        <v>179</v>
      </c>
      <c r="Z282">
        <v>109</v>
      </c>
      <c r="AA282">
        <v>109</v>
      </c>
      <c r="AB282">
        <v>77</v>
      </c>
      <c r="AC282">
        <v>100</v>
      </c>
      <c r="AD282">
        <v>24</v>
      </c>
      <c r="AE282">
        <v>0</v>
      </c>
      <c r="AF282">
        <v>1</v>
      </c>
      <c r="AG282">
        <v>153</v>
      </c>
      <c r="AH282">
        <v>1</v>
      </c>
      <c r="AI282">
        <v>3</v>
      </c>
      <c r="AJ282" t="s">
        <v>53</v>
      </c>
      <c r="AK282" t="s">
        <v>54</v>
      </c>
      <c r="AL282" t="s">
        <v>2494</v>
      </c>
      <c r="AM282" t="str">
        <f>HYPERLINK(".\links\SWISSP\TI_asb-457-SWISSP.txt","Fatty acid-binding protein, muscle OS=Schistocerca gregaria PE=1 SV=2")</f>
        <v>Fatty acid-binding protein, muscle OS=Schistocerca gregaria PE=1 SV=2</v>
      </c>
      <c r="AN282" s="19" t="str">
        <f>HYPERLINK("http://www.uniprot.org/uniprot/P41496","2E-036")</f>
        <v>2E-036</v>
      </c>
      <c r="AO282" t="str">
        <f>HYPERLINK(".\links\SWISSP\TI_asb-457-SWISSP.txt"," 10")</f>
        <v xml:space="preserve"> 10</v>
      </c>
      <c r="AP282" t="s">
        <v>2748</v>
      </c>
      <c r="AQ282">
        <v>152</v>
      </c>
      <c r="AR282">
        <v>132</v>
      </c>
      <c r="AS282">
        <v>134</v>
      </c>
      <c r="AT282">
        <v>59</v>
      </c>
      <c r="AU282">
        <v>99</v>
      </c>
      <c r="AV282">
        <v>53</v>
      </c>
      <c r="AW282">
        <v>1</v>
      </c>
      <c r="AX282">
        <v>1</v>
      </c>
      <c r="AY282">
        <v>78</v>
      </c>
      <c r="AZ282">
        <v>1</v>
      </c>
      <c r="BA282">
        <v>3</v>
      </c>
      <c r="BB282" t="s">
        <v>53</v>
      </c>
      <c r="BC282" t="s">
        <v>54</v>
      </c>
      <c r="BD282" t="s">
        <v>2749</v>
      </c>
      <c r="BE282" t="s">
        <v>2750</v>
      </c>
      <c r="BF282" t="s">
        <v>2751</v>
      </c>
      <c r="BG282" t="str">
        <f>HYPERLINK(".\links\PREV-RHOD-PEP\TI_asb-457-PREV-RHOD-PEP.txt","Contig18021_45")</f>
        <v>Contig18021_45</v>
      </c>
      <c r="BH282" s="7">
        <v>2E-66</v>
      </c>
      <c r="BI282" t="str">
        <f>HYPERLINK(".\links\PREV-RHOD-PEP\TI_asb-457-PREV-RHOD-PEP.txt"," 10")</f>
        <v xml:space="preserve"> 10</v>
      </c>
      <c r="BJ282" t="s">
        <v>2752</v>
      </c>
      <c r="BK282">
        <v>247</v>
      </c>
      <c r="BL282">
        <v>134</v>
      </c>
      <c r="BM282">
        <v>134</v>
      </c>
      <c r="BN282">
        <v>92</v>
      </c>
      <c r="BO282">
        <v>100</v>
      </c>
      <c r="BP282">
        <v>10</v>
      </c>
      <c r="BQ282">
        <v>0</v>
      </c>
      <c r="BR282">
        <v>1</v>
      </c>
      <c r="BS282">
        <v>78</v>
      </c>
      <c r="BT282">
        <v>1</v>
      </c>
      <c r="BU282" t="s">
        <v>54</v>
      </c>
      <c r="BV282" t="s">
        <v>2753</v>
      </c>
      <c r="BW282" t="s">
        <v>56</v>
      </c>
      <c r="BX282" t="str">
        <f>HYPERLINK(".\links\PREV-RHOD-CDS\TI_asb-457-PREV-RHOD-CDS.txt","Contig18021_45")</f>
        <v>Contig18021_45</v>
      </c>
      <c r="BY282" s="7">
        <v>1.0000000000000001E-138</v>
      </c>
      <c r="BZ282" t="s">
        <v>2752</v>
      </c>
      <c r="CA282">
        <v>490</v>
      </c>
      <c r="CB282">
        <v>394</v>
      </c>
      <c r="CC282">
        <v>405</v>
      </c>
      <c r="CD282">
        <v>90</v>
      </c>
      <c r="CE282">
        <v>98</v>
      </c>
      <c r="CF282">
        <v>37</v>
      </c>
      <c r="CG282">
        <v>0</v>
      </c>
      <c r="CH282">
        <v>1</v>
      </c>
      <c r="CI282">
        <v>78</v>
      </c>
      <c r="CJ282">
        <v>1</v>
      </c>
      <c r="CK282" t="s">
        <v>54</v>
      </c>
      <c r="CL282" t="s">
        <v>2754</v>
      </c>
      <c r="CM282">
        <f>HYPERLINK(".\links\GO\TI_asb-457-GO.txt",2E-34)</f>
        <v>1.9999999999999999E-34</v>
      </c>
      <c r="CN282" t="s">
        <v>2755</v>
      </c>
      <c r="CO282" t="s">
        <v>185</v>
      </c>
      <c r="CP282" t="s">
        <v>2756</v>
      </c>
      <c r="CQ282" t="s">
        <v>2757</v>
      </c>
      <c r="CR282" s="7">
        <v>3.0000000000000001E-26</v>
      </c>
      <c r="CS282" t="s">
        <v>224</v>
      </c>
      <c r="CT282" t="s">
        <v>75</v>
      </c>
      <c r="CU282" t="s">
        <v>76</v>
      </c>
      <c r="CV282" t="s">
        <v>225</v>
      </c>
      <c r="CW282" s="7">
        <v>3.0000000000000001E-26</v>
      </c>
      <c r="CX282" t="s">
        <v>2758</v>
      </c>
      <c r="CY282" t="s">
        <v>185</v>
      </c>
      <c r="CZ282" t="s">
        <v>2756</v>
      </c>
      <c r="DA282" t="s">
        <v>2759</v>
      </c>
      <c r="DB282" s="7">
        <v>3.0000000000000001E-26</v>
      </c>
      <c r="DC282" t="str">
        <f>HYPERLINK(".\links\CDD\TI_asb-457-CDD.txt","Lipocalin")</f>
        <v>Lipocalin</v>
      </c>
      <c r="DD282" t="str">
        <f>HYPERLINK("http://www.ncbi.nlm.nih.gov/Structure/cdd/cddsrv.cgi?uid=pfam00061&amp;version=v4.0","2E-011")</f>
        <v>2E-011</v>
      </c>
      <c r="DE282" t="s">
        <v>2760</v>
      </c>
      <c r="DF282" t="str">
        <f>HYPERLINK(".\links\PFAM\TI_asb-457-PFAM.txt","Lipocalin")</f>
        <v>Lipocalin</v>
      </c>
      <c r="DG282" t="str">
        <f>HYPERLINK("http://pfam.sanger.ac.uk/family?acc=PF00061","1E-013")</f>
        <v>1E-013</v>
      </c>
      <c r="DH282" t="str">
        <f>HYPERLINK(".\links\PRK\TI_asb-457-PRK.txt","NADH dehydrogenase subunit 5")</f>
        <v>NADH dehydrogenase subunit 5</v>
      </c>
      <c r="DI282" s="7">
        <v>2E-8</v>
      </c>
      <c r="DJ282" s="6" t="str">
        <f>HYPERLINK(".\links\KOG\TI_asb-457-KOG.txt","Fatty acid-binding protein FABP")</f>
        <v>Fatty acid-binding protein FABP</v>
      </c>
      <c r="DK282" s="6" t="str">
        <f>HYPERLINK("http://www.ncbi.nlm.nih.gov/COG/grace/shokog.cgi?KOG4015","9E-041")</f>
        <v>9E-041</v>
      </c>
      <c r="DL282" s="6" t="s">
        <v>4334</v>
      </c>
      <c r="DM282" s="6" t="str">
        <f>HYPERLINK(".\links\KOG\TI_asb-457-KOG.txt","KOG4015")</f>
        <v>KOG4015</v>
      </c>
      <c r="DN282" t="str">
        <f>HYPERLINK(".\links\SMART\TI_asb-457-SMART.txt","AgrB")</f>
        <v>AgrB</v>
      </c>
      <c r="DO282" t="str">
        <f>HYPERLINK("http://smart.embl-heidelberg.de/smart/do_annotation.pl?DOMAIN=AgrB&amp;BLAST=DUMMY","0.009")</f>
        <v>0.009</v>
      </c>
      <c r="DP282" s="3" t="s">
        <v>56</v>
      </c>
      <c r="ED282" s="3" t="s">
        <v>56</v>
      </c>
    </row>
    <row r="283" spans="1:147">
      <c r="A283" t="str">
        <f>HYPERLINK(".\links\seq\TI_asb-458-seq.txt","TI_asb-458")</f>
        <v>TI_asb-458</v>
      </c>
      <c r="B283">
        <v>458</v>
      </c>
      <c r="C283" t="str">
        <f>HYPERLINK(".\links\tsa\TI_asb-458-tsa.txt","10")</f>
        <v>10</v>
      </c>
      <c r="D283">
        <v>10</v>
      </c>
      <c r="E283">
        <v>1232</v>
      </c>
      <c r="G283" t="str">
        <f>HYPERLINK(".\links\qual\TI_asb-458-qual.txt","83")</f>
        <v>83</v>
      </c>
      <c r="H283">
        <v>7</v>
      </c>
      <c r="I283">
        <v>3</v>
      </c>
      <c r="J283">
        <f t="shared" si="14"/>
        <v>4</v>
      </c>
      <c r="K283" s="6">
        <f t="shared" si="15"/>
        <v>4</v>
      </c>
      <c r="L283" s="6" t="s">
        <v>4051</v>
      </c>
      <c r="M283" s="6" t="s">
        <v>3894</v>
      </c>
      <c r="N283" s="6" t="s">
        <v>3872</v>
      </c>
      <c r="O283" s="6">
        <v>0</v>
      </c>
      <c r="P283" s="6">
        <v>101.3</v>
      </c>
      <c r="Q283" s="3">
        <v>1232</v>
      </c>
      <c r="R283" s="3">
        <v>1140</v>
      </c>
      <c r="S283" s="4" t="s">
        <v>3762</v>
      </c>
      <c r="T283" s="3">
        <v>2</v>
      </c>
      <c r="U283" t="str">
        <f>HYPERLINK(".\links\NR-LIGHT\TI_asb-458-NR-LIGHT.txt","actin 5C, isoform B")</f>
        <v>actin 5C, isoform B</v>
      </c>
      <c r="V283" t="str">
        <f>HYPERLINK("http://www.ncbi.nlm.nih.gov/sutils/blink.cgi?pid=17530805","0.0")</f>
        <v>0.0</v>
      </c>
      <c r="W283" t="str">
        <f>HYPERLINK(".\links\NR-LIGHT\TI_asb-458-NR-LIGHT.txt"," 10")</f>
        <v xml:space="preserve"> 10</v>
      </c>
      <c r="X283" t="str">
        <f>HYPERLINK("http://www.ncbi.nlm.nih.gov/protein/17530805","gi|17530805")</f>
        <v>gi|17530805</v>
      </c>
      <c r="Y283">
        <v>759</v>
      </c>
      <c r="Z283">
        <v>376</v>
      </c>
      <c r="AA283">
        <v>376</v>
      </c>
      <c r="AB283">
        <v>99</v>
      </c>
      <c r="AC283">
        <v>100</v>
      </c>
      <c r="AD283">
        <v>1</v>
      </c>
      <c r="AE283">
        <v>0</v>
      </c>
      <c r="AF283">
        <v>1</v>
      </c>
      <c r="AG283">
        <v>74</v>
      </c>
      <c r="AH283">
        <v>1</v>
      </c>
      <c r="AI283">
        <v>2</v>
      </c>
      <c r="AJ283" t="s">
        <v>53</v>
      </c>
      <c r="AK283" t="s">
        <v>54</v>
      </c>
      <c r="AL283" t="s">
        <v>4265</v>
      </c>
      <c r="AM283" t="str">
        <f>HYPERLINK(".\links\SWISSP\TI_asb-458-SWISSP.txt","Actin-5C OS=Anopheles gambiae GN=Act5C PE=2 SV=1")</f>
        <v>Actin-5C OS=Anopheles gambiae GN=Act5C PE=2 SV=1</v>
      </c>
      <c r="AN283" s="19" t="str">
        <f>HYPERLINK("http://www.uniprot.org/uniprot/P84185","0.0")</f>
        <v>0.0</v>
      </c>
      <c r="AO283" t="str">
        <f>HYPERLINK(".\links\SWISSP\TI_asb-458-SWISSP.txt"," 10")</f>
        <v xml:space="preserve"> 10</v>
      </c>
      <c r="AP283" t="s">
        <v>2761</v>
      </c>
      <c r="AQ283">
        <v>759</v>
      </c>
      <c r="AR283">
        <v>376</v>
      </c>
      <c r="AS283">
        <v>376</v>
      </c>
      <c r="AT283">
        <v>99</v>
      </c>
      <c r="AU283">
        <v>100</v>
      </c>
      <c r="AV283">
        <v>1</v>
      </c>
      <c r="AW283">
        <v>0</v>
      </c>
      <c r="AX283">
        <v>1</v>
      </c>
      <c r="AY283">
        <v>74</v>
      </c>
      <c r="AZ283">
        <v>1</v>
      </c>
      <c r="BA283">
        <v>2</v>
      </c>
      <c r="BB283" t="s">
        <v>53</v>
      </c>
      <c r="BC283" t="s">
        <v>54</v>
      </c>
      <c r="BD283" t="s">
        <v>81</v>
      </c>
      <c r="BE283" t="s">
        <v>2762</v>
      </c>
      <c r="BF283" t="s">
        <v>2763</v>
      </c>
      <c r="BG283" t="str">
        <f>HYPERLINK(".\links\PREV-RHOD-PEP\TI_asb-458-PREV-RHOD-PEP.txt","Contig16250_1")</f>
        <v>Contig16250_1</v>
      </c>
      <c r="BH283" s="6">
        <v>0</v>
      </c>
      <c r="BI283" t="str">
        <f>HYPERLINK(".\links\PREV-RHOD-PEP\TI_asb-458-PREV-RHOD-PEP.txt"," 10")</f>
        <v xml:space="preserve"> 10</v>
      </c>
      <c r="BJ283" t="s">
        <v>2764</v>
      </c>
      <c r="BK283">
        <v>747</v>
      </c>
      <c r="BL283">
        <v>376</v>
      </c>
      <c r="BM283">
        <v>376</v>
      </c>
      <c r="BN283">
        <v>97</v>
      </c>
      <c r="BO283">
        <v>100</v>
      </c>
      <c r="BP283">
        <v>11</v>
      </c>
      <c r="BQ283">
        <v>0</v>
      </c>
      <c r="BR283">
        <v>1</v>
      </c>
      <c r="BS283">
        <v>74</v>
      </c>
      <c r="BT283">
        <v>1</v>
      </c>
      <c r="BU283" t="s">
        <v>54</v>
      </c>
      <c r="BV283" t="s">
        <v>2765</v>
      </c>
      <c r="BW283" t="s">
        <v>56</v>
      </c>
      <c r="BX283" t="str">
        <f>HYPERLINK(".\links\PREV-RHOD-CDS\TI_asb-458-PREV-RHOD-CDS.txt","Contig17779_20")</f>
        <v>Contig17779_20</v>
      </c>
      <c r="BY283" s="6">
        <v>0</v>
      </c>
      <c r="BZ283" t="s">
        <v>2766</v>
      </c>
      <c r="CA283">
        <v>1352</v>
      </c>
      <c r="CB283">
        <v>1057</v>
      </c>
      <c r="CC283">
        <v>1058</v>
      </c>
      <c r="CD283">
        <v>91</v>
      </c>
      <c r="CE283">
        <v>100</v>
      </c>
      <c r="CF283">
        <v>94</v>
      </c>
      <c r="CG283">
        <v>0</v>
      </c>
      <c r="CH283">
        <v>1</v>
      </c>
      <c r="CI283">
        <v>74</v>
      </c>
      <c r="CJ283">
        <v>1</v>
      </c>
      <c r="CK283" t="s">
        <v>54</v>
      </c>
      <c r="CL283" t="s">
        <v>2767</v>
      </c>
      <c r="CM283">
        <f>HYPERLINK(".\links\GO\TI_asb-458-GO.txt",0)</f>
        <v>0</v>
      </c>
      <c r="CN283" t="s">
        <v>2768</v>
      </c>
      <c r="CO283" t="s">
        <v>703</v>
      </c>
      <c r="CP283" t="s">
        <v>2769</v>
      </c>
      <c r="CQ283" t="s">
        <v>2770</v>
      </c>
      <c r="CR283" s="5">
        <v>0</v>
      </c>
      <c r="CS283" t="s">
        <v>2771</v>
      </c>
      <c r="CT283" t="s">
        <v>75</v>
      </c>
      <c r="CU283" t="s">
        <v>378</v>
      </c>
      <c r="CV283" t="s">
        <v>2772</v>
      </c>
      <c r="CW283" s="5">
        <v>0</v>
      </c>
      <c r="CX283" t="s">
        <v>2773</v>
      </c>
      <c r="CY283" t="s">
        <v>703</v>
      </c>
      <c r="CZ283" t="s">
        <v>2769</v>
      </c>
      <c r="DA283" t="s">
        <v>2774</v>
      </c>
      <c r="DB283" s="5">
        <v>0</v>
      </c>
      <c r="DC283" t="str">
        <f>HYPERLINK(".\links\CDD\TI_asb-458-CDD.txt","Actin")</f>
        <v>Actin</v>
      </c>
      <c r="DD283" t="str">
        <f>HYPERLINK("http://www.ncbi.nlm.nih.gov/Structure/cdd/cddsrv.cgi?uid=pfam00022&amp;version=v4.0","1E-172")</f>
        <v>1E-172</v>
      </c>
      <c r="DE283" t="s">
        <v>2775</v>
      </c>
      <c r="DF283" t="str">
        <f>HYPERLINK(".\links\PFAM\TI_asb-458-PFAM.txt","Actin")</f>
        <v>Actin</v>
      </c>
      <c r="DG283" t="str">
        <f>HYPERLINK("http://pfam.sanger.ac.uk/family?acc=PF00022","0.0")</f>
        <v>0.0</v>
      </c>
      <c r="DH283" t="str">
        <f>HYPERLINK(".\links\PRK\TI_asb-458-PRK.txt","actin")</f>
        <v>actin</v>
      </c>
      <c r="DI283" s="6">
        <v>0</v>
      </c>
      <c r="DJ283" s="6" t="str">
        <f>HYPERLINK(".\links\KOG\TI_asb-458-KOG.txt","Nuclear protein, contains WD40 repeats")</f>
        <v>Nuclear protein, contains WD40 repeats</v>
      </c>
      <c r="DK283" s="6" t="str">
        <f>HYPERLINK("http://www.ncbi.nlm.nih.gov/COG/grace/shokog.cgi?KOG1916","0.0")</f>
        <v>0.0</v>
      </c>
      <c r="DL283" s="6" t="s">
        <v>4337</v>
      </c>
      <c r="DM283" s="6" t="str">
        <f>HYPERLINK(".\links\KOG\TI_asb-458-KOG.txt","KOG1916")</f>
        <v>KOG1916</v>
      </c>
      <c r="DN283" t="str">
        <f>HYPERLINK(".\links\SMART\TI_asb-458-SMART.txt","ACTIN")</f>
        <v>ACTIN</v>
      </c>
      <c r="DO283" t="str">
        <f>HYPERLINK("http://smart.embl-heidelberg.de/smart/do_annotation.pl?DOMAIN=ACTIN&amp;BLAST=DUMMY","0.0")</f>
        <v>0.0</v>
      </c>
      <c r="DP283" s="3" t="s">
        <v>56</v>
      </c>
      <c r="ED283" s="3" t="s">
        <v>56</v>
      </c>
    </row>
    <row r="284" spans="1:147">
      <c r="A284" t="str">
        <f>HYPERLINK(".\links\seq\TI_asb-459-seq.txt","TI_asb-459")</f>
        <v>TI_asb-459</v>
      </c>
      <c r="B284">
        <v>459</v>
      </c>
      <c r="C284" t="str">
        <f>HYPERLINK(".\links\tsa\TI_asb-459-tsa.txt","1")</f>
        <v>1</v>
      </c>
      <c r="D284">
        <v>1</v>
      </c>
      <c r="E284">
        <v>489</v>
      </c>
      <c r="G284" t="str">
        <f>HYPERLINK(".\links\qual\TI_asb-459-qual.txt","24")</f>
        <v>24</v>
      </c>
      <c r="H284">
        <v>1</v>
      </c>
      <c r="I284">
        <v>0</v>
      </c>
      <c r="J284">
        <f t="shared" si="14"/>
        <v>1</v>
      </c>
      <c r="K284" s="6">
        <f t="shared" si="15"/>
        <v>1</v>
      </c>
      <c r="L284" s="6" t="s">
        <v>3868</v>
      </c>
      <c r="M284" s="6" t="s">
        <v>3869</v>
      </c>
      <c r="N284" s="6"/>
      <c r="O284" s="6"/>
      <c r="P284" s="6"/>
      <c r="Q284" s="3">
        <v>489</v>
      </c>
      <c r="R284" s="3">
        <v>213</v>
      </c>
      <c r="S284" s="6" t="s">
        <v>3763</v>
      </c>
      <c r="T284" s="3">
        <v>6</v>
      </c>
      <c r="U284" t="s">
        <v>56</v>
      </c>
      <c r="V284" t="s">
        <v>56</v>
      </c>
      <c r="W284" t="s">
        <v>56</v>
      </c>
      <c r="X284" t="s">
        <v>56</v>
      </c>
      <c r="Y284" t="s">
        <v>56</v>
      </c>
      <c r="Z284" t="s">
        <v>56</v>
      </c>
      <c r="AA284" t="s">
        <v>56</v>
      </c>
      <c r="AB284" t="s">
        <v>56</v>
      </c>
      <c r="AC284" t="s">
        <v>56</v>
      </c>
      <c r="AD284" t="s">
        <v>56</v>
      </c>
      <c r="AE284" t="s">
        <v>56</v>
      </c>
      <c r="AF284" t="s">
        <v>56</v>
      </c>
      <c r="AG284" t="s">
        <v>56</v>
      </c>
      <c r="AH284" t="s">
        <v>56</v>
      </c>
      <c r="AI284" t="s">
        <v>56</v>
      </c>
      <c r="AJ284" t="s">
        <v>56</v>
      </c>
      <c r="AK284" t="s">
        <v>56</v>
      </c>
      <c r="AL284" t="s">
        <v>56</v>
      </c>
      <c r="AM284" t="s">
        <v>56</v>
      </c>
      <c r="AN284" s="19" t="s">
        <v>56</v>
      </c>
      <c r="AO284" t="s">
        <v>56</v>
      </c>
      <c r="AP284" t="s">
        <v>56</v>
      </c>
      <c r="AQ284" t="s">
        <v>56</v>
      </c>
      <c r="AR284" t="s">
        <v>56</v>
      </c>
      <c r="AS284" t="s">
        <v>56</v>
      </c>
      <c r="AT284" t="s">
        <v>56</v>
      </c>
      <c r="AU284" t="s">
        <v>56</v>
      </c>
      <c r="AV284" t="s">
        <v>56</v>
      </c>
      <c r="AW284" t="s">
        <v>56</v>
      </c>
      <c r="AX284" t="s">
        <v>56</v>
      </c>
      <c r="AY284" t="s">
        <v>56</v>
      </c>
      <c r="AZ284" t="s">
        <v>56</v>
      </c>
      <c r="BA284" t="s">
        <v>56</v>
      </c>
      <c r="BB284" t="s">
        <v>56</v>
      </c>
      <c r="BC284" t="s">
        <v>56</v>
      </c>
      <c r="BD284" t="s">
        <v>56</v>
      </c>
      <c r="BE284" t="s">
        <v>56</v>
      </c>
      <c r="BF284" t="s">
        <v>56</v>
      </c>
      <c r="BG284" t="str">
        <f>HYPERLINK(".\links\PREV-RHOD-PEP\TI_asb-459-PREV-RHOD-PEP.txt","Contig17471_13")</f>
        <v>Contig17471_13</v>
      </c>
      <c r="BH284" s="6">
        <v>1.9</v>
      </c>
      <c r="BI284" t="str">
        <f>HYPERLINK(".\links\PREV-RHOD-PEP\TI_asb-459-PREV-RHOD-PEP.txt"," 6")</f>
        <v xml:space="preserve"> 6</v>
      </c>
      <c r="BJ284" t="s">
        <v>2776</v>
      </c>
      <c r="BK284">
        <v>28.1</v>
      </c>
      <c r="BL284">
        <v>36</v>
      </c>
      <c r="BM284">
        <v>320</v>
      </c>
      <c r="BN284">
        <v>44</v>
      </c>
      <c r="BO284">
        <v>11</v>
      </c>
      <c r="BP284">
        <v>20</v>
      </c>
      <c r="BQ284">
        <v>0</v>
      </c>
      <c r="BR284">
        <v>220</v>
      </c>
      <c r="BS284">
        <v>95</v>
      </c>
      <c r="BT284">
        <v>1</v>
      </c>
      <c r="BU284" t="s">
        <v>64</v>
      </c>
      <c r="BV284" t="s">
        <v>2777</v>
      </c>
      <c r="BW284" t="s">
        <v>56</v>
      </c>
      <c r="BX284" t="str">
        <f>HYPERLINK(".\links\PREV-RHOD-CDS\TI_asb-459-PREV-RHOD-CDS.txt","Contig9925_8")</f>
        <v>Contig9925_8</v>
      </c>
      <c r="BY284" s="6">
        <v>0.24</v>
      </c>
      <c r="BZ284" t="s">
        <v>2778</v>
      </c>
      <c r="CA284">
        <v>36.200000000000003</v>
      </c>
      <c r="CB284">
        <v>17</v>
      </c>
      <c r="CC284">
        <v>3093</v>
      </c>
      <c r="CD284">
        <v>100</v>
      </c>
      <c r="CE284">
        <v>1</v>
      </c>
      <c r="CF284">
        <v>0</v>
      </c>
      <c r="CG284">
        <v>0</v>
      </c>
      <c r="CH284">
        <v>1836</v>
      </c>
      <c r="CI284">
        <v>81</v>
      </c>
      <c r="CJ284">
        <v>1</v>
      </c>
      <c r="CK284" t="s">
        <v>64</v>
      </c>
      <c r="CL284" t="s">
        <v>56</v>
      </c>
      <c r="CM284" t="s">
        <v>56</v>
      </c>
      <c r="CN284" t="s">
        <v>56</v>
      </c>
      <c r="CO284" t="s">
        <v>56</v>
      </c>
      <c r="CP284" t="s">
        <v>56</v>
      </c>
      <c r="CQ284" t="s">
        <v>56</v>
      </c>
      <c r="CR284" t="s">
        <v>56</v>
      </c>
      <c r="CS284" t="s">
        <v>56</v>
      </c>
      <c r="CT284" t="s">
        <v>56</v>
      </c>
      <c r="CU284" t="s">
        <v>56</v>
      </c>
      <c r="CV284" t="s">
        <v>56</v>
      </c>
      <c r="CW284" t="s">
        <v>56</v>
      </c>
      <c r="CX284" t="s">
        <v>56</v>
      </c>
      <c r="CY284" t="s">
        <v>56</v>
      </c>
      <c r="CZ284" t="s">
        <v>56</v>
      </c>
      <c r="DA284" t="s">
        <v>56</v>
      </c>
      <c r="DB284" t="s">
        <v>56</v>
      </c>
      <c r="DC284" t="str">
        <f>HYPERLINK(".\links\CDD\TI_asb-459-CDD.txt","7TM_GPCR_Srz")</f>
        <v>7TM_GPCR_Srz</v>
      </c>
      <c r="DD284" t="str">
        <f>HYPERLINK("http://www.ncbi.nlm.nih.gov/Structure/cdd/cddsrv.cgi?uid=pfam10325&amp;version=v4.0","0.003")</f>
        <v>0.003</v>
      </c>
      <c r="DE284" t="s">
        <v>2779</v>
      </c>
      <c r="DF284" t="str">
        <f>HYPERLINK(".\links\PFAM\TI_asb-459-PFAM.txt","7TM_GPCR_Srz")</f>
        <v>7TM_GPCR_Srz</v>
      </c>
      <c r="DG284" t="str">
        <f>HYPERLINK("http://pfam.sanger.ac.uk/family?acc=PF10325","8E-004")</f>
        <v>8E-004</v>
      </c>
      <c r="DH284" t="str">
        <f>HYPERLINK(".\links\PRK\TI_asb-459-PRK.txt","NADH dehydrogenase subunit 2")</f>
        <v>NADH dehydrogenase subunit 2</v>
      </c>
      <c r="DI284" s="6">
        <v>2E-3</v>
      </c>
      <c r="DJ284" s="6" t="s">
        <v>56</v>
      </c>
      <c r="DN284" t="str">
        <f>HYPERLINK(".\links\SMART\TI_asb-459-SMART.txt","TLC")</f>
        <v>TLC</v>
      </c>
      <c r="DO284" t="str">
        <f>HYPERLINK("http://smart.embl-heidelberg.de/smart/do_annotation.pl?DOMAIN=TLC&amp;BLAST=DUMMY","0.016")</f>
        <v>0.016</v>
      </c>
      <c r="DP284" s="3" t="s">
        <v>56</v>
      </c>
      <c r="ED284" s="3" t="s">
        <v>56</v>
      </c>
    </row>
    <row r="285" spans="1:147">
      <c r="A285" t="str">
        <f>HYPERLINK(".\links\seq\TI_asb-460-seq.txt","TI_asb-460")</f>
        <v>TI_asb-460</v>
      </c>
      <c r="B285">
        <v>460</v>
      </c>
      <c r="C285" t="str">
        <f>HYPERLINK(".\links\tsa\TI_asb-460-tsa.txt","1")</f>
        <v>1</v>
      </c>
      <c r="D285">
        <v>1</v>
      </c>
      <c r="E285">
        <v>328</v>
      </c>
      <c r="F285">
        <v>253</v>
      </c>
      <c r="G285" t="str">
        <f>HYPERLINK(".\links\qual\TI_asb-460-qual.txt","48")</f>
        <v>48</v>
      </c>
      <c r="H285">
        <v>1</v>
      </c>
      <c r="I285">
        <v>0</v>
      </c>
      <c r="J285">
        <f t="shared" si="14"/>
        <v>1</v>
      </c>
      <c r="K285" s="6">
        <f t="shared" si="15"/>
        <v>1</v>
      </c>
      <c r="L285" s="6" t="s">
        <v>3868</v>
      </c>
      <c r="M285" s="6" t="s">
        <v>3869</v>
      </c>
      <c r="N285" s="6"/>
      <c r="O285" s="6"/>
      <c r="P285" s="6"/>
      <c r="Q285" s="3">
        <v>328</v>
      </c>
      <c r="R285" s="3">
        <v>327</v>
      </c>
      <c r="S285" s="6" t="s">
        <v>3764</v>
      </c>
      <c r="T285" s="3">
        <v>1</v>
      </c>
      <c r="U285" t="str">
        <f>HYPERLINK(".\links\NR-LIGHT\TI_asb-460-NR-LIGHT.txt","hypothetical protein AND_19389")</f>
        <v>hypothetical protein AND_19389</v>
      </c>
      <c r="V285" t="str">
        <f>HYPERLINK("http://www.ncbi.nlm.nih.gov/sutils/blink.cgi?pid=312372995","7.6")</f>
        <v>7.6</v>
      </c>
      <c r="W285" t="str">
        <f>HYPERLINK(".\links\NR-LIGHT\TI_asb-460-NR-LIGHT.txt"," 2")</f>
        <v xml:space="preserve"> 2</v>
      </c>
      <c r="X285" t="str">
        <f>HYPERLINK("http://www.ncbi.nlm.nih.gov/protein/312372995","gi|312372995")</f>
        <v>gi|312372995</v>
      </c>
      <c r="Y285">
        <v>31.6</v>
      </c>
      <c r="Z285">
        <v>30</v>
      </c>
      <c r="AA285">
        <v>491</v>
      </c>
      <c r="AB285">
        <v>40</v>
      </c>
      <c r="AC285">
        <v>6</v>
      </c>
      <c r="AD285">
        <v>18</v>
      </c>
      <c r="AE285">
        <v>0</v>
      </c>
      <c r="AF285">
        <v>413</v>
      </c>
      <c r="AG285">
        <v>28</v>
      </c>
      <c r="AH285">
        <v>1</v>
      </c>
      <c r="AI285">
        <v>1</v>
      </c>
      <c r="AJ285" t="s">
        <v>53</v>
      </c>
      <c r="AK285" t="s">
        <v>54</v>
      </c>
      <c r="AL285" t="s">
        <v>532</v>
      </c>
      <c r="AM285" t="s">
        <v>56</v>
      </c>
      <c r="AN285" s="19" t="s">
        <v>56</v>
      </c>
      <c r="AO285" t="s">
        <v>56</v>
      </c>
      <c r="AP285" t="s">
        <v>56</v>
      </c>
      <c r="AQ285" t="s">
        <v>56</v>
      </c>
      <c r="AR285" t="s">
        <v>56</v>
      </c>
      <c r="AS285" t="s">
        <v>56</v>
      </c>
      <c r="AT285" t="s">
        <v>56</v>
      </c>
      <c r="AU285" t="s">
        <v>56</v>
      </c>
      <c r="AV285" t="s">
        <v>56</v>
      </c>
      <c r="AW285" t="s">
        <v>56</v>
      </c>
      <c r="AX285" t="s">
        <v>56</v>
      </c>
      <c r="AY285" t="s">
        <v>56</v>
      </c>
      <c r="AZ285" t="s">
        <v>56</v>
      </c>
      <c r="BA285" t="s">
        <v>56</v>
      </c>
      <c r="BB285" t="s">
        <v>56</v>
      </c>
      <c r="BC285" t="s">
        <v>56</v>
      </c>
      <c r="BD285" t="s">
        <v>56</v>
      </c>
      <c r="BE285" t="s">
        <v>56</v>
      </c>
      <c r="BF285" t="s">
        <v>56</v>
      </c>
      <c r="BG285" t="str">
        <f>HYPERLINK(".\links\PREV-RHOD-PEP\TI_asb-460-PREV-RHOD-PEP.txt","Contig17942_134")</f>
        <v>Contig17942_134</v>
      </c>
      <c r="BH285" s="6">
        <v>0.09</v>
      </c>
      <c r="BI285" t="str">
        <f>HYPERLINK(".\links\PREV-RHOD-PEP\TI_asb-460-PREV-RHOD-PEP.txt"," 5")</f>
        <v xml:space="preserve"> 5</v>
      </c>
      <c r="BJ285" t="s">
        <v>2780</v>
      </c>
      <c r="BK285">
        <v>32</v>
      </c>
      <c r="BL285">
        <v>35</v>
      </c>
      <c r="BM285">
        <v>1316</v>
      </c>
      <c r="BN285">
        <v>34</v>
      </c>
      <c r="BO285">
        <v>3</v>
      </c>
      <c r="BP285">
        <v>23</v>
      </c>
      <c r="BQ285">
        <v>0</v>
      </c>
      <c r="BR285">
        <v>1244</v>
      </c>
      <c r="BS285">
        <v>134</v>
      </c>
      <c r="BT285">
        <v>1</v>
      </c>
      <c r="BU285" t="s">
        <v>64</v>
      </c>
      <c r="BV285" t="s">
        <v>2781</v>
      </c>
      <c r="BW285" t="s">
        <v>56</v>
      </c>
      <c r="BX285" t="str">
        <f>HYPERLINK(".\links\PREV-RHOD-CDS\TI_asb-460-PREV-RHOD-CDS.txt","Contig89_1")</f>
        <v>Contig89_1</v>
      </c>
      <c r="BY285" s="6">
        <v>0.62</v>
      </c>
      <c r="BZ285" t="s">
        <v>2782</v>
      </c>
      <c r="CA285">
        <v>34.200000000000003</v>
      </c>
      <c r="CB285">
        <v>16</v>
      </c>
      <c r="CC285">
        <v>657</v>
      </c>
      <c r="CD285">
        <v>100</v>
      </c>
      <c r="CE285">
        <v>3</v>
      </c>
      <c r="CF285">
        <v>0</v>
      </c>
      <c r="CG285">
        <v>0</v>
      </c>
      <c r="CH285">
        <v>85</v>
      </c>
      <c r="CI285">
        <v>305</v>
      </c>
      <c r="CJ285">
        <v>1</v>
      </c>
      <c r="CK285" t="s">
        <v>54</v>
      </c>
      <c r="CL285" t="s">
        <v>2783</v>
      </c>
      <c r="CM285">
        <f>HYPERLINK(".\links\GO\TI_asb-460-GO.txt",9.2)</f>
        <v>9.1999999999999993</v>
      </c>
      <c r="CN285" t="s">
        <v>997</v>
      </c>
      <c r="CO285" t="s">
        <v>185</v>
      </c>
      <c r="CP285" t="s">
        <v>222</v>
      </c>
      <c r="CQ285" t="s">
        <v>998</v>
      </c>
      <c r="CR285">
        <v>9.1999999999999993</v>
      </c>
      <c r="CS285" t="s">
        <v>74</v>
      </c>
      <c r="CT285" t="s">
        <v>75</v>
      </c>
      <c r="CU285" t="s">
        <v>76</v>
      </c>
      <c r="CV285" t="s">
        <v>77</v>
      </c>
      <c r="CW285">
        <v>9.1999999999999993</v>
      </c>
      <c r="CX285" t="s">
        <v>2784</v>
      </c>
      <c r="CY285" t="s">
        <v>185</v>
      </c>
      <c r="CZ285" t="s">
        <v>222</v>
      </c>
      <c r="DA285" t="s">
        <v>2785</v>
      </c>
      <c r="DB285">
        <v>9.1999999999999993</v>
      </c>
      <c r="DC285" t="str">
        <f>HYPERLINK(".\links\CDD\TI_asb-460-CDD.txt","lacY")</f>
        <v>lacY</v>
      </c>
      <c r="DD285" t="str">
        <f>HYPERLINK("http://www.ncbi.nlm.nih.gov/Structure/cdd/cddsrv.cgi?uid=PRK09528&amp;version=v4.0","0.055")</f>
        <v>0.055</v>
      </c>
      <c r="DE285" t="s">
        <v>2786</v>
      </c>
      <c r="DF285" t="str">
        <f>HYPERLINK(".\links\PFAM\TI_asb-460-PFAM.txt","DUF1007")</f>
        <v>DUF1007</v>
      </c>
      <c r="DG285" t="str">
        <f>HYPERLINK("http://pfam.sanger.ac.uk/family?acc=PF06226","0.021")</f>
        <v>0.021</v>
      </c>
      <c r="DH285" t="str">
        <f>HYPERLINK(".\links\PRK\TI_asb-460-PRK.txt","NADH dehydrogenase subunit 5")</f>
        <v>NADH dehydrogenase subunit 5</v>
      </c>
      <c r="DI285" s="6">
        <v>7.0000000000000001E-3</v>
      </c>
      <c r="DJ285" s="6" t="str">
        <f>HYPERLINK(".\links\KOG\TI_asb-460-KOG.txt","Splicing factor, arginine/serine-rich")</f>
        <v>Splicing factor, arginine/serine-rich</v>
      </c>
      <c r="DK285" s="6" t="str">
        <f>HYPERLINK("http://www.ncbi.nlm.nih.gov/COG/grace/shokog.cgi?KOG4676","0.073")</f>
        <v>0.073</v>
      </c>
      <c r="DL285" s="6" t="s">
        <v>4348</v>
      </c>
      <c r="DM285" s="6" t="str">
        <f>HYPERLINK(".\links\KOG\TI_asb-460-KOG.txt","KOG4676")</f>
        <v>KOG4676</v>
      </c>
      <c r="DN285" t="str">
        <f>HYPERLINK(".\links\SMART\TI_asb-460-SMART.txt","STE")</f>
        <v>STE</v>
      </c>
      <c r="DO285" t="str">
        <f>HYPERLINK("http://smart.embl-heidelberg.de/smart/do_annotation.pl?DOMAIN=STE&amp;BLAST=DUMMY","0.087")</f>
        <v>0.087</v>
      </c>
      <c r="DP285" s="3" t="s">
        <v>56</v>
      </c>
      <c r="ED285" s="3" t="s">
        <v>56</v>
      </c>
    </row>
    <row r="286" spans="1:147">
      <c r="A286" t="str">
        <f>HYPERLINK(".\links\seq\TI_asb-461-seq.txt","TI_asb-461")</f>
        <v>TI_asb-461</v>
      </c>
      <c r="B286">
        <v>461</v>
      </c>
      <c r="C286" t="str">
        <f>HYPERLINK(".\links\tsa\TI_asb-461-tsa.txt","1")</f>
        <v>1</v>
      </c>
      <c r="D286">
        <v>1</v>
      </c>
      <c r="E286">
        <v>375</v>
      </c>
      <c r="G286" t="str">
        <f>HYPERLINK(".\links\qual\TI_asb-461-qual.txt","48")</f>
        <v>48</v>
      </c>
      <c r="H286">
        <v>1</v>
      </c>
      <c r="I286">
        <v>0</v>
      </c>
      <c r="J286">
        <f t="shared" si="14"/>
        <v>1</v>
      </c>
      <c r="K286" s="6">
        <f t="shared" si="15"/>
        <v>1</v>
      </c>
      <c r="L286" s="6" t="s">
        <v>4052</v>
      </c>
      <c r="M286" s="6" t="s">
        <v>3976</v>
      </c>
      <c r="N286" s="6" t="s">
        <v>3884</v>
      </c>
      <c r="O286" s="6">
        <v>9E-13</v>
      </c>
      <c r="P286" s="6">
        <v>34</v>
      </c>
      <c r="Q286" s="3">
        <v>375</v>
      </c>
      <c r="R286" s="3">
        <v>225</v>
      </c>
      <c r="S286" s="3" t="s">
        <v>3765</v>
      </c>
      <c r="T286" s="3">
        <v>2</v>
      </c>
      <c r="U286" t="str">
        <f>HYPERLINK(".\links\NR-LIGHT\TI_asb-461-NR-LIGHT.txt","hypothetical protein BRAFLDRAFT_108193")</f>
        <v>hypothetical protein BRAFLDRAFT_108193</v>
      </c>
      <c r="V286" t="str">
        <f>HYPERLINK("http://www.ncbi.nlm.nih.gov/sutils/blink.cgi?pid=260822352","1E-014")</f>
        <v>1E-014</v>
      </c>
      <c r="W286" t="str">
        <f>HYPERLINK(".\links\NR-LIGHT\TI_asb-461-NR-LIGHT.txt"," 10")</f>
        <v xml:space="preserve"> 10</v>
      </c>
      <c r="X286" t="str">
        <f>HYPERLINK("http://www.ncbi.nlm.nih.gov/protein/260822352","gi|260822352")</f>
        <v>gi|260822352</v>
      </c>
      <c r="Y286">
        <v>80.5</v>
      </c>
      <c r="Z286">
        <v>70</v>
      </c>
      <c r="AA286">
        <v>202</v>
      </c>
      <c r="AB286">
        <v>50</v>
      </c>
      <c r="AC286">
        <v>35</v>
      </c>
      <c r="AD286">
        <v>35</v>
      </c>
      <c r="AE286">
        <v>0</v>
      </c>
      <c r="AF286">
        <v>131</v>
      </c>
      <c r="AG286">
        <v>50</v>
      </c>
      <c r="AH286">
        <v>1</v>
      </c>
      <c r="AI286">
        <v>2</v>
      </c>
      <c r="AJ286" t="s">
        <v>53</v>
      </c>
      <c r="AK286" t="s">
        <v>54</v>
      </c>
      <c r="AL286" t="s">
        <v>2787</v>
      </c>
      <c r="AM286" t="str">
        <f>HYPERLINK(".\links\SWISSP\TI_asb-461-SWISSP.txt","COMM domain-containing protein 7 OS=Mus musculus GN=Commd7 PE=2 SV=1")</f>
        <v>COMM domain-containing protein 7 OS=Mus musculus GN=Commd7 PE=2 SV=1</v>
      </c>
      <c r="AN286" s="19" t="str">
        <f>HYPERLINK("http://www.uniprot.org/uniprot/Q8BG94","3E-012")</f>
        <v>3E-012</v>
      </c>
      <c r="AO286" t="str">
        <f>HYPERLINK(".\links\SWISSP\TI_asb-461-SWISSP.txt"," 9")</f>
        <v xml:space="preserve"> 9</v>
      </c>
      <c r="AP286" t="s">
        <v>2788</v>
      </c>
      <c r="AQ286">
        <v>70.5</v>
      </c>
      <c r="AR286">
        <v>69</v>
      </c>
      <c r="AS286">
        <v>200</v>
      </c>
      <c r="AT286">
        <v>44</v>
      </c>
      <c r="AU286">
        <v>35</v>
      </c>
      <c r="AV286">
        <v>38</v>
      </c>
      <c r="AW286">
        <v>0</v>
      </c>
      <c r="AX286">
        <v>129</v>
      </c>
      <c r="AY286">
        <v>50</v>
      </c>
      <c r="AZ286">
        <v>1</v>
      </c>
      <c r="BA286">
        <v>2</v>
      </c>
      <c r="BB286" t="s">
        <v>53</v>
      </c>
      <c r="BC286" t="s">
        <v>54</v>
      </c>
      <c r="BD286" t="s">
        <v>214</v>
      </c>
      <c r="BE286" t="s">
        <v>2789</v>
      </c>
      <c r="BF286" t="s">
        <v>2790</v>
      </c>
      <c r="BG286" t="str">
        <f>HYPERLINK(".\links\PREV-RHOD-PEP\TI_asb-461-PREV-RHOD-PEP.txt","Contig17909_38")</f>
        <v>Contig17909_38</v>
      </c>
      <c r="BH286" s="6">
        <v>2.9</v>
      </c>
      <c r="BI286" t="str">
        <f>HYPERLINK(".\links\PREV-RHOD-PEP\TI_asb-461-PREV-RHOD-PEP.txt"," 5")</f>
        <v xml:space="preserve"> 5</v>
      </c>
      <c r="BJ286" t="s">
        <v>2791</v>
      </c>
      <c r="BK286">
        <v>26.9</v>
      </c>
      <c r="BL286">
        <v>64</v>
      </c>
      <c r="BM286">
        <v>276</v>
      </c>
      <c r="BN286">
        <v>26</v>
      </c>
      <c r="BO286">
        <v>23</v>
      </c>
      <c r="BP286">
        <v>47</v>
      </c>
      <c r="BQ286">
        <v>0</v>
      </c>
      <c r="BR286">
        <v>25</v>
      </c>
      <c r="BS286">
        <v>62</v>
      </c>
      <c r="BT286">
        <v>1</v>
      </c>
      <c r="BU286" t="s">
        <v>54</v>
      </c>
      <c r="BV286" t="s">
        <v>2792</v>
      </c>
      <c r="BW286" t="s">
        <v>56</v>
      </c>
      <c r="BX286" t="str">
        <f>HYPERLINK(".\links\PREV-RHOD-CDS\TI_asb-461-PREV-RHOD-CDS.txt","Contig10589_7")</f>
        <v>Contig10589_7</v>
      </c>
      <c r="BY286" s="6">
        <v>0.72</v>
      </c>
      <c r="BZ286" t="s">
        <v>2793</v>
      </c>
      <c r="CA286">
        <v>34.200000000000003</v>
      </c>
      <c r="CB286">
        <v>16</v>
      </c>
      <c r="CC286">
        <v>999</v>
      </c>
      <c r="CD286">
        <v>100</v>
      </c>
      <c r="CE286">
        <v>2</v>
      </c>
      <c r="CF286">
        <v>0</v>
      </c>
      <c r="CG286">
        <v>0</v>
      </c>
      <c r="CH286">
        <v>679</v>
      </c>
      <c r="CI286">
        <v>317</v>
      </c>
      <c r="CJ286">
        <v>1</v>
      </c>
      <c r="CK286" t="s">
        <v>64</v>
      </c>
      <c r="CL286" t="s">
        <v>2794</v>
      </c>
      <c r="CM286">
        <f>HYPERLINK(".\links\GO\TI_asb-461-GO.txt",0.0000000000007)</f>
        <v>7.0000000000000005E-13</v>
      </c>
      <c r="CN286" t="s">
        <v>58</v>
      </c>
      <c r="CO286" t="s">
        <v>58</v>
      </c>
      <c r="CQ286" t="s">
        <v>59</v>
      </c>
      <c r="CR286" s="6">
        <v>7.0000000000000005E-13</v>
      </c>
      <c r="CS286" t="s">
        <v>60</v>
      </c>
      <c r="CT286" t="s">
        <v>60</v>
      </c>
      <c r="CV286" t="s">
        <v>61</v>
      </c>
      <c r="CW286" s="6">
        <v>7.0000000000000005E-13</v>
      </c>
      <c r="CX286" t="s">
        <v>62</v>
      </c>
      <c r="CY286" t="s">
        <v>58</v>
      </c>
      <c r="DA286" t="s">
        <v>63</v>
      </c>
      <c r="DB286" s="6">
        <v>7.0000000000000005E-13</v>
      </c>
      <c r="DC286" t="str">
        <f>HYPERLINK(".\links\CDD\TI_asb-461-CDD.txt","Commd7")</f>
        <v>Commd7</v>
      </c>
      <c r="DD286" t="str">
        <f>HYPERLINK("http://www.ncbi.nlm.nih.gov/Structure/cdd/cddsrv.cgi?uid=cd04755&amp;version=v4.0","2E-016")</f>
        <v>2E-016</v>
      </c>
      <c r="DE286" t="s">
        <v>2795</v>
      </c>
      <c r="DF286" t="str">
        <f>HYPERLINK(".\links\PFAM\TI_asb-461-PFAM.txt","HCaRG")</f>
        <v>HCaRG</v>
      </c>
      <c r="DG286" t="str">
        <f>HYPERLINK("http://pfam.sanger.ac.uk/family?acc=PF07258","7E-009")</f>
        <v>7E-009</v>
      </c>
      <c r="DH286" t="str">
        <f>HYPERLINK(".\links\PRK\TI_asb-461-PRK.txt","NADH dehydrogenase subunit 4L")</f>
        <v>NADH dehydrogenase subunit 4L</v>
      </c>
      <c r="DI286" s="6">
        <v>6.0000000000000001E-3</v>
      </c>
      <c r="DJ286" s="6" t="s">
        <v>56</v>
      </c>
      <c r="DN286" t="s">
        <v>56</v>
      </c>
      <c r="DO286" t="s">
        <v>56</v>
      </c>
      <c r="DP286" s="3" t="s">
        <v>56</v>
      </c>
      <c r="ED286" s="3" t="s">
        <v>56</v>
      </c>
    </row>
    <row r="287" spans="1:147">
      <c r="A287" t="str">
        <f>HYPERLINK(".\links\seq\TI_asb-462-seq.txt","TI_asb-462")</f>
        <v>TI_asb-462</v>
      </c>
      <c r="B287">
        <v>462</v>
      </c>
      <c r="C287" t="str">
        <f>HYPERLINK(".\links\tsa\TI_asb-462-tsa.txt","1")</f>
        <v>1</v>
      </c>
      <c r="D287">
        <v>1</v>
      </c>
      <c r="E287">
        <v>487</v>
      </c>
      <c r="F287">
        <v>468</v>
      </c>
      <c r="G287" t="str">
        <f>HYPERLINK(".\links\qual\TI_asb-462-qual.txt","17")</f>
        <v>17</v>
      </c>
      <c r="H287">
        <v>1</v>
      </c>
      <c r="I287">
        <v>0</v>
      </c>
      <c r="J287">
        <f t="shared" si="14"/>
        <v>1</v>
      </c>
      <c r="K287" s="6">
        <f t="shared" si="15"/>
        <v>1</v>
      </c>
      <c r="L287" s="6" t="s">
        <v>3868</v>
      </c>
      <c r="M287" s="6" t="s">
        <v>3869</v>
      </c>
      <c r="N287" s="6"/>
      <c r="O287" s="6"/>
      <c r="P287" s="6"/>
      <c r="Q287" s="3">
        <v>487</v>
      </c>
      <c r="R287" s="3">
        <v>276</v>
      </c>
      <c r="S287" s="6" t="s">
        <v>3766</v>
      </c>
      <c r="T287" s="3">
        <v>1</v>
      </c>
      <c r="U287" t="str">
        <f>HYPERLINK(".\links\NR-LIGHT\TI_asb-462-NR-LIGHT.txt","conserved hypothetical protein")</f>
        <v>conserved hypothetical protein</v>
      </c>
      <c r="V287" t="str">
        <f>HYPERLINK("http://www.ncbi.nlm.nih.gov/sutils/blink.cgi?pid=221485776","0.84")</f>
        <v>0.84</v>
      </c>
      <c r="W287" t="str">
        <f>HYPERLINK(".\links\NR-LIGHT\TI_asb-462-NR-LIGHT.txt"," 1")</f>
        <v xml:space="preserve"> 1</v>
      </c>
      <c r="X287" t="str">
        <f>HYPERLINK("http://www.ncbi.nlm.nih.gov/protein/221485776","gi|221485776")</f>
        <v>gi|221485776</v>
      </c>
      <c r="Y287">
        <v>35</v>
      </c>
      <c r="Z287">
        <v>51</v>
      </c>
      <c r="AA287">
        <v>445</v>
      </c>
      <c r="AB287">
        <v>31</v>
      </c>
      <c r="AC287">
        <v>11</v>
      </c>
      <c r="AD287">
        <v>35</v>
      </c>
      <c r="AE287">
        <v>1</v>
      </c>
      <c r="AF287">
        <v>368</v>
      </c>
      <c r="AG287">
        <v>70</v>
      </c>
      <c r="AH287">
        <v>1</v>
      </c>
      <c r="AI287">
        <v>-2</v>
      </c>
      <c r="AJ287" t="s">
        <v>53</v>
      </c>
      <c r="AK287" t="s">
        <v>64</v>
      </c>
      <c r="AL287" t="s">
        <v>542</v>
      </c>
      <c r="AM287" t="str">
        <f>HYPERLINK(".\links\SWISSP\TI_asb-462-SWISSP.txt","Pesticidal crystal protein cry27Aa OS=Bacillus thuringiensis subsp. higo")</f>
        <v>Pesticidal crystal protein cry27Aa OS=Bacillus thuringiensis subsp. higo</v>
      </c>
      <c r="AN287" s="19" t="str">
        <f>HYPERLINK("http://www.uniprot.org/uniprot/Q9S597","9.2")</f>
        <v>9.2</v>
      </c>
      <c r="AO287" t="str">
        <f>HYPERLINK(".\links\SWISSP\TI_asb-462-SWISSP.txt"," 1")</f>
        <v xml:space="preserve"> 1</v>
      </c>
      <c r="AP287" t="s">
        <v>2796</v>
      </c>
      <c r="AQ287">
        <v>29.6</v>
      </c>
      <c r="AR287">
        <v>55</v>
      </c>
      <c r="AS287">
        <v>826</v>
      </c>
      <c r="AT287">
        <v>27</v>
      </c>
      <c r="AU287">
        <v>7</v>
      </c>
      <c r="AV287">
        <v>40</v>
      </c>
      <c r="AW287">
        <v>6</v>
      </c>
      <c r="AX287">
        <v>719</v>
      </c>
      <c r="AY287">
        <v>136</v>
      </c>
      <c r="AZ287">
        <v>1</v>
      </c>
      <c r="BA287">
        <v>1</v>
      </c>
      <c r="BB287" t="s">
        <v>53</v>
      </c>
      <c r="BC287" t="s">
        <v>54</v>
      </c>
      <c r="BD287" t="s">
        <v>2797</v>
      </c>
      <c r="BE287" t="s">
        <v>2798</v>
      </c>
      <c r="BF287" t="s">
        <v>2799</v>
      </c>
      <c r="BG287" t="str">
        <f>HYPERLINK(".\links\PREV-RHOD-PEP\TI_asb-462-PREV-RHOD-PEP.txt","Contig17943_3")</f>
        <v>Contig17943_3</v>
      </c>
      <c r="BH287" s="6">
        <v>7.4</v>
      </c>
      <c r="BI287" t="str">
        <f>HYPERLINK(".\links\PREV-RHOD-PEP\TI_asb-462-PREV-RHOD-PEP.txt"," 2")</f>
        <v xml:space="preserve"> 2</v>
      </c>
      <c r="BJ287" t="s">
        <v>2800</v>
      </c>
      <c r="BK287">
        <v>26.2</v>
      </c>
      <c r="BL287">
        <v>23</v>
      </c>
      <c r="BM287">
        <v>1288</v>
      </c>
      <c r="BN287">
        <v>56</v>
      </c>
      <c r="BO287">
        <v>2</v>
      </c>
      <c r="BP287">
        <v>10</v>
      </c>
      <c r="BQ287">
        <v>0</v>
      </c>
      <c r="BR287">
        <v>731</v>
      </c>
      <c r="BS287">
        <v>182</v>
      </c>
      <c r="BT287">
        <v>1</v>
      </c>
      <c r="BU287" t="s">
        <v>64</v>
      </c>
      <c r="BV287" t="s">
        <v>2801</v>
      </c>
      <c r="BW287" t="s">
        <v>56</v>
      </c>
      <c r="BX287" t="str">
        <f>HYPERLINK(".\links\PREV-RHOD-CDS\TI_asb-462-PREV-RHOD-CDS.txt","Contig18042_215")</f>
        <v>Contig18042_215</v>
      </c>
      <c r="BY287" s="6">
        <v>0.94</v>
      </c>
      <c r="BZ287" t="s">
        <v>2802</v>
      </c>
      <c r="CA287">
        <v>34.200000000000003</v>
      </c>
      <c r="CB287">
        <v>16</v>
      </c>
      <c r="CC287">
        <v>2004</v>
      </c>
      <c r="CD287">
        <v>100</v>
      </c>
      <c r="CE287">
        <v>1</v>
      </c>
      <c r="CF287">
        <v>0</v>
      </c>
      <c r="CG287">
        <v>0</v>
      </c>
      <c r="CH287">
        <v>347</v>
      </c>
      <c r="CI287">
        <v>258</v>
      </c>
      <c r="CJ287">
        <v>1</v>
      </c>
      <c r="CK287" t="s">
        <v>54</v>
      </c>
      <c r="CL287" t="s">
        <v>2803</v>
      </c>
      <c r="CM287">
        <f>HYPERLINK(".\links\GO\TI_asb-462-GO.txt",6.3)</f>
        <v>6.3</v>
      </c>
      <c r="CN287" t="s">
        <v>2804</v>
      </c>
      <c r="CO287" t="s">
        <v>102</v>
      </c>
      <c r="CP287" t="s">
        <v>103</v>
      </c>
      <c r="CQ287" t="s">
        <v>2805</v>
      </c>
      <c r="CR287" s="6">
        <v>6.3</v>
      </c>
      <c r="CS287" t="s">
        <v>105</v>
      </c>
      <c r="CT287" t="s">
        <v>75</v>
      </c>
      <c r="CU287" t="s">
        <v>106</v>
      </c>
      <c r="CV287" t="s">
        <v>107</v>
      </c>
      <c r="CW287" s="6">
        <v>6.3</v>
      </c>
      <c r="CX287" t="s">
        <v>2806</v>
      </c>
      <c r="CY287" t="s">
        <v>102</v>
      </c>
      <c r="CZ287" t="s">
        <v>103</v>
      </c>
      <c r="DA287" t="s">
        <v>2807</v>
      </c>
      <c r="DB287" s="6">
        <v>6.3</v>
      </c>
      <c r="DC287" t="s">
        <v>56</v>
      </c>
      <c r="DD287" t="s">
        <v>56</v>
      </c>
      <c r="DE287" t="s">
        <v>56</v>
      </c>
      <c r="DF287" t="s">
        <v>56</v>
      </c>
      <c r="DG287" t="s">
        <v>56</v>
      </c>
      <c r="DH287" t="s">
        <v>56</v>
      </c>
      <c r="DI287" s="6" t="s">
        <v>56</v>
      </c>
      <c r="DJ287" s="6" t="s">
        <v>56</v>
      </c>
      <c r="DN287" t="str">
        <f>HYPERLINK(".\links\SMART\TI_asb-462-SMART.txt","HTTM")</f>
        <v>HTTM</v>
      </c>
      <c r="DO287" t="str">
        <f>HYPERLINK("http://smart.embl-heidelberg.de/smart/do_annotation.pl?DOMAIN=HTTM&amp;BLAST=DUMMY","0.088")</f>
        <v>0.088</v>
      </c>
      <c r="DP287" s="3" t="s">
        <v>56</v>
      </c>
      <c r="ED287" s="3" t="s">
        <v>56</v>
      </c>
    </row>
    <row r="288" spans="1:147" s="26" customFormat="1">
      <c r="A288" s="26" t="str">
        <f>HYPERLINK(".\links\seq\TI_asb-464-seq.txt","TI_asb-464")</f>
        <v>TI_asb-464</v>
      </c>
      <c r="B288" s="26">
        <v>464</v>
      </c>
      <c r="C288" s="27" t="str">
        <f>HYPERLINK(".\links\tsa\TI_asb-464-tsa.txt","5")</f>
        <v>5</v>
      </c>
      <c r="D288" s="26">
        <v>5</v>
      </c>
      <c r="E288" s="26">
        <v>530</v>
      </c>
      <c r="F288" s="26">
        <v>404</v>
      </c>
      <c r="G288" s="26" t="str">
        <f>HYPERLINK(".\links\qual\TI_asb-464-qual.txt","78")</f>
        <v>78</v>
      </c>
      <c r="H288" s="26">
        <v>0</v>
      </c>
      <c r="I288" s="26">
        <v>5</v>
      </c>
      <c r="J288" s="26">
        <f t="shared" si="14"/>
        <v>5</v>
      </c>
      <c r="K288" s="26">
        <f t="shared" si="15"/>
        <v>-5</v>
      </c>
      <c r="L288" s="26" t="s">
        <v>3868</v>
      </c>
      <c r="M288" s="26" t="s">
        <v>3869</v>
      </c>
      <c r="Q288" s="26">
        <v>530</v>
      </c>
      <c r="R288" s="26">
        <v>213</v>
      </c>
      <c r="S288" s="26" t="s">
        <v>3767</v>
      </c>
      <c r="T288" s="26">
        <v>5</v>
      </c>
      <c r="U288" s="26" t="str">
        <f>HYPERLINK(".\links\NR-LIGHT\TI_asb-464-NR-LIGHT.txt","Tm227 salivary lipocalin")</f>
        <v>Tm227 salivary lipocalin</v>
      </c>
      <c r="V288" s="26" t="str">
        <f>HYPERLINK("http://www.ncbi.nlm.nih.gov/sutils/blink.cgi?pid=307094904","1.9")</f>
        <v>1.9</v>
      </c>
      <c r="W288" s="26" t="str">
        <f>HYPERLINK(".\links\NR-LIGHT\TI_asb-464-NR-LIGHT.txt"," 2")</f>
        <v xml:space="preserve"> 2</v>
      </c>
      <c r="X288" s="26" t="str">
        <f>HYPERLINK("http://www.ncbi.nlm.nih.gov/protein/307094904","gi|307094904")</f>
        <v>gi|307094904</v>
      </c>
      <c r="Y288" s="26">
        <v>34.299999999999997</v>
      </c>
      <c r="Z288" s="26">
        <v>20</v>
      </c>
      <c r="AA288" s="26">
        <v>224</v>
      </c>
      <c r="AB288" s="26">
        <v>70</v>
      </c>
      <c r="AC288" s="26">
        <v>9</v>
      </c>
      <c r="AD288" s="26">
        <v>6</v>
      </c>
      <c r="AE288" s="26">
        <v>0</v>
      </c>
      <c r="AF288" s="26">
        <v>205</v>
      </c>
      <c r="AG288" s="26">
        <v>437</v>
      </c>
      <c r="AH288" s="26">
        <v>1</v>
      </c>
      <c r="AI288" s="26">
        <v>2</v>
      </c>
      <c r="AJ288" s="26" t="s">
        <v>53</v>
      </c>
      <c r="AK288" s="26" t="s">
        <v>54</v>
      </c>
      <c r="AL288" s="26" t="s">
        <v>258</v>
      </c>
      <c r="AM288" s="26" t="s">
        <v>56</v>
      </c>
      <c r="AN288" s="29" t="s">
        <v>56</v>
      </c>
      <c r="AO288" s="26" t="s">
        <v>56</v>
      </c>
      <c r="AP288" s="26" t="s">
        <v>56</v>
      </c>
      <c r="AQ288" s="26" t="s">
        <v>56</v>
      </c>
      <c r="AR288" s="26" t="s">
        <v>56</v>
      </c>
      <c r="AS288" s="26" t="s">
        <v>56</v>
      </c>
      <c r="AT288" s="26" t="s">
        <v>56</v>
      </c>
      <c r="AU288" s="26" t="s">
        <v>56</v>
      </c>
      <c r="AV288" s="26" t="s">
        <v>56</v>
      </c>
      <c r="AW288" s="26" t="s">
        <v>56</v>
      </c>
      <c r="AX288" s="26" t="s">
        <v>56</v>
      </c>
      <c r="AY288" s="26" t="s">
        <v>56</v>
      </c>
      <c r="AZ288" s="26" t="s">
        <v>56</v>
      </c>
      <c r="BA288" s="26" t="s">
        <v>56</v>
      </c>
      <c r="BB288" s="26" t="s">
        <v>56</v>
      </c>
      <c r="BC288" s="26" t="s">
        <v>56</v>
      </c>
      <c r="BD288" s="26" t="s">
        <v>56</v>
      </c>
      <c r="BE288" s="26" t="s">
        <v>56</v>
      </c>
      <c r="BF288" s="26" t="s">
        <v>56</v>
      </c>
      <c r="BG288" s="26" t="str">
        <f>HYPERLINK(".\links\PREV-RHOD-PEP\TI_asb-464-PREV-RHOD-PEP.txt","Contig17848_61")</f>
        <v>Contig17848_61</v>
      </c>
      <c r="BH288" s="26">
        <v>1</v>
      </c>
      <c r="BI288" s="26" t="str">
        <f>HYPERLINK(".\links\PREV-RHOD-PEP\TI_asb-464-PREV-RHOD-PEP.txt"," 3")</f>
        <v xml:space="preserve"> 3</v>
      </c>
      <c r="BJ288" s="26" t="s">
        <v>2808</v>
      </c>
      <c r="BK288" s="26">
        <v>29.3</v>
      </c>
      <c r="BL288" s="26">
        <v>44</v>
      </c>
      <c r="BM288" s="26">
        <v>1377</v>
      </c>
      <c r="BN288" s="26">
        <v>40</v>
      </c>
      <c r="BO288" s="26">
        <v>3</v>
      </c>
      <c r="BP288" s="26">
        <v>26</v>
      </c>
      <c r="BQ288" s="26">
        <v>0</v>
      </c>
      <c r="BR288" s="26">
        <v>910</v>
      </c>
      <c r="BS288" s="26">
        <v>71</v>
      </c>
      <c r="BT288" s="26">
        <v>1</v>
      </c>
      <c r="BU288" s="26" t="s">
        <v>54</v>
      </c>
      <c r="BV288" s="26" t="s">
        <v>2809</v>
      </c>
      <c r="BW288" s="26" t="s">
        <v>56</v>
      </c>
      <c r="BX288" s="26" t="str">
        <f>HYPERLINK(".\links\PREV-RHOD-CDS\TI_asb-464-PREV-RHOD-CDS.txt","Contig17919_48")</f>
        <v>Contig17919_48</v>
      </c>
      <c r="BY288" s="26">
        <v>1</v>
      </c>
      <c r="BZ288" s="26" t="s">
        <v>2810</v>
      </c>
      <c r="CA288" s="26">
        <v>34.200000000000003</v>
      </c>
      <c r="CB288" s="26">
        <v>16</v>
      </c>
      <c r="CC288" s="26">
        <v>300</v>
      </c>
      <c r="CD288" s="26">
        <v>100</v>
      </c>
      <c r="CE288" s="26">
        <v>6</v>
      </c>
      <c r="CF288" s="26">
        <v>0</v>
      </c>
      <c r="CG288" s="26">
        <v>0</v>
      </c>
      <c r="CH288" s="26">
        <v>77</v>
      </c>
      <c r="CI288" s="26">
        <v>266</v>
      </c>
      <c r="CJ288" s="26">
        <v>1</v>
      </c>
      <c r="CK288" s="26" t="s">
        <v>54</v>
      </c>
      <c r="CL288" s="26" t="s">
        <v>2811</v>
      </c>
      <c r="CM288" s="26">
        <f>HYPERLINK(".\links\GO\TI_asb-464-GO.txt",5.7)</f>
        <v>5.7</v>
      </c>
      <c r="CN288" s="26" t="s">
        <v>2027</v>
      </c>
      <c r="CO288" s="26" t="s">
        <v>129</v>
      </c>
      <c r="CP288" s="26" t="s">
        <v>151</v>
      </c>
      <c r="CQ288" s="26" t="s">
        <v>2028</v>
      </c>
      <c r="CR288" s="26">
        <v>5.7</v>
      </c>
      <c r="CS288" s="26" t="s">
        <v>74</v>
      </c>
      <c r="CT288" s="26" t="s">
        <v>75</v>
      </c>
      <c r="CU288" s="26" t="s">
        <v>76</v>
      </c>
      <c r="CV288" s="26" t="s">
        <v>77</v>
      </c>
      <c r="CW288" s="26">
        <v>5.7</v>
      </c>
      <c r="CX288" s="26" t="s">
        <v>2812</v>
      </c>
      <c r="CY288" s="26" t="s">
        <v>129</v>
      </c>
      <c r="CZ288" s="26" t="s">
        <v>151</v>
      </c>
      <c r="DA288" s="26" t="s">
        <v>2813</v>
      </c>
      <c r="DB288" s="26">
        <v>5.7</v>
      </c>
      <c r="DC288" s="26" t="str">
        <f>HYPERLINK(".\links\CDD\TI_asb-464-CDD.txt","Borrelia_orfA")</f>
        <v>Borrelia_orfA</v>
      </c>
      <c r="DD288" s="26" t="str">
        <f>HYPERLINK("http://www.ncbi.nlm.nih.gov/Structure/cdd/cddsrv.cgi?uid=pfam02414&amp;version=v4.0","0.002")</f>
        <v>0.002</v>
      </c>
      <c r="DE288" s="26" t="s">
        <v>2814</v>
      </c>
      <c r="DF288" s="26" t="str">
        <f>HYPERLINK(".\links\PFAM\TI_asb-464-PFAM.txt","7TM_GPCR_Srz")</f>
        <v>7TM_GPCR_Srz</v>
      </c>
      <c r="DG288" s="26" t="str">
        <f>HYPERLINK("http://pfam.sanger.ac.uk/family?acc=PF10325","2E-005")</f>
        <v>2E-005</v>
      </c>
      <c r="DH288" s="26" t="str">
        <f>HYPERLINK(".\links\PRK\TI_asb-464-PRK.txt","NADH dehydrogenase subunit 5")</f>
        <v>NADH dehydrogenase subunit 5</v>
      </c>
      <c r="DI288" s="28">
        <v>9.9999999999999995E-7</v>
      </c>
      <c r="DJ288" s="26" t="str">
        <f>HYPERLINK(".\links\KOG\TI_asb-464-KOG.txt","Predicted RNA binding protein, contains G-patch domain")</f>
        <v>Predicted RNA binding protein, contains G-patch domain</v>
      </c>
      <c r="DK288" s="26" t="str">
        <f>HYPERLINK("http://www.ncbi.nlm.nih.gov/COG/grace/shokog.cgi?KOG2138","6E-004")</f>
        <v>6E-004</v>
      </c>
      <c r="DL288" s="26" t="s">
        <v>4348</v>
      </c>
      <c r="DM288" s="26" t="str">
        <f>HYPERLINK(".\links\KOG\TI_asb-464-KOG.txt","KOG2138")</f>
        <v>KOG2138</v>
      </c>
      <c r="DN288" s="26" t="str">
        <f>HYPERLINK(".\links\SMART\TI_asb-464-SMART.txt","PSN")</f>
        <v>PSN</v>
      </c>
      <c r="DO288" s="26" t="str">
        <f>HYPERLINK("http://smart.embl-heidelberg.de/smart/do_annotation.pl?DOMAIN=PSN&amp;BLAST=DUMMY","1E-004")</f>
        <v>1E-004</v>
      </c>
      <c r="DP288" s="26" t="s">
        <v>56</v>
      </c>
      <c r="ED288" s="26" t="s">
        <v>56</v>
      </c>
    </row>
    <row r="289" spans="1:134">
      <c r="A289" t="str">
        <f>HYPERLINK(".\links\seq\TI_asb-465-seq.txt","TI_asb-465")</f>
        <v>TI_asb-465</v>
      </c>
      <c r="B289">
        <v>465</v>
      </c>
      <c r="C289" t="str">
        <f>HYPERLINK(".\links\tsa\TI_asb-465-tsa.txt","3")</f>
        <v>3</v>
      </c>
      <c r="D289">
        <v>3</v>
      </c>
      <c r="E289">
        <v>598</v>
      </c>
      <c r="G289" t="str">
        <f>HYPERLINK(".\links\qual\TI_asb-465-qual.txt","73")</f>
        <v>73</v>
      </c>
      <c r="H289">
        <v>1</v>
      </c>
      <c r="I289">
        <v>2</v>
      </c>
      <c r="J289">
        <f t="shared" si="14"/>
        <v>1</v>
      </c>
      <c r="K289" s="6">
        <f t="shared" si="15"/>
        <v>-1</v>
      </c>
      <c r="L289" s="6" t="s">
        <v>3868</v>
      </c>
      <c r="M289" s="6" t="s">
        <v>3869</v>
      </c>
      <c r="N289" s="6"/>
      <c r="O289" s="6"/>
      <c r="P289" s="6"/>
      <c r="Q289" s="3">
        <v>598</v>
      </c>
      <c r="R289" s="3">
        <v>354</v>
      </c>
      <c r="S289" s="3" t="s">
        <v>3768</v>
      </c>
      <c r="T289" s="3">
        <v>2</v>
      </c>
      <c r="U289" t="str">
        <f>HYPERLINK(".\links\NR-LIGHT\TI_asb-465-NR-LIGHT.txt","hypothetical protein")</f>
        <v>hypothetical protein</v>
      </c>
      <c r="V289" t="str">
        <f>HYPERLINK("http://www.ncbi.nlm.nih.gov/sutils/blink.cgi?pid=115709019","3.2")</f>
        <v>3.2</v>
      </c>
      <c r="W289" t="str">
        <f>HYPERLINK(".\links\NR-LIGHT\TI_asb-465-NR-LIGHT.txt"," 6")</f>
        <v xml:space="preserve"> 6</v>
      </c>
      <c r="X289" t="str">
        <f>HYPERLINK("http://www.ncbi.nlm.nih.gov/protein/115709019","gi|115709019")</f>
        <v>gi|115709019</v>
      </c>
      <c r="Y289">
        <v>33.9</v>
      </c>
      <c r="Z289">
        <v>81</v>
      </c>
      <c r="AA289">
        <v>532</v>
      </c>
      <c r="AB289">
        <v>27</v>
      </c>
      <c r="AC289">
        <v>15</v>
      </c>
      <c r="AD289">
        <v>59</v>
      </c>
      <c r="AE289">
        <v>3</v>
      </c>
      <c r="AF289">
        <v>41</v>
      </c>
      <c r="AG289">
        <v>64</v>
      </c>
      <c r="AH289">
        <v>1</v>
      </c>
      <c r="AI289">
        <v>1</v>
      </c>
      <c r="AJ289" t="s">
        <v>53</v>
      </c>
      <c r="AK289" t="s">
        <v>54</v>
      </c>
      <c r="AL289" t="s">
        <v>950</v>
      </c>
      <c r="AM289" t="str">
        <f>HYPERLINK(".\links\SWISSP\TI_asb-465-SWISSP.txt","Structural protein V8 OS=Sputnik virophage PE=1 SV=1")</f>
        <v>Structural protein V8 OS=Sputnik virophage PE=1 SV=1</v>
      </c>
      <c r="AN289" s="19" t="str">
        <f>HYPERLINK("http://www.uniprot.org/uniprot/B4YNE8","0.78")</f>
        <v>0.78</v>
      </c>
      <c r="AO289" t="str">
        <f>HYPERLINK(".\links\SWISSP\TI_asb-465-SWISSP.txt"," 10")</f>
        <v xml:space="preserve"> 10</v>
      </c>
      <c r="AP289" t="s">
        <v>2815</v>
      </c>
      <c r="AQ289">
        <v>33.9</v>
      </c>
      <c r="AR289">
        <v>45</v>
      </c>
      <c r="AS289">
        <v>184</v>
      </c>
      <c r="AT289">
        <v>28</v>
      </c>
      <c r="AU289">
        <v>24</v>
      </c>
      <c r="AV289">
        <v>32</v>
      </c>
      <c r="AW289">
        <v>0</v>
      </c>
      <c r="AX289">
        <v>85</v>
      </c>
      <c r="AY289">
        <v>154</v>
      </c>
      <c r="AZ289">
        <v>1</v>
      </c>
      <c r="BA289">
        <v>1</v>
      </c>
      <c r="BB289" t="s">
        <v>53</v>
      </c>
      <c r="BC289" t="s">
        <v>54</v>
      </c>
      <c r="BD289" t="s">
        <v>2816</v>
      </c>
      <c r="BE289" t="s">
        <v>2817</v>
      </c>
      <c r="BF289" t="s">
        <v>2818</v>
      </c>
      <c r="BG289" t="str">
        <f>HYPERLINK(".\links\PREV-RHOD-PEP\TI_asb-465-PREV-RHOD-PEP.txt","Contig7471_3")</f>
        <v>Contig7471_3</v>
      </c>
      <c r="BH289" s="7">
        <v>1E-27</v>
      </c>
      <c r="BI289" t="str">
        <f>HYPERLINK(".\links\PREV-RHOD-PEP\TI_asb-465-PREV-RHOD-PEP.txt"," 10")</f>
        <v xml:space="preserve"> 10</v>
      </c>
      <c r="BJ289" t="s">
        <v>2819</v>
      </c>
      <c r="BK289">
        <v>80.5</v>
      </c>
      <c r="BL289">
        <v>88</v>
      </c>
      <c r="BM289">
        <v>194</v>
      </c>
      <c r="BN289">
        <v>44</v>
      </c>
      <c r="BO289">
        <v>45</v>
      </c>
      <c r="BP289">
        <v>49</v>
      </c>
      <c r="BQ289">
        <v>0</v>
      </c>
      <c r="BR289">
        <v>13</v>
      </c>
      <c r="BS289">
        <v>109</v>
      </c>
      <c r="BT289">
        <v>2</v>
      </c>
      <c r="BU289" t="s">
        <v>54</v>
      </c>
      <c r="BV289" t="s">
        <v>2820</v>
      </c>
      <c r="BW289" t="s">
        <v>439</v>
      </c>
      <c r="BX289" t="str">
        <f>HYPERLINK(".\links\PREV-RHOD-CDS\TI_asb-465-PREV-RHOD-CDS.txt","Contig7471_2")</f>
        <v>Contig7471_2</v>
      </c>
      <c r="BY289" s="6">
        <v>5.0000000000000001E-3</v>
      </c>
      <c r="BZ289" t="s">
        <v>1188</v>
      </c>
      <c r="CA289">
        <v>42.1</v>
      </c>
      <c r="CB289">
        <v>24</v>
      </c>
      <c r="CC289">
        <v>1233</v>
      </c>
      <c r="CD289">
        <v>96</v>
      </c>
      <c r="CE289">
        <v>2</v>
      </c>
      <c r="CF289">
        <v>1</v>
      </c>
      <c r="CG289">
        <v>0</v>
      </c>
      <c r="CH289">
        <v>595</v>
      </c>
      <c r="CI289">
        <v>187</v>
      </c>
      <c r="CJ289">
        <v>1</v>
      </c>
      <c r="CK289" t="s">
        <v>54</v>
      </c>
      <c r="CL289" t="s">
        <v>2821</v>
      </c>
      <c r="CM289">
        <f>HYPERLINK(".\links\GO\TI_asb-465-GO.txt",0.66)</f>
        <v>0.66</v>
      </c>
      <c r="CN289" t="s">
        <v>208</v>
      </c>
      <c r="CO289" t="s">
        <v>185</v>
      </c>
      <c r="CP289" t="s">
        <v>186</v>
      </c>
      <c r="CQ289" t="s">
        <v>209</v>
      </c>
      <c r="CR289" s="6">
        <v>0.66</v>
      </c>
      <c r="CS289" t="s">
        <v>2822</v>
      </c>
      <c r="CT289" t="s">
        <v>1890</v>
      </c>
      <c r="CU289" t="s">
        <v>1891</v>
      </c>
      <c r="CV289" t="s">
        <v>2823</v>
      </c>
      <c r="CW289" s="6">
        <v>0.66</v>
      </c>
      <c r="CX289" t="s">
        <v>817</v>
      </c>
      <c r="CY289" t="s">
        <v>185</v>
      </c>
      <c r="CZ289" t="s">
        <v>186</v>
      </c>
      <c r="DA289" t="s">
        <v>818</v>
      </c>
      <c r="DB289" s="6">
        <v>0.66</v>
      </c>
      <c r="DC289" t="s">
        <v>56</v>
      </c>
      <c r="DD289" t="s">
        <v>56</v>
      </c>
      <c r="DE289" t="s">
        <v>56</v>
      </c>
      <c r="DF289" t="str">
        <f>HYPERLINK(".\links\PFAM\TI_asb-465-PFAM.txt","Transposase_22")</f>
        <v>Transposase_22</v>
      </c>
      <c r="DG289" t="str">
        <f>HYPERLINK("http://pfam.sanger.ac.uk/family?acc=PF02994","0.050")</f>
        <v>0.050</v>
      </c>
      <c r="DH289" t="str">
        <f>HYPERLINK(".\links\PRK\TI_asb-465-PRK.txt","short chain acyl-CoA synthetase")</f>
        <v>short chain acyl-CoA synthetase</v>
      </c>
      <c r="DI289" s="6">
        <v>7.4999999999999997E-2</v>
      </c>
      <c r="DJ289" s="6" t="s">
        <v>56</v>
      </c>
      <c r="DN289" t="str">
        <f>HYPERLINK(".\links\SMART\TI_asb-465-SMART.txt","AgrB")</f>
        <v>AgrB</v>
      </c>
      <c r="DO289" t="str">
        <f>HYPERLINK("http://smart.embl-heidelberg.de/smart/do_annotation.pl?DOMAIN=AgrB&amp;BLAST=DUMMY","0.014")</f>
        <v>0.014</v>
      </c>
      <c r="DP289" s="3" t="s">
        <v>56</v>
      </c>
      <c r="ED289" s="3" t="s">
        <v>56</v>
      </c>
    </row>
    <row r="290" spans="1:134">
      <c r="A290" t="str">
        <f>HYPERLINK(".\links\seq\TI_asb-466-seq.txt","TI_asb-466")</f>
        <v>TI_asb-466</v>
      </c>
      <c r="B290">
        <v>466</v>
      </c>
      <c r="C290" t="str">
        <f>HYPERLINK(".\links\tsa\TI_asb-466-tsa.txt","3")</f>
        <v>3</v>
      </c>
      <c r="D290">
        <v>3</v>
      </c>
      <c r="E290">
        <v>696</v>
      </c>
      <c r="F290">
        <v>569</v>
      </c>
      <c r="G290" t="str">
        <f>HYPERLINK(".\links\qual\TI_asb-466-qual.txt","81")</f>
        <v>81</v>
      </c>
      <c r="H290">
        <v>0</v>
      </c>
      <c r="I290">
        <v>3</v>
      </c>
      <c r="J290">
        <f t="shared" si="14"/>
        <v>3</v>
      </c>
      <c r="K290" s="6">
        <f t="shared" si="15"/>
        <v>-3</v>
      </c>
      <c r="L290" s="6" t="s">
        <v>3905</v>
      </c>
      <c r="M290" s="6" t="s">
        <v>3906</v>
      </c>
      <c r="N290" s="6" t="s">
        <v>3867</v>
      </c>
      <c r="O290" s="6">
        <v>4E-14</v>
      </c>
      <c r="P290" s="6">
        <v>22.9</v>
      </c>
      <c r="Q290" s="3">
        <v>696</v>
      </c>
      <c r="R290" s="3">
        <v>342</v>
      </c>
      <c r="S290" s="6" t="s">
        <v>3769</v>
      </c>
      <c r="T290" s="3">
        <v>3</v>
      </c>
      <c r="U290" t="str">
        <f>HYPERLINK(".\links\NR-LIGHT\TI_asb-466-NR-LIGHT.txt","agip65")</f>
        <v>agip65</v>
      </c>
      <c r="V290" t="str">
        <f>HYPERLINK("http://www.ncbi.nlm.nih.gov/sutils/blink.cgi?pid=209170949","2.6")</f>
        <v>2.6</v>
      </c>
      <c r="W290" t="str">
        <f>HYPERLINK(".\links\NR-LIGHT\TI_asb-466-NR-LIGHT.txt"," 1")</f>
        <v xml:space="preserve"> 1</v>
      </c>
      <c r="X290" t="str">
        <f>HYPERLINK("http://www.ncbi.nlm.nih.gov/protein/209170949","gi|209170949")</f>
        <v>gi|209170949</v>
      </c>
      <c r="Y290">
        <v>34.700000000000003</v>
      </c>
      <c r="Z290">
        <v>30</v>
      </c>
      <c r="AA290">
        <v>194</v>
      </c>
      <c r="AB290">
        <v>50</v>
      </c>
      <c r="AC290">
        <v>15</v>
      </c>
      <c r="AD290">
        <v>15</v>
      </c>
      <c r="AE290">
        <v>0</v>
      </c>
      <c r="AF290">
        <v>72</v>
      </c>
      <c r="AG290">
        <v>304</v>
      </c>
      <c r="AH290">
        <v>1</v>
      </c>
      <c r="AI290">
        <v>1</v>
      </c>
      <c r="AJ290" t="s">
        <v>53</v>
      </c>
      <c r="AK290" t="s">
        <v>54</v>
      </c>
      <c r="AL290" t="s">
        <v>2824</v>
      </c>
      <c r="AM290" t="s">
        <v>56</v>
      </c>
      <c r="AN290" s="19" t="s">
        <v>56</v>
      </c>
      <c r="AO290" t="s">
        <v>56</v>
      </c>
      <c r="AP290" t="s">
        <v>56</v>
      </c>
      <c r="AQ290" t="s">
        <v>56</v>
      </c>
      <c r="AR290" t="s">
        <v>56</v>
      </c>
      <c r="AS290" t="s">
        <v>56</v>
      </c>
      <c r="AT290" t="s">
        <v>56</v>
      </c>
      <c r="AU290" t="s">
        <v>56</v>
      </c>
      <c r="AV290" t="s">
        <v>56</v>
      </c>
      <c r="AW290" t="s">
        <v>56</v>
      </c>
      <c r="AX290" t="s">
        <v>56</v>
      </c>
      <c r="AY290" t="s">
        <v>56</v>
      </c>
      <c r="AZ290" t="s">
        <v>56</v>
      </c>
      <c r="BA290" t="s">
        <v>56</v>
      </c>
      <c r="BB290" t="s">
        <v>56</v>
      </c>
      <c r="BC290" t="s">
        <v>56</v>
      </c>
      <c r="BD290" t="s">
        <v>56</v>
      </c>
      <c r="BE290" t="s">
        <v>56</v>
      </c>
      <c r="BF290" t="s">
        <v>56</v>
      </c>
      <c r="BG290" t="str">
        <f>HYPERLINK(".\links\PREV-RHOD-PEP\TI_asb-466-PREV-RHOD-PEP.txt","Contig17887_106")</f>
        <v>Contig17887_106</v>
      </c>
      <c r="BH290" s="7">
        <v>4.0000000000000002E-27</v>
      </c>
      <c r="BI290" t="str">
        <f>HYPERLINK(".\links\PREV-RHOD-PEP\TI_asb-466-PREV-RHOD-PEP.txt"," 2")</f>
        <v xml:space="preserve"> 2</v>
      </c>
      <c r="BJ290" t="s">
        <v>2825</v>
      </c>
      <c r="BK290">
        <v>117</v>
      </c>
      <c r="BL290">
        <v>114</v>
      </c>
      <c r="BM290">
        <v>115</v>
      </c>
      <c r="BN290">
        <v>53</v>
      </c>
      <c r="BO290">
        <v>99</v>
      </c>
      <c r="BP290">
        <v>53</v>
      </c>
      <c r="BQ290">
        <v>0</v>
      </c>
      <c r="BR290">
        <v>3</v>
      </c>
      <c r="BS290">
        <v>3</v>
      </c>
      <c r="BT290">
        <v>1</v>
      </c>
      <c r="BU290" t="s">
        <v>54</v>
      </c>
      <c r="BV290" t="s">
        <v>2826</v>
      </c>
      <c r="BW290" t="s">
        <v>56</v>
      </c>
      <c r="BX290" t="str">
        <f>HYPERLINK(".\links\PREV-RHOD-CDS\TI_asb-466-PREV-RHOD-CDS.txt","Contig17887_106")</f>
        <v>Contig17887_106</v>
      </c>
      <c r="BY290" s="7">
        <v>2.9999999999999999E-35</v>
      </c>
      <c r="BZ290" t="s">
        <v>2825</v>
      </c>
      <c r="CA290">
        <v>149</v>
      </c>
      <c r="CB290">
        <v>245</v>
      </c>
      <c r="CC290">
        <v>348</v>
      </c>
      <c r="CD290">
        <v>82</v>
      </c>
      <c r="CE290">
        <v>71</v>
      </c>
      <c r="CF290">
        <v>43</v>
      </c>
      <c r="CG290">
        <v>3</v>
      </c>
      <c r="CH290">
        <v>51</v>
      </c>
      <c r="CI290">
        <v>47</v>
      </c>
      <c r="CJ290">
        <v>1</v>
      </c>
      <c r="CK290" t="s">
        <v>54</v>
      </c>
      <c r="CL290" t="s">
        <v>2827</v>
      </c>
      <c r="CM290">
        <f>HYPERLINK(".\links\GO\TI_asb-466-GO.txt",3.3)</f>
        <v>3.3</v>
      </c>
      <c r="CN290" t="s">
        <v>2828</v>
      </c>
      <c r="CO290" t="s">
        <v>324</v>
      </c>
      <c r="CP290" t="s">
        <v>325</v>
      </c>
      <c r="CQ290" t="s">
        <v>2829</v>
      </c>
      <c r="CR290" s="6">
        <v>3.3</v>
      </c>
      <c r="CS290" t="s">
        <v>91</v>
      </c>
      <c r="CT290" t="s">
        <v>75</v>
      </c>
      <c r="CU290" t="s">
        <v>92</v>
      </c>
      <c r="CV290" t="s">
        <v>93</v>
      </c>
      <c r="CW290" s="6">
        <v>3.3</v>
      </c>
      <c r="CX290" t="s">
        <v>56</v>
      </c>
      <c r="CY290" t="s">
        <v>56</v>
      </c>
      <c r="CZ290" t="s">
        <v>56</v>
      </c>
      <c r="DA290" t="s">
        <v>56</v>
      </c>
      <c r="DB290" s="6" t="s">
        <v>56</v>
      </c>
      <c r="DC290" t="str">
        <f>HYPERLINK(".\links\CDD\TI_asb-466-CDD.txt","RNA_polI_A34")</f>
        <v>RNA_polI_A34</v>
      </c>
      <c r="DD290" t="str">
        <f>HYPERLINK("http://www.ncbi.nlm.nih.gov/Structure/cdd/cddsrv.cgi?uid=pfam08208&amp;version=v4.0","2E-008")</f>
        <v>2E-008</v>
      </c>
      <c r="DE290" t="s">
        <v>2830</v>
      </c>
      <c r="DF290" t="str">
        <f>HYPERLINK(".\links\PFAM\TI_asb-466-PFAM.txt","RNA_polI_A34")</f>
        <v>RNA_polI_A34</v>
      </c>
      <c r="DG290" t="str">
        <f>HYPERLINK("http://pfam.sanger.ac.uk/family?acc=PF08208","4E-014")</f>
        <v>4E-014</v>
      </c>
      <c r="DH290" t="str">
        <f>HYPERLINK(".\links\PRK\TI_asb-466-PRK.txt","ATP-dependent RNA helicase SrmB")</f>
        <v>ATP-dependent RNA helicase SrmB</v>
      </c>
      <c r="DI290" s="7">
        <v>9.9999999999999998E-13</v>
      </c>
      <c r="DJ290" s="6" t="str">
        <f>HYPERLINK(".\links\KOG\TI_asb-466-KOG.txt","Predicted RNA binding protein, contains G-patch domain")</f>
        <v>Predicted RNA binding protein, contains G-patch domain</v>
      </c>
      <c r="DK290" s="6" t="str">
        <f>HYPERLINK("http://www.ncbi.nlm.nih.gov/COG/grace/shokog.cgi?KOG2138","3E-010")</f>
        <v>3E-010</v>
      </c>
      <c r="DL290" s="6" t="s">
        <v>4348</v>
      </c>
      <c r="DM290" s="6" t="str">
        <f>HYPERLINK(".\links\KOG\TI_asb-466-KOG.txt","KOG2138")</f>
        <v>KOG2138</v>
      </c>
      <c r="DN290" t="str">
        <f>HYPERLINK(".\links\SMART\TI_asb-466-SMART.txt","TOPEUc")</f>
        <v>TOPEUc</v>
      </c>
      <c r="DO290" t="str">
        <f>HYPERLINK("http://smart.embl-heidelberg.de/smart/do_annotation.pl?DOMAIN=TOPEUc&amp;BLAST=DUMMY","3E-007")</f>
        <v>3E-007</v>
      </c>
      <c r="DP290" s="3" t="s">
        <v>56</v>
      </c>
      <c r="ED290" s="3" t="s">
        <v>56</v>
      </c>
    </row>
    <row r="291" spans="1:134">
      <c r="A291" t="str">
        <f>HYPERLINK(".\links\seq\TI_asb-467-seq.txt","TI_asb-467")</f>
        <v>TI_asb-467</v>
      </c>
      <c r="B291">
        <v>467</v>
      </c>
      <c r="C291" t="str">
        <f>HYPERLINK(".\links\tsa\TI_asb-467-tsa.txt","1")</f>
        <v>1</v>
      </c>
      <c r="D291">
        <v>1</v>
      </c>
      <c r="E291">
        <v>495</v>
      </c>
      <c r="G291" t="str">
        <f>HYPERLINK(".\links\qual\TI_asb-467-qual.txt","45")</f>
        <v>45</v>
      </c>
      <c r="H291">
        <v>1</v>
      </c>
      <c r="I291">
        <v>0</v>
      </c>
      <c r="J291">
        <f t="shared" si="14"/>
        <v>1</v>
      </c>
      <c r="K291" s="6">
        <f t="shared" si="15"/>
        <v>1</v>
      </c>
      <c r="L291" s="6" t="s">
        <v>4053</v>
      </c>
      <c r="M291" s="6" t="s">
        <v>3866</v>
      </c>
      <c r="N291" s="6" t="s">
        <v>3872</v>
      </c>
      <c r="O291" s="7">
        <v>7.9999999999999998E-28</v>
      </c>
      <c r="P291" s="6">
        <v>72.5</v>
      </c>
      <c r="Q291" s="3">
        <v>495</v>
      </c>
      <c r="R291" s="3">
        <v>438</v>
      </c>
      <c r="S291" s="6" t="s">
        <v>3770</v>
      </c>
      <c r="T291" s="3">
        <v>2</v>
      </c>
      <c r="U291" t="str">
        <f>HYPERLINK(".\links\NR-LIGHT\TI_asb-467-NR-LIGHT.txt","box H/ACA snoRNP, putative")</f>
        <v>box H/ACA snoRNP, putative</v>
      </c>
      <c r="V291" t="str">
        <f>HYPERLINK("http://www.ncbi.nlm.nih.gov/sutils/blink.cgi?pid=241855547","4E-024")</f>
        <v>4E-024</v>
      </c>
      <c r="W291" t="str">
        <f>HYPERLINK(".\links\NR-LIGHT\TI_asb-467-NR-LIGHT.txt"," 10")</f>
        <v xml:space="preserve"> 10</v>
      </c>
      <c r="X291" t="str">
        <f>HYPERLINK("http://www.ncbi.nlm.nih.gov/protein/241855547","gi|241855547")</f>
        <v>gi|241855547</v>
      </c>
      <c r="Y291">
        <v>112</v>
      </c>
      <c r="Z291">
        <v>143</v>
      </c>
      <c r="AA291">
        <v>187</v>
      </c>
      <c r="AB291">
        <v>44</v>
      </c>
      <c r="AC291">
        <v>76</v>
      </c>
      <c r="AD291">
        <v>79</v>
      </c>
      <c r="AE291">
        <v>0</v>
      </c>
      <c r="AF291">
        <v>1</v>
      </c>
      <c r="AG291">
        <v>65</v>
      </c>
      <c r="AH291">
        <v>1</v>
      </c>
      <c r="AI291">
        <v>2</v>
      </c>
      <c r="AJ291" t="s">
        <v>53</v>
      </c>
      <c r="AK291" t="s">
        <v>54</v>
      </c>
      <c r="AL291" t="s">
        <v>1018</v>
      </c>
      <c r="AM291" t="str">
        <f>HYPERLINK(".\links\SWISSP\TI_asb-467-SWISSP.txt","H/ACA ribonucleoprotein complex subunit 2-like protein OS=Drosophila yakuba")</f>
        <v>H/ACA ribonucleoprotein complex subunit 2-like protein OS=Drosophila yakuba</v>
      </c>
      <c r="AN291" s="19" t="str">
        <f>HYPERLINK("http://www.uniprot.org/uniprot/Q6XIP0","5E-017")</f>
        <v>5E-017</v>
      </c>
      <c r="AO291" t="str">
        <f>HYPERLINK(".\links\SWISSP\TI_asb-467-SWISSP.txt"," 10")</f>
        <v xml:space="preserve"> 10</v>
      </c>
      <c r="AP291" t="s">
        <v>2831</v>
      </c>
      <c r="AQ291">
        <v>87</v>
      </c>
      <c r="AR291">
        <v>94</v>
      </c>
      <c r="AS291">
        <v>160</v>
      </c>
      <c r="AT291">
        <v>46</v>
      </c>
      <c r="AU291">
        <v>59</v>
      </c>
      <c r="AV291">
        <v>50</v>
      </c>
      <c r="AW291">
        <v>3</v>
      </c>
      <c r="AX291">
        <v>19</v>
      </c>
      <c r="AY291">
        <v>218</v>
      </c>
      <c r="AZ291">
        <v>1</v>
      </c>
      <c r="BA291">
        <v>2</v>
      </c>
      <c r="BB291" t="s">
        <v>53</v>
      </c>
      <c r="BC291" t="s">
        <v>54</v>
      </c>
      <c r="BD291" t="s">
        <v>674</v>
      </c>
      <c r="BE291" t="s">
        <v>2832</v>
      </c>
      <c r="BF291" t="s">
        <v>2833</v>
      </c>
      <c r="BG291" t="str">
        <f>HYPERLINK(".\links\PREV-RHOD-PEP\TI_asb-467-PREV-RHOD-PEP.txt","Contig18001_14")</f>
        <v>Contig18001_14</v>
      </c>
      <c r="BH291" s="7">
        <v>4.9999999999999999E-17</v>
      </c>
      <c r="BI291" t="str">
        <f>HYPERLINK(".\links\PREV-RHOD-PEP\TI_asb-467-PREV-RHOD-PEP.txt"," 4")</f>
        <v xml:space="preserve"> 4</v>
      </c>
      <c r="BJ291" t="s">
        <v>2834</v>
      </c>
      <c r="BK291">
        <v>83.2</v>
      </c>
      <c r="BL291">
        <v>86</v>
      </c>
      <c r="BM291">
        <v>161</v>
      </c>
      <c r="BN291">
        <v>46</v>
      </c>
      <c r="BO291">
        <v>53</v>
      </c>
      <c r="BP291">
        <v>46</v>
      </c>
      <c r="BQ291">
        <v>0</v>
      </c>
      <c r="BR291">
        <v>28</v>
      </c>
      <c r="BS291">
        <v>233</v>
      </c>
      <c r="BT291">
        <v>1</v>
      </c>
      <c r="BU291" t="s">
        <v>54</v>
      </c>
      <c r="BV291" t="s">
        <v>2835</v>
      </c>
      <c r="BW291" t="s">
        <v>56</v>
      </c>
      <c r="BX291" t="str">
        <f>HYPERLINK(".\links\PREV-RHOD-CDS\TI_asb-467-PREV-RHOD-CDS.txt","Contig2403_3")</f>
        <v>Contig2403_3</v>
      </c>
      <c r="BY291" s="6">
        <v>3.8</v>
      </c>
      <c r="BZ291" t="s">
        <v>2836</v>
      </c>
      <c r="CA291">
        <v>32.200000000000003</v>
      </c>
      <c r="CB291">
        <v>15</v>
      </c>
      <c r="CC291">
        <v>1356</v>
      </c>
      <c r="CD291">
        <v>100</v>
      </c>
      <c r="CE291">
        <v>1</v>
      </c>
      <c r="CF291">
        <v>0</v>
      </c>
      <c r="CG291">
        <v>0</v>
      </c>
      <c r="CH291">
        <v>844</v>
      </c>
      <c r="CI291">
        <v>133</v>
      </c>
      <c r="CJ291">
        <v>1</v>
      </c>
      <c r="CK291" t="s">
        <v>54</v>
      </c>
      <c r="CL291" t="s">
        <v>2837</v>
      </c>
      <c r="CM291">
        <f>HYPERLINK(".\links\GO\TI_asb-467-GO.txt",0.00000000000000002)</f>
        <v>2.0000000000000001E-17</v>
      </c>
      <c r="CN291" t="s">
        <v>2838</v>
      </c>
      <c r="CO291" t="s">
        <v>185</v>
      </c>
      <c r="CP291" t="s">
        <v>222</v>
      </c>
      <c r="CQ291" t="s">
        <v>2839</v>
      </c>
      <c r="CR291" s="7">
        <v>2.0000000000000001E-17</v>
      </c>
      <c r="CS291" t="s">
        <v>246</v>
      </c>
      <c r="CT291" t="s">
        <v>247</v>
      </c>
      <c r="CU291" t="s">
        <v>247</v>
      </c>
      <c r="CV291" t="s">
        <v>248</v>
      </c>
      <c r="CW291" s="7">
        <v>2.0000000000000001E-17</v>
      </c>
      <c r="CX291" t="s">
        <v>249</v>
      </c>
      <c r="CY291" t="s">
        <v>185</v>
      </c>
      <c r="CZ291" t="s">
        <v>222</v>
      </c>
      <c r="DA291" t="s">
        <v>250</v>
      </c>
      <c r="DB291" s="7">
        <v>2.0000000000000001E-17</v>
      </c>
      <c r="DC291" t="str">
        <f>HYPERLINK(".\links\CDD\TI_asb-467-CDD.txt","RPL8A")</f>
        <v>RPL8A</v>
      </c>
      <c r="DD291" t="str">
        <f>HYPERLINK("http://www.ncbi.nlm.nih.gov/Structure/cdd/cddsrv.cgi?uid=COG1358&amp;version=v4.0","3E-011")</f>
        <v>3E-011</v>
      </c>
      <c r="DE291" t="s">
        <v>2840</v>
      </c>
      <c r="DF291" t="str">
        <f>HYPERLINK(".\links\PFAM\TI_asb-467-PFAM.txt","Ribosomal_L7Ae")</f>
        <v>Ribosomal_L7Ae</v>
      </c>
      <c r="DG291" t="str">
        <f>HYPERLINK("http://pfam.sanger.ac.uk/family?acc=PF01248","9E-012")</f>
        <v>9E-012</v>
      </c>
      <c r="DH291" t="str">
        <f>HYPERLINK(".\links\PRK\TI_asb-467-PRK.txt","50S ribosomal protein L7Ae")</f>
        <v>50S ribosomal protein L7Ae</v>
      </c>
      <c r="DI291" s="7">
        <v>6.9999999999999997E-7</v>
      </c>
      <c r="DJ291" s="6" t="str">
        <f>HYPERLINK(".\links\KOG\TI_asb-467-KOG.txt","Box H/ACA snoRNP component, involved in ribosomal RNA pseudouridinylation")</f>
        <v>Box H/ACA snoRNP component, involved in ribosomal RNA pseudouridinylation</v>
      </c>
      <c r="DK291" s="6" t="str">
        <f>HYPERLINK("http://www.ncbi.nlm.nih.gov/COG/grace/shokog.cgi?KOG3167","8E-028")</f>
        <v>8E-028</v>
      </c>
      <c r="DL291" s="6" t="s">
        <v>4348</v>
      </c>
      <c r="DM291" s="6" t="str">
        <f>HYPERLINK(".\links\KOG\TI_asb-467-KOG.txt","KOG3167")</f>
        <v>KOG3167</v>
      </c>
      <c r="DN291" t="str">
        <f>HYPERLINK(".\links\SMART\TI_asb-467-SMART.txt","TOP2c")</f>
        <v>TOP2c</v>
      </c>
      <c r="DO291" t="str">
        <f>HYPERLINK("http://smart.embl-heidelberg.de/smart/do_annotation.pl?DOMAIN=TOP2c&amp;BLAST=DUMMY","0.038")</f>
        <v>0.038</v>
      </c>
      <c r="DP291" s="3" t="s">
        <v>56</v>
      </c>
      <c r="ED291" s="3" t="s">
        <v>56</v>
      </c>
    </row>
    <row r="292" spans="1:134">
      <c r="A292" t="str">
        <f>HYPERLINK(".\links\seq\TI_asb-468-seq.txt","TI_asb-468")</f>
        <v>TI_asb-468</v>
      </c>
      <c r="B292">
        <v>468</v>
      </c>
      <c r="C292" t="str">
        <f>HYPERLINK(".\links\tsa\TI_asb-468-tsa.txt","2")</f>
        <v>2</v>
      </c>
      <c r="D292">
        <v>2</v>
      </c>
      <c r="E292">
        <v>796</v>
      </c>
      <c r="F292">
        <v>764</v>
      </c>
      <c r="G292" t="str">
        <f>HYPERLINK(".\links\qual\TI_asb-468-qual.txt","52")</f>
        <v>52</v>
      </c>
      <c r="H292">
        <v>0</v>
      </c>
      <c r="I292">
        <v>2</v>
      </c>
      <c r="J292">
        <f t="shared" si="14"/>
        <v>2</v>
      </c>
      <c r="K292" s="6">
        <f t="shared" si="15"/>
        <v>-2</v>
      </c>
      <c r="L292" s="6" t="s">
        <v>3968</v>
      </c>
      <c r="M292" s="6" t="s">
        <v>3886</v>
      </c>
      <c r="N292" s="6" t="s">
        <v>3864</v>
      </c>
      <c r="O292" s="7">
        <v>3E-24</v>
      </c>
      <c r="P292" s="6">
        <v>82</v>
      </c>
      <c r="Q292" s="3">
        <v>796</v>
      </c>
      <c r="R292" s="3">
        <v>306</v>
      </c>
      <c r="S292" s="3" t="s">
        <v>3771</v>
      </c>
      <c r="T292" s="3">
        <v>3</v>
      </c>
      <c r="U292" t="str">
        <f>HYPERLINK(".\links\NR-LIGHT\TI_asb-468-NR-LIGHT.txt","hypothetical protein")</f>
        <v>hypothetical protein</v>
      </c>
      <c r="V292" t="str">
        <f>HYPERLINK("http://www.ncbi.nlm.nih.gov/sutils/blink.cgi?pid=149898849","3E-024")</f>
        <v>3E-024</v>
      </c>
      <c r="W292" t="str">
        <f>HYPERLINK(".\links\NR-LIGHT\TI_asb-468-NR-LIGHT.txt"," 10")</f>
        <v xml:space="preserve"> 10</v>
      </c>
      <c r="X292" t="str">
        <f>HYPERLINK("http://www.ncbi.nlm.nih.gov/protein/149898849","gi|149898849")</f>
        <v>gi|149898849</v>
      </c>
      <c r="Y292">
        <v>114</v>
      </c>
      <c r="Z292">
        <v>82</v>
      </c>
      <c r="AA292">
        <v>100</v>
      </c>
      <c r="AB292">
        <v>68</v>
      </c>
      <c r="AC292">
        <v>82</v>
      </c>
      <c r="AD292">
        <v>26</v>
      </c>
      <c r="AE292">
        <v>0</v>
      </c>
      <c r="AF292">
        <v>1</v>
      </c>
      <c r="AG292">
        <v>135</v>
      </c>
      <c r="AH292">
        <v>1</v>
      </c>
      <c r="AI292">
        <v>3</v>
      </c>
      <c r="AJ292" t="s">
        <v>53</v>
      </c>
      <c r="AK292" t="s">
        <v>54</v>
      </c>
      <c r="AL292" t="s">
        <v>55</v>
      </c>
      <c r="AM292" t="str">
        <f>HYPERLINK(".\links\SWISSP\TI_asb-468-SWISSP.txt","Uncharacterized protein C4orf34 homolog OS=Rattus norvegicus PE=2 SV=1")</f>
        <v>Uncharacterized protein C4orf34 homolog OS=Rattus norvegicus PE=2 SV=1</v>
      </c>
      <c r="AN292" s="19" t="str">
        <f>HYPERLINK("http://www.uniprot.org/uniprot/Q498C7","0.76")</f>
        <v>0.76</v>
      </c>
      <c r="AO292" t="str">
        <f>HYPERLINK(".\links\SWISSP\TI_asb-468-SWISSP.txt"," 5")</f>
        <v xml:space="preserve"> 5</v>
      </c>
      <c r="AP292" t="s">
        <v>2841</v>
      </c>
      <c r="AQ292">
        <v>34.700000000000003</v>
      </c>
      <c r="AR292">
        <v>84</v>
      </c>
      <c r="AS292">
        <v>99</v>
      </c>
      <c r="AT292">
        <v>29</v>
      </c>
      <c r="AU292">
        <v>85</v>
      </c>
      <c r="AV292">
        <v>59</v>
      </c>
      <c r="AW292">
        <v>3</v>
      </c>
      <c r="AX292">
        <v>1</v>
      </c>
      <c r="AY292">
        <v>135</v>
      </c>
      <c r="AZ292">
        <v>1</v>
      </c>
      <c r="BA292">
        <v>3</v>
      </c>
      <c r="BB292" t="s">
        <v>53</v>
      </c>
      <c r="BC292" t="s">
        <v>54</v>
      </c>
      <c r="BD292" t="s">
        <v>122</v>
      </c>
      <c r="BE292" t="s">
        <v>2842</v>
      </c>
      <c r="BF292" t="s">
        <v>2843</v>
      </c>
      <c r="BG292" t="str">
        <f>HYPERLINK(".\links\PREV-RHOD-PEP\TI_asb-468-PREV-RHOD-PEP.txt","Contig16785_1")</f>
        <v>Contig16785_1</v>
      </c>
      <c r="BH292" s="7">
        <v>1.0000000000000001E-5</v>
      </c>
      <c r="BI292" t="str">
        <f>HYPERLINK(".\links\PREV-RHOD-PEP\TI_asb-468-PREV-RHOD-PEP.txt"," 6")</f>
        <v xml:space="preserve"> 6</v>
      </c>
      <c r="BJ292" t="s">
        <v>2844</v>
      </c>
      <c r="BK292">
        <v>46.6</v>
      </c>
      <c r="BL292">
        <v>19</v>
      </c>
      <c r="BM292">
        <v>41</v>
      </c>
      <c r="BN292">
        <v>100</v>
      </c>
      <c r="BO292">
        <v>46</v>
      </c>
      <c r="BP292">
        <v>0</v>
      </c>
      <c r="BQ292">
        <v>0</v>
      </c>
      <c r="BR292">
        <v>1</v>
      </c>
      <c r="BS292">
        <v>135</v>
      </c>
      <c r="BT292">
        <v>1</v>
      </c>
      <c r="BU292" t="s">
        <v>54</v>
      </c>
      <c r="BV292" t="s">
        <v>2845</v>
      </c>
      <c r="BW292" t="s">
        <v>56</v>
      </c>
      <c r="BX292" t="str">
        <f>HYPERLINK(".\links\PREV-RHOD-CDS\TI_asb-468-PREV-RHOD-CDS.txt","Contig16785_1")</f>
        <v>Contig16785_1</v>
      </c>
      <c r="BY292" s="7">
        <v>1E-13</v>
      </c>
      <c r="BZ292" t="s">
        <v>2844</v>
      </c>
      <c r="CA292">
        <v>77.8</v>
      </c>
      <c r="CB292">
        <v>125</v>
      </c>
      <c r="CC292">
        <v>126</v>
      </c>
      <c r="CD292">
        <v>88</v>
      </c>
      <c r="CE292">
        <v>100</v>
      </c>
      <c r="CF292">
        <v>8</v>
      </c>
      <c r="CG292">
        <v>0</v>
      </c>
      <c r="CH292">
        <v>1</v>
      </c>
      <c r="CI292">
        <v>135</v>
      </c>
      <c r="CJ292">
        <v>2</v>
      </c>
      <c r="CK292" t="s">
        <v>54</v>
      </c>
      <c r="CL292" t="s">
        <v>2846</v>
      </c>
      <c r="CM292">
        <f>HYPERLINK(".\links\GO\TI_asb-468-GO.txt",0.043)</f>
        <v>4.2999999999999997E-2</v>
      </c>
      <c r="CN292" t="s">
        <v>58</v>
      </c>
      <c r="CO292" t="s">
        <v>58</v>
      </c>
      <c r="CQ292" t="s">
        <v>59</v>
      </c>
      <c r="CR292" s="6">
        <v>4.2999999999999997E-2</v>
      </c>
      <c r="CS292" t="s">
        <v>60</v>
      </c>
      <c r="CT292" t="s">
        <v>60</v>
      </c>
      <c r="CV292" t="s">
        <v>61</v>
      </c>
      <c r="CW292" s="6">
        <v>4.2999999999999997E-2</v>
      </c>
      <c r="CX292" t="s">
        <v>62</v>
      </c>
      <c r="CY292" t="s">
        <v>58</v>
      </c>
      <c r="DA292" t="s">
        <v>63</v>
      </c>
      <c r="DB292" s="6">
        <v>4.2999999999999997E-2</v>
      </c>
      <c r="DC292" t="str">
        <f>HYPERLINK(".\links\CDD\TI_asb-468-CDD.txt","7TMR-DISM_7TM")</f>
        <v>7TMR-DISM_7TM</v>
      </c>
      <c r="DD292" t="str">
        <f>HYPERLINK("http://www.ncbi.nlm.nih.gov/Structure/cdd/cddsrv.cgi?uid=pfam07695&amp;version=v4.0","5E-005")</f>
        <v>5E-005</v>
      </c>
      <c r="DE292" t="s">
        <v>2847</v>
      </c>
      <c r="DF292" t="str">
        <f>HYPERLINK(".\links\PFAM\TI_asb-468-PFAM.txt","7TMR-DISM_7TM")</f>
        <v>7TMR-DISM_7TM</v>
      </c>
      <c r="DG292" t="str">
        <f>HYPERLINK("http://pfam.sanger.ac.uk/family?acc=PF07695","1E-005")</f>
        <v>1E-005</v>
      </c>
      <c r="DH292" t="str">
        <f>HYPERLINK(".\links\PRK\TI_asb-468-PRK.txt","NADH dehydrogenase subunit 5")</f>
        <v>NADH dehydrogenase subunit 5</v>
      </c>
      <c r="DI292" s="7">
        <v>6.9999999999999998E-9</v>
      </c>
      <c r="DJ292" s="6" t="str">
        <f>HYPERLINK(".\links\KOG\TI_asb-468-KOG.txt","Ferric reductase-like proteins")</f>
        <v>Ferric reductase-like proteins</v>
      </c>
      <c r="DK292" s="6" t="str">
        <f>HYPERLINK("http://www.ncbi.nlm.nih.gov/COG/grace/shokog.cgi?KOG1743","0.014")</f>
        <v>0.014</v>
      </c>
      <c r="DL292" s="6" t="s">
        <v>4361</v>
      </c>
      <c r="DM292" s="6" t="str">
        <f>HYPERLINK(".\links\KOG\TI_asb-468-KOG.txt","KOG1743")</f>
        <v>KOG1743</v>
      </c>
      <c r="DN292" t="str">
        <f>HYPERLINK(".\links\SMART\TI_asb-468-SMART.txt","PSN")</f>
        <v>PSN</v>
      </c>
      <c r="DO292" t="str">
        <f>HYPERLINK("http://smart.embl-heidelberg.de/smart/do_annotation.pl?DOMAIN=PSN&amp;BLAST=DUMMY","0.003")</f>
        <v>0.003</v>
      </c>
      <c r="DP292" s="3" t="s">
        <v>56</v>
      </c>
      <c r="ED292" s="3" t="s">
        <v>56</v>
      </c>
    </row>
    <row r="293" spans="1:134">
      <c r="A293" t="str">
        <f>HYPERLINK(".\links\seq\TI_asb-469-seq.txt","TI_asb-469")</f>
        <v>TI_asb-469</v>
      </c>
      <c r="B293">
        <v>469</v>
      </c>
      <c r="C293" t="str">
        <f>HYPERLINK(".\links\tsa\TI_asb-469-tsa.txt","4")</f>
        <v>4</v>
      </c>
      <c r="D293">
        <v>4</v>
      </c>
      <c r="E293">
        <v>625</v>
      </c>
      <c r="G293" t="str">
        <f>HYPERLINK(".\links\qual\TI_asb-469-qual.txt","82")</f>
        <v>82</v>
      </c>
      <c r="H293">
        <v>1</v>
      </c>
      <c r="I293">
        <v>3</v>
      </c>
      <c r="J293">
        <f t="shared" si="14"/>
        <v>2</v>
      </c>
      <c r="K293" s="6">
        <f t="shared" si="15"/>
        <v>-2</v>
      </c>
      <c r="L293" s="6" t="s">
        <v>4033</v>
      </c>
      <c r="M293" s="6" t="s">
        <v>3917</v>
      </c>
      <c r="N293" s="6" t="s">
        <v>3872</v>
      </c>
      <c r="O293" s="6">
        <v>1.0000000000000001E-9</v>
      </c>
      <c r="P293" s="6">
        <v>76.3</v>
      </c>
      <c r="Q293" s="3">
        <v>625</v>
      </c>
      <c r="R293" s="3">
        <v>603</v>
      </c>
      <c r="S293" s="6" t="s">
        <v>3772</v>
      </c>
      <c r="T293" s="3">
        <v>3</v>
      </c>
      <c r="U293" t="str">
        <f>HYPERLINK(".\links\NR-LIGHT\TI_asb-469-NR-LIGHT.txt","AGAP009281-PA")</f>
        <v>AGAP009281-PA</v>
      </c>
      <c r="V293" t="str">
        <f>HYPERLINK("http://www.ncbi.nlm.nih.gov/sutils/blink.cgi?pid=158300081","2E-010")</f>
        <v>2E-010</v>
      </c>
      <c r="W293" t="str">
        <f>HYPERLINK(".\links\NR-LIGHT\TI_asb-469-NR-LIGHT.txt"," 10")</f>
        <v xml:space="preserve"> 10</v>
      </c>
      <c r="X293" t="str">
        <f>HYPERLINK("http://www.ncbi.nlm.nih.gov/protein/158300081","gi|158300081")</f>
        <v>gi|158300081</v>
      </c>
      <c r="Y293">
        <v>68.2</v>
      </c>
      <c r="Z293">
        <v>142</v>
      </c>
      <c r="AA293">
        <v>193</v>
      </c>
      <c r="AB293">
        <v>29</v>
      </c>
      <c r="AC293">
        <v>74</v>
      </c>
      <c r="AD293">
        <v>100</v>
      </c>
      <c r="AE293">
        <v>1</v>
      </c>
      <c r="AF293">
        <v>33</v>
      </c>
      <c r="AG293">
        <v>153</v>
      </c>
      <c r="AH293">
        <v>1</v>
      </c>
      <c r="AI293">
        <v>3</v>
      </c>
      <c r="AJ293" t="s">
        <v>53</v>
      </c>
      <c r="AK293" t="s">
        <v>54</v>
      </c>
      <c r="AL293" t="s">
        <v>1161</v>
      </c>
      <c r="AM293" t="str">
        <f>HYPERLINK(".\links\SWISSP\TI_asb-469-SWISSP.txt","Apolipoprotein D OS=Macaca fascicularis GN=APOD PE=2 SV=1")</f>
        <v>Apolipoprotein D OS=Macaca fascicularis GN=APOD PE=2 SV=1</v>
      </c>
      <c r="AN293" s="19" t="str">
        <f>HYPERLINK("http://www.uniprot.org/uniprot/Q8SPI0","1E-009")</f>
        <v>1E-009</v>
      </c>
      <c r="AO293" t="str">
        <f>HYPERLINK(".\links\SWISSP\TI_asb-469-SWISSP.txt"," 10")</f>
        <v xml:space="preserve"> 10</v>
      </c>
      <c r="AP293" t="s">
        <v>2448</v>
      </c>
      <c r="AQ293">
        <v>63.2</v>
      </c>
      <c r="AR293">
        <v>158</v>
      </c>
      <c r="AS293">
        <v>189</v>
      </c>
      <c r="AT293">
        <v>27</v>
      </c>
      <c r="AU293">
        <v>84</v>
      </c>
      <c r="AV293">
        <v>114</v>
      </c>
      <c r="AW293">
        <v>10</v>
      </c>
      <c r="AX293">
        <v>15</v>
      </c>
      <c r="AY293">
        <v>120</v>
      </c>
      <c r="AZ293">
        <v>1</v>
      </c>
      <c r="BA293">
        <v>3</v>
      </c>
      <c r="BB293" t="s">
        <v>53</v>
      </c>
      <c r="BC293" t="s">
        <v>54</v>
      </c>
      <c r="BD293" t="s">
        <v>2449</v>
      </c>
      <c r="BE293" t="s">
        <v>2848</v>
      </c>
      <c r="BF293" t="s">
        <v>2849</v>
      </c>
      <c r="BG293" t="str">
        <f>HYPERLINK(".\links\PREV-RHOD-PEP\TI_asb-469-PREV-RHOD-PEP.txt","Contig17106_8")</f>
        <v>Contig17106_8</v>
      </c>
      <c r="BH293" s="7">
        <v>7.9999999999999997E-64</v>
      </c>
      <c r="BI293" t="str">
        <f>HYPERLINK(".\links\PREV-RHOD-PEP\TI_asb-469-PREV-RHOD-PEP.txt"," 10")</f>
        <v xml:space="preserve"> 10</v>
      </c>
      <c r="BJ293" t="s">
        <v>2850</v>
      </c>
      <c r="BK293">
        <v>239</v>
      </c>
      <c r="BL293">
        <v>196</v>
      </c>
      <c r="BM293">
        <v>212</v>
      </c>
      <c r="BN293">
        <v>58</v>
      </c>
      <c r="BO293">
        <v>92</v>
      </c>
      <c r="BP293">
        <v>81</v>
      </c>
      <c r="BQ293">
        <v>1</v>
      </c>
      <c r="BR293">
        <v>1</v>
      </c>
      <c r="BS293">
        <v>39</v>
      </c>
      <c r="BT293">
        <v>1</v>
      </c>
      <c r="BU293" t="s">
        <v>54</v>
      </c>
      <c r="BV293" t="s">
        <v>2851</v>
      </c>
      <c r="BW293" t="s">
        <v>56</v>
      </c>
      <c r="BX293" t="str">
        <f>HYPERLINK(".\links\PREV-RHOD-CDS\TI_asb-469-PREV-RHOD-CDS.txt","Contig17106_7")</f>
        <v>Contig17106_7</v>
      </c>
      <c r="BY293" s="7">
        <v>2E-8</v>
      </c>
      <c r="BZ293" t="s">
        <v>2852</v>
      </c>
      <c r="CA293">
        <v>60</v>
      </c>
      <c r="CB293">
        <v>45</v>
      </c>
      <c r="CC293">
        <v>639</v>
      </c>
      <c r="CD293">
        <v>91</v>
      </c>
      <c r="CE293">
        <v>7</v>
      </c>
      <c r="CF293">
        <v>4</v>
      </c>
      <c r="CG293">
        <v>0</v>
      </c>
      <c r="CH293">
        <v>418</v>
      </c>
      <c r="CI293">
        <v>456</v>
      </c>
      <c r="CJ293">
        <v>1</v>
      </c>
      <c r="CK293" t="s">
        <v>54</v>
      </c>
      <c r="CL293" t="s">
        <v>2454</v>
      </c>
      <c r="CM293">
        <f>HYPERLINK(".\links\GO\TI_asb-469-GO.txt",0.00000006)</f>
        <v>5.9999999999999995E-8</v>
      </c>
      <c r="CN293" t="s">
        <v>58</v>
      </c>
      <c r="CO293" t="s">
        <v>58</v>
      </c>
      <c r="CQ293" t="s">
        <v>59</v>
      </c>
      <c r="CR293" s="6">
        <v>6.9999999999999999E-6</v>
      </c>
      <c r="CS293" t="s">
        <v>105</v>
      </c>
      <c r="CT293" t="s">
        <v>75</v>
      </c>
      <c r="CU293" t="s">
        <v>106</v>
      </c>
      <c r="CV293" t="s">
        <v>107</v>
      </c>
      <c r="CW293" s="6">
        <v>6.9999999999999999E-6</v>
      </c>
      <c r="CX293" t="s">
        <v>2126</v>
      </c>
      <c r="CY293" t="s">
        <v>58</v>
      </c>
      <c r="DA293" t="s">
        <v>2127</v>
      </c>
      <c r="DB293" s="6">
        <v>6.9999999999999999E-6</v>
      </c>
      <c r="DC293" t="str">
        <f>HYPERLINK(".\links\CDD\TI_asb-469-CDD.txt","Lipocalin")</f>
        <v>Lipocalin</v>
      </c>
      <c r="DD293" t="str">
        <f>HYPERLINK("http://www.ncbi.nlm.nih.gov/Structure/cdd/cddsrv.cgi?uid=pfam00061&amp;version=v4.0","2E-005")</f>
        <v>2E-005</v>
      </c>
      <c r="DE293" t="s">
        <v>2853</v>
      </c>
      <c r="DF293" t="str">
        <f>HYPERLINK(".\links\PFAM\TI_asb-469-PFAM.txt","Lipocalin")</f>
        <v>Lipocalin</v>
      </c>
      <c r="DG293" t="str">
        <f>HYPERLINK("http://pfam.sanger.ac.uk/family?acc=PF00061","5E-006")</f>
        <v>5E-006</v>
      </c>
      <c r="DH293" t="s">
        <v>56</v>
      </c>
      <c r="DI293" s="6" t="s">
        <v>56</v>
      </c>
      <c r="DJ293" s="6" t="str">
        <f>HYPERLINK(".\links\KOG\TI_asb-469-KOG.txt","Apolipoprotein D/Lipocalin")</f>
        <v>Apolipoprotein D/Lipocalin</v>
      </c>
      <c r="DK293" s="6" t="str">
        <f>HYPERLINK("http://www.ncbi.nlm.nih.gov/COG/grace/shokog.cgi?KOG4824","1E-009")</f>
        <v>1E-009</v>
      </c>
      <c r="DL293" s="6" t="s">
        <v>4366</v>
      </c>
      <c r="DM293" s="6" t="str">
        <f>HYPERLINK(".\links\KOG\TI_asb-469-KOG.txt","KOG4824")</f>
        <v>KOG4824</v>
      </c>
      <c r="DN293" t="s">
        <v>56</v>
      </c>
      <c r="DO293" t="s">
        <v>56</v>
      </c>
      <c r="DP293" s="3" t="s">
        <v>56</v>
      </c>
      <c r="ED293" s="3" t="s">
        <v>56</v>
      </c>
    </row>
    <row r="294" spans="1:134">
      <c r="A294" t="str">
        <f>HYPERLINK(".\links\seq\TI_asb-473-seq.txt","TI_asb-473")</f>
        <v>TI_asb-473</v>
      </c>
      <c r="B294">
        <v>473</v>
      </c>
      <c r="C294" t="str">
        <f>HYPERLINK(".\links\tsa\TI_asb-473-tsa.txt","1")</f>
        <v>1</v>
      </c>
      <c r="D294">
        <v>1</v>
      </c>
      <c r="E294">
        <v>697</v>
      </c>
      <c r="F294">
        <v>680</v>
      </c>
      <c r="G294" t="str">
        <f>HYPERLINK(".\links\qual\TI_asb-473-qual.txt","46")</f>
        <v>46</v>
      </c>
      <c r="H294">
        <v>0</v>
      </c>
      <c r="I294">
        <v>1</v>
      </c>
      <c r="J294">
        <f t="shared" si="14"/>
        <v>1</v>
      </c>
      <c r="K294" s="6">
        <f t="shared" si="15"/>
        <v>-1</v>
      </c>
      <c r="L294" s="6" t="s">
        <v>4054</v>
      </c>
      <c r="M294" s="6" t="s">
        <v>3894</v>
      </c>
      <c r="N294" s="6" t="s">
        <v>3872</v>
      </c>
      <c r="O294" s="7">
        <v>4.9999999999999996E-35</v>
      </c>
      <c r="P294" s="6">
        <v>75.3</v>
      </c>
      <c r="Q294" s="3">
        <v>697</v>
      </c>
      <c r="R294" s="3">
        <v>333</v>
      </c>
      <c r="S294" s="6" t="s">
        <v>3773</v>
      </c>
      <c r="T294" s="3">
        <v>2</v>
      </c>
      <c r="U294" t="str">
        <f>HYPERLINK(".\links\NR-LIGHT\TI_asb-473-NR-LIGHT.txt","conserved hypothetical protein")</f>
        <v>conserved hypothetical protein</v>
      </c>
      <c r="V294" t="str">
        <f>HYPERLINK("http://www.ncbi.nlm.nih.gov/sutils/blink.cgi?pid=242008321","2E-055")</f>
        <v>2E-055</v>
      </c>
      <c r="W294" t="str">
        <f>HYPERLINK(".\links\NR-LIGHT\TI_asb-473-NR-LIGHT.txt"," 10")</f>
        <v xml:space="preserve"> 10</v>
      </c>
      <c r="X294" t="str">
        <f>HYPERLINK("http://www.ncbi.nlm.nih.gov/protein/242008321","gi|242008321")</f>
        <v>gi|242008321</v>
      </c>
      <c r="Y294">
        <v>217</v>
      </c>
      <c r="Z294">
        <v>111</v>
      </c>
      <c r="AA294">
        <v>152</v>
      </c>
      <c r="AB294">
        <v>95</v>
      </c>
      <c r="AC294">
        <v>73</v>
      </c>
      <c r="AD294">
        <v>5</v>
      </c>
      <c r="AE294">
        <v>0</v>
      </c>
      <c r="AF294">
        <v>42</v>
      </c>
      <c r="AG294">
        <v>2</v>
      </c>
      <c r="AH294">
        <v>1</v>
      </c>
      <c r="AI294">
        <v>2</v>
      </c>
      <c r="AJ294" t="s">
        <v>53</v>
      </c>
      <c r="AK294" t="s">
        <v>54</v>
      </c>
      <c r="AL294" t="s">
        <v>141</v>
      </c>
      <c r="AM294" t="str">
        <f>HYPERLINK(".\links\SWISSP\TI_asb-473-SWISSP.txt","Cofilin/actin-depolymerizing factor homolog OS=Drosophila melanogaster GN=tsr")</f>
        <v>Cofilin/actin-depolymerizing factor homolog OS=Drosophila melanogaster GN=tsr</v>
      </c>
      <c r="AN294" s="19" t="str">
        <f>HYPERLINK("http://www.uniprot.org/uniprot/P45594","8E-052")</f>
        <v>8E-052</v>
      </c>
      <c r="AO294" t="str">
        <f>HYPERLINK(".\links\SWISSP\TI_asb-473-SWISSP.txt"," 10")</f>
        <v xml:space="preserve"> 10</v>
      </c>
      <c r="AP294" t="s">
        <v>2856</v>
      </c>
      <c r="AQ294">
        <v>203</v>
      </c>
      <c r="AR294">
        <v>111</v>
      </c>
      <c r="AS294">
        <v>148</v>
      </c>
      <c r="AT294">
        <v>90</v>
      </c>
      <c r="AU294">
        <v>75</v>
      </c>
      <c r="AV294">
        <v>10</v>
      </c>
      <c r="AW294">
        <v>0</v>
      </c>
      <c r="AX294">
        <v>38</v>
      </c>
      <c r="AY294">
        <v>2</v>
      </c>
      <c r="AZ294">
        <v>1</v>
      </c>
      <c r="BA294">
        <v>2</v>
      </c>
      <c r="BB294" t="s">
        <v>53</v>
      </c>
      <c r="BC294" t="s">
        <v>54</v>
      </c>
      <c r="BD294" t="s">
        <v>143</v>
      </c>
      <c r="BE294" t="s">
        <v>2857</v>
      </c>
      <c r="BF294" t="s">
        <v>2858</v>
      </c>
      <c r="BG294" t="str">
        <f>HYPERLINK(".\links\PREV-RHOD-PEP\TI_asb-473-PREV-RHOD-PEP.txt","Contig17725_24")</f>
        <v>Contig17725_24</v>
      </c>
      <c r="BH294" s="7">
        <v>1E-58</v>
      </c>
      <c r="BI294" t="str">
        <f>HYPERLINK(".\links\PREV-RHOD-PEP\TI_asb-473-PREV-RHOD-PEP.txt"," 6")</f>
        <v xml:space="preserve"> 6</v>
      </c>
      <c r="BJ294" t="s">
        <v>2859</v>
      </c>
      <c r="BK294">
        <v>222</v>
      </c>
      <c r="BL294">
        <v>111</v>
      </c>
      <c r="BM294">
        <v>843</v>
      </c>
      <c r="BN294">
        <v>99</v>
      </c>
      <c r="BO294">
        <v>13</v>
      </c>
      <c r="BP294">
        <v>1</v>
      </c>
      <c r="BQ294">
        <v>0</v>
      </c>
      <c r="BR294">
        <v>733</v>
      </c>
      <c r="BS294">
        <v>2</v>
      </c>
      <c r="BT294">
        <v>1</v>
      </c>
      <c r="BU294" t="s">
        <v>54</v>
      </c>
      <c r="BV294" t="s">
        <v>2860</v>
      </c>
      <c r="BW294" t="s">
        <v>56</v>
      </c>
      <c r="BX294" t="str">
        <f>HYPERLINK(".\links\PREV-RHOD-CDS\TI_asb-473-PREV-RHOD-CDS.txt","Contig17725_24")</f>
        <v>Contig17725_24</v>
      </c>
      <c r="BY294" s="7">
        <v>9.9999999999999993E-125</v>
      </c>
      <c r="BZ294" t="s">
        <v>2859</v>
      </c>
      <c r="CA294">
        <v>446</v>
      </c>
      <c r="CB294">
        <v>336</v>
      </c>
      <c r="CC294">
        <v>2532</v>
      </c>
      <c r="CD294">
        <v>91</v>
      </c>
      <c r="CE294">
        <v>13</v>
      </c>
      <c r="CF294">
        <v>28</v>
      </c>
      <c r="CG294">
        <v>0</v>
      </c>
      <c r="CH294">
        <v>2196</v>
      </c>
      <c r="CI294">
        <v>1</v>
      </c>
      <c r="CJ294">
        <v>1</v>
      </c>
      <c r="CK294" t="s">
        <v>54</v>
      </c>
      <c r="CL294" t="s">
        <v>2861</v>
      </c>
      <c r="CM294">
        <f>HYPERLINK(".\links\GO\TI_asb-473-GO.txt",2E-52)</f>
        <v>2E-52</v>
      </c>
      <c r="CN294" t="s">
        <v>2862</v>
      </c>
      <c r="CO294" t="s">
        <v>185</v>
      </c>
      <c r="CP294" t="s">
        <v>186</v>
      </c>
      <c r="CQ294" t="s">
        <v>2863</v>
      </c>
      <c r="CR294" s="6">
        <v>2.0000000000000001E-13</v>
      </c>
      <c r="CS294" t="s">
        <v>2864</v>
      </c>
      <c r="CT294" t="s">
        <v>75</v>
      </c>
      <c r="CU294" t="s">
        <v>378</v>
      </c>
      <c r="CV294" t="s">
        <v>2865</v>
      </c>
      <c r="CW294" s="6">
        <v>2.0000000000000001E-13</v>
      </c>
      <c r="CX294" t="s">
        <v>1409</v>
      </c>
      <c r="CY294" t="s">
        <v>185</v>
      </c>
      <c r="CZ294" t="s">
        <v>186</v>
      </c>
      <c r="DA294" t="s">
        <v>1410</v>
      </c>
      <c r="DB294" s="6">
        <v>2.0000000000000001E-13</v>
      </c>
      <c r="DC294" t="str">
        <f>HYPERLINK(".\links\CDD\TI_asb-473-CDD.txt","Cofilin_ADF")</f>
        <v>Cofilin_ADF</v>
      </c>
      <c r="DD294" t="str">
        <f>HYPERLINK("http://www.ncbi.nlm.nih.gov/Structure/cdd/cddsrv.cgi?uid=pfam00241&amp;version=v4.0","7E-027")</f>
        <v>7E-027</v>
      </c>
      <c r="DE294" t="s">
        <v>2866</v>
      </c>
      <c r="DF294" t="str">
        <f>HYPERLINK(".\links\PFAM\TI_asb-473-PFAM.txt","Cofilin_ADF")</f>
        <v>Cofilin_ADF</v>
      </c>
      <c r="DG294" t="str">
        <f>HYPERLINK("http://pfam.sanger.ac.uk/family?acc=PF00241","5E-028")</f>
        <v>5E-028</v>
      </c>
      <c r="DH294" t="str">
        <f>HYPERLINK(".\links\PRK\TI_asb-473-PRK.txt","actin depolymerizing factor")</f>
        <v>actin depolymerizing factor</v>
      </c>
      <c r="DI294" s="7">
        <v>4.0000000000000001E-13</v>
      </c>
      <c r="DJ294" s="6" t="str">
        <f>HYPERLINK(".\links\KOG\TI_asb-473-KOG.txt","Actin depolymerizing factor")</f>
        <v>Actin depolymerizing factor</v>
      </c>
      <c r="DK294" s="6" t="str">
        <f>HYPERLINK("http://www.ncbi.nlm.nih.gov/COG/grace/shokog.cgi?KOG1735","5E-035")</f>
        <v>5E-035</v>
      </c>
      <c r="DL294" s="6" t="s">
        <v>4344</v>
      </c>
      <c r="DM294" s="6" t="str">
        <f>HYPERLINK(".\links\KOG\TI_asb-473-KOG.txt","KOG1735")</f>
        <v>KOG1735</v>
      </c>
      <c r="DN294" t="str">
        <f>HYPERLINK(".\links\SMART\TI_asb-473-SMART.txt","ADF")</f>
        <v>ADF</v>
      </c>
      <c r="DO294" t="str">
        <f>HYPERLINK("http://smart.embl-heidelberg.de/smart/do_annotation.pl?DOMAIN=ADF&amp;BLAST=DUMMY","3E-029")</f>
        <v>3E-029</v>
      </c>
      <c r="DP294" s="3" t="s">
        <v>56</v>
      </c>
      <c r="ED294" s="3" t="s">
        <v>56</v>
      </c>
    </row>
    <row r="295" spans="1:134">
      <c r="A295" t="str">
        <f>HYPERLINK(".\links\seq\TI_asb-474-seq.txt","TI_asb-474")</f>
        <v>TI_asb-474</v>
      </c>
      <c r="B295">
        <v>474</v>
      </c>
      <c r="C295" t="str">
        <f>HYPERLINK(".\links\tsa\TI_asb-474-tsa.txt","4")</f>
        <v>4</v>
      </c>
      <c r="D295">
        <v>4</v>
      </c>
      <c r="E295">
        <v>774</v>
      </c>
      <c r="G295" t="str">
        <f>HYPERLINK(".\links\qual\TI_asb-474-qual.txt","86")</f>
        <v>86</v>
      </c>
      <c r="H295">
        <v>4</v>
      </c>
      <c r="I295">
        <v>0</v>
      </c>
      <c r="J295">
        <f t="shared" si="14"/>
        <v>4</v>
      </c>
      <c r="K295" s="6">
        <f t="shared" si="15"/>
        <v>4</v>
      </c>
      <c r="L295" s="6" t="s">
        <v>3888</v>
      </c>
      <c r="M295" s="6" t="s">
        <v>3886</v>
      </c>
      <c r="N295" s="6" t="s">
        <v>3872</v>
      </c>
      <c r="O295" s="6">
        <v>0</v>
      </c>
      <c r="P295" s="6">
        <v>3</v>
      </c>
      <c r="Q295" s="3">
        <v>774</v>
      </c>
      <c r="R295" s="3">
        <v>618</v>
      </c>
      <c r="S295" s="6" t="s">
        <v>3774</v>
      </c>
      <c r="T295" s="3">
        <v>1</v>
      </c>
      <c r="U295" t="str">
        <f>HYPERLINK(".\links\NR-LIGHT\TI_asb-474-NR-LIGHT.txt","protein lethal, putative")</f>
        <v>protein lethal, putative</v>
      </c>
      <c r="V295" t="str">
        <f>HYPERLINK("http://www.ncbi.nlm.nih.gov/sutils/blink.cgi?pid=242005722","2E-049")</f>
        <v>2E-049</v>
      </c>
      <c r="W295" t="str">
        <f>HYPERLINK(".\links\NR-LIGHT\TI_asb-474-NR-LIGHT.txt"," 10")</f>
        <v xml:space="preserve"> 10</v>
      </c>
      <c r="X295" t="str">
        <f>HYPERLINK("http://www.ncbi.nlm.nih.gov/protein/242005722","gi|242005722")</f>
        <v>gi|242005722</v>
      </c>
      <c r="Y295">
        <v>197</v>
      </c>
      <c r="Z295">
        <v>178</v>
      </c>
      <c r="AA295">
        <v>211</v>
      </c>
      <c r="AB295">
        <v>56</v>
      </c>
      <c r="AC295">
        <v>84</v>
      </c>
      <c r="AD295">
        <v>78</v>
      </c>
      <c r="AE295">
        <v>1</v>
      </c>
      <c r="AF295">
        <v>23</v>
      </c>
      <c r="AG295">
        <v>61</v>
      </c>
      <c r="AH295">
        <v>1</v>
      </c>
      <c r="AI295">
        <v>1</v>
      </c>
      <c r="AJ295" t="s">
        <v>53</v>
      </c>
      <c r="AK295" t="s">
        <v>54</v>
      </c>
      <c r="AL295" t="s">
        <v>141</v>
      </c>
      <c r="AM295" t="str">
        <f>HYPERLINK(".\links\SWISSP\TI_asb-474-SWISSP.txt","Protein lethal(2)essential for life OS=Drosophila melanogaster GN=l(2)efl PE=1")</f>
        <v>Protein lethal(2)essential for life OS=Drosophila melanogaster GN=l(2)efl PE=1</v>
      </c>
      <c r="AN295" s="19" t="str">
        <f>HYPERLINK("http://www.uniprot.org/uniprot/P82147","4E-037")</f>
        <v>4E-037</v>
      </c>
      <c r="AO295" t="str">
        <f>HYPERLINK(".\links\SWISSP\TI_asb-474-SWISSP.txt"," 10")</f>
        <v xml:space="preserve"> 10</v>
      </c>
      <c r="AP295" t="s">
        <v>2867</v>
      </c>
      <c r="AQ295">
        <v>155</v>
      </c>
      <c r="AR295">
        <v>187</v>
      </c>
      <c r="AS295">
        <v>187</v>
      </c>
      <c r="AT295">
        <v>43</v>
      </c>
      <c r="AU295">
        <v>100</v>
      </c>
      <c r="AV295">
        <v>105</v>
      </c>
      <c r="AW295">
        <v>4</v>
      </c>
      <c r="AX295">
        <v>1</v>
      </c>
      <c r="AY295">
        <v>61</v>
      </c>
      <c r="AZ295">
        <v>1</v>
      </c>
      <c r="BA295">
        <v>1</v>
      </c>
      <c r="BB295" t="s">
        <v>53</v>
      </c>
      <c r="BC295" t="s">
        <v>54</v>
      </c>
      <c r="BD295" t="s">
        <v>143</v>
      </c>
      <c r="BE295" t="s">
        <v>2868</v>
      </c>
      <c r="BF295" t="s">
        <v>2869</v>
      </c>
      <c r="BG295" t="str">
        <f>HYPERLINK(".\links\PREV-RHOD-PEP\TI_asb-474-PREV-RHOD-PEP.txt","Contig3102_2")</f>
        <v>Contig3102_2</v>
      </c>
      <c r="BH295" s="7">
        <v>9.9999999999999991E-97</v>
      </c>
      <c r="BI295" t="str">
        <f>HYPERLINK(".\links\PREV-RHOD-PEP\TI_asb-474-PREV-RHOD-PEP.txt"," 10")</f>
        <v xml:space="preserve"> 10</v>
      </c>
      <c r="BJ295" t="s">
        <v>2870</v>
      </c>
      <c r="BK295">
        <v>348</v>
      </c>
      <c r="BL295">
        <v>185</v>
      </c>
      <c r="BM295">
        <v>185</v>
      </c>
      <c r="BN295">
        <v>91</v>
      </c>
      <c r="BO295">
        <v>100</v>
      </c>
      <c r="BP295">
        <v>16</v>
      </c>
      <c r="BQ295">
        <v>0</v>
      </c>
      <c r="BR295">
        <v>1</v>
      </c>
      <c r="BS295">
        <v>61</v>
      </c>
      <c r="BT295">
        <v>1</v>
      </c>
      <c r="BU295" t="s">
        <v>54</v>
      </c>
      <c r="BV295" t="s">
        <v>2871</v>
      </c>
      <c r="BW295" t="s">
        <v>56</v>
      </c>
      <c r="BX295" t="str">
        <f>HYPERLINK(".\links\PREV-RHOD-CDS\TI_asb-474-PREV-RHOD-CDS.txt","Contig3102_2")</f>
        <v>Contig3102_2</v>
      </c>
      <c r="BY295" s="7">
        <v>9.9999999999999997E-155</v>
      </c>
      <c r="BZ295" t="s">
        <v>2870</v>
      </c>
      <c r="CA295">
        <v>543</v>
      </c>
      <c r="CB295">
        <v>553</v>
      </c>
      <c r="CC295">
        <v>555</v>
      </c>
      <c r="CD295">
        <v>87</v>
      </c>
      <c r="CE295">
        <v>100</v>
      </c>
      <c r="CF295">
        <v>70</v>
      </c>
      <c r="CG295">
        <v>0</v>
      </c>
      <c r="CH295">
        <v>1</v>
      </c>
      <c r="CI295">
        <v>61</v>
      </c>
      <c r="CJ295">
        <v>1</v>
      </c>
      <c r="CK295" t="s">
        <v>54</v>
      </c>
      <c r="CL295" t="s">
        <v>2872</v>
      </c>
      <c r="CM295">
        <f>HYPERLINK(".\links\GO\TI_asb-474-GO.txt",1E-37)</f>
        <v>1.0000000000000001E-37</v>
      </c>
      <c r="CN295" t="s">
        <v>2873</v>
      </c>
      <c r="CO295" t="s">
        <v>703</v>
      </c>
      <c r="CP295" t="s">
        <v>2874</v>
      </c>
      <c r="CQ295" t="s">
        <v>2875</v>
      </c>
      <c r="CR295" s="7">
        <v>9.9999999999999994E-30</v>
      </c>
      <c r="CS295" t="s">
        <v>2876</v>
      </c>
      <c r="CT295" t="s">
        <v>75</v>
      </c>
      <c r="CU295" t="s">
        <v>555</v>
      </c>
      <c r="CV295" t="s">
        <v>2877</v>
      </c>
      <c r="CW295" s="7">
        <v>9.9999999999999994E-30</v>
      </c>
      <c r="CX295" t="s">
        <v>2878</v>
      </c>
      <c r="CY295" t="s">
        <v>703</v>
      </c>
      <c r="CZ295" t="s">
        <v>2874</v>
      </c>
      <c r="DA295" t="s">
        <v>2879</v>
      </c>
      <c r="DB295" s="7">
        <v>9.9999999999999994E-30</v>
      </c>
      <c r="DC295" t="str">
        <f>HYPERLINK(".\links\CDD\TI_asb-474-CDD.txt","alpha-crystalli")</f>
        <v>alpha-crystalli</v>
      </c>
      <c r="DD295" t="str">
        <f>HYPERLINK("http://www.ncbi.nlm.nih.gov/Structure/cdd/cddsrv.cgi?uid=cd00298&amp;version=v4.0","9E-020")</f>
        <v>9E-020</v>
      </c>
      <c r="DE295" t="s">
        <v>2880</v>
      </c>
      <c r="DF295" t="str">
        <f>HYPERLINK(".\links\PFAM\TI_asb-474-PFAM.txt","HSP20")</f>
        <v>HSP20</v>
      </c>
      <c r="DG295" t="str">
        <f>HYPERLINK("http://pfam.sanger.ac.uk/family?acc=PF00011","5E-022")</f>
        <v>5E-022</v>
      </c>
      <c r="DH295" t="str">
        <f>HYPERLINK(".\links\PRK\TI_asb-474-PRK.txt","heat shock protein IbpA")</f>
        <v>heat shock protein IbpA</v>
      </c>
      <c r="DI295" s="6">
        <v>3.0000000000000001E-3</v>
      </c>
      <c r="DJ295" s="6" t="str">
        <f>HYPERLINK(".\links\KOG\TI_asb-474-KOG.txt","Nuclear protein, contains WD40 repeats")</f>
        <v>Nuclear protein, contains WD40 repeats</v>
      </c>
      <c r="DK295" s="6" t="str">
        <f>HYPERLINK("http://www.ncbi.nlm.nih.gov/COG/grace/shokog.cgi?KOG1916","0.0")</f>
        <v>0.0</v>
      </c>
      <c r="DL295" s="6" t="s">
        <v>4337</v>
      </c>
      <c r="DM295" s="6" t="str">
        <f>HYPERLINK(".\links\KOG\TI_asb-474-KOG.txt","KOG1916")</f>
        <v>KOG1916</v>
      </c>
      <c r="DN295" t="s">
        <v>56</v>
      </c>
      <c r="DO295" t="s">
        <v>56</v>
      </c>
      <c r="DP295" s="3" t="s">
        <v>56</v>
      </c>
      <c r="ED295" s="3" t="s">
        <v>56</v>
      </c>
    </row>
    <row r="296" spans="1:134">
      <c r="A296" t="str">
        <f>HYPERLINK(".\links\seq\TI_asb-478-seq.txt","TI_asb-478")</f>
        <v>TI_asb-478</v>
      </c>
      <c r="B296">
        <v>478</v>
      </c>
      <c r="C296" t="str">
        <f>HYPERLINK(".\links\tsa\TI_asb-478-tsa.txt","1")</f>
        <v>1</v>
      </c>
      <c r="D296">
        <v>1</v>
      </c>
      <c r="E296">
        <v>674</v>
      </c>
      <c r="G296" t="str">
        <f>HYPERLINK(".\links\qual\TI_asb-478-qual.txt","45")</f>
        <v>45</v>
      </c>
      <c r="H296">
        <v>0</v>
      </c>
      <c r="I296">
        <v>1</v>
      </c>
      <c r="J296">
        <f t="shared" si="14"/>
        <v>1</v>
      </c>
      <c r="K296" s="6">
        <f t="shared" si="15"/>
        <v>-1</v>
      </c>
      <c r="L296" s="6" t="s">
        <v>3868</v>
      </c>
      <c r="M296" s="6" t="s">
        <v>3869</v>
      </c>
      <c r="N296" s="6"/>
      <c r="O296" s="6"/>
      <c r="P296" s="6"/>
      <c r="Q296" s="3">
        <v>674</v>
      </c>
      <c r="R296" s="3">
        <v>345</v>
      </c>
      <c r="S296" s="3" t="s">
        <v>3775</v>
      </c>
      <c r="T296" s="3">
        <v>2</v>
      </c>
      <c r="U296" t="str">
        <f>HYPERLINK(".\links\NR-LIGHT\TI_asb-478-NR-LIGHT.txt","conserved hypothetical protein")</f>
        <v>conserved hypothetical protein</v>
      </c>
      <c r="V296" t="str">
        <f>HYPERLINK("http://www.ncbi.nlm.nih.gov/sutils/blink.cgi?pid=221488229","7.2")</f>
        <v>7.2</v>
      </c>
      <c r="W296" t="str">
        <f>HYPERLINK(".\links\NR-LIGHT\TI_asb-478-NR-LIGHT.txt"," 3")</f>
        <v xml:space="preserve"> 3</v>
      </c>
      <c r="X296" t="str">
        <f>HYPERLINK("http://www.ncbi.nlm.nih.gov/protein/221488229","gi|221488229")</f>
        <v>gi|221488229</v>
      </c>
      <c r="Y296">
        <v>33.1</v>
      </c>
      <c r="Z296">
        <v>31</v>
      </c>
      <c r="AA296">
        <v>1739</v>
      </c>
      <c r="AB296">
        <v>41</v>
      </c>
      <c r="AC296">
        <v>2</v>
      </c>
      <c r="AD296">
        <v>18</v>
      </c>
      <c r="AE296">
        <v>0</v>
      </c>
      <c r="AF296">
        <v>349</v>
      </c>
      <c r="AG296">
        <v>350</v>
      </c>
      <c r="AH296">
        <v>1</v>
      </c>
      <c r="AI296">
        <v>2</v>
      </c>
      <c r="AJ296" t="s">
        <v>53</v>
      </c>
      <c r="AK296" t="s">
        <v>54</v>
      </c>
      <c r="AL296" t="s">
        <v>383</v>
      </c>
      <c r="AM296" t="str">
        <f>HYPERLINK(".\links\SWISSP\TI_asb-478-SWISSP.txt","Zinc finger homeobox protein 2 OS=Homo sapiens GN=ZFHX2 PE=2 SV=3")</f>
        <v>Zinc finger homeobox protein 2 OS=Homo sapiens GN=ZFHX2 PE=2 SV=3</v>
      </c>
      <c r="AN296" s="19" t="str">
        <f>HYPERLINK("http://www.uniprot.org/uniprot/Q9C0A1","3.7")</f>
        <v>3.7</v>
      </c>
      <c r="AO296" t="str">
        <f>HYPERLINK(".\links\SWISSP\TI_asb-478-SWISSP.txt"," 1")</f>
        <v xml:space="preserve"> 1</v>
      </c>
      <c r="AP296" t="s">
        <v>2881</v>
      </c>
      <c r="AQ296">
        <v>32</v>
      </c>
      <c r="AR296">
        <v>30</v>
      </c>
      <c r="AS296">
        <v>2572</v>
      </c>
      <c r="AT296">
        <v>56</v>
      </c>
      <c r="AU296">
        <v>1</v>
      </c>
      <c r="AV296">
        <v>13</v>
      </c>
      <c r="AW296">
        <v>0</v>
      </c>
      <c r="AX296">
        <v>1640</v>
      </c>
      <c r="AY296">
        <v>355</v>
      </c>
      <c r="AZ296">
        <v>1</v>
      </c>
      <c r="BA296">
        <v>-3</v>
      </c>
      <c r="BB296" t="s">
        <v>53</v>
      </c>
      <c r="BC296" t="s">
        <v>64</v>
      </c>
      <c r="BD296" t="s">
        <v>330</v>
      </c>
      <c r="BE296" t="s">
        <v>2882</v>
      </c>
      <c r="BF296" t="s">
        <v>2883</v>
      </c>
      <c r="BG296" t="str">
        <f>HYPERLINK(".\links\PREV-RHOD-PEP\TI_asb-478-PREV-RHOD-PEP.txt","Contig17920_121")</f>
        <v>Contig17920_121</v>
      </c>
      <c r="BH296" s="7">
        <v>5.0000000000000001E-4</v>
      </c>
      <c r="BI296" t="str">
        <f>HYPERLINK(".\links\PREV-RHOD-PEP\TI_asb-478-PREV-RHOD-PEP.txt"," 10")</f>
        <v xml:space="preserve"> 10</v>
      </c>
      <c r="BJ296" t="s">
        <v>2884</v>
      </c>
      <c r="BK296">
        <v>32.700000000000003</v>
      </c>
      <c r="BL296">
        <v>27</v>
      </c>
      <c r="BM296">
        <v>327</v>
      </c>
      <c r="BN296">
        <v>55</v>
      </c>
      <c r="BO296">
        <v>8</v>
      </c>
      <c r="BP296">
        <v>12</v>
      </c>
      <c r="BQ296">
        <v>2</v>
      </c>
      <c r="BR296">
        <v>249</v>
      </c>
      <c r="BS296">
        <v>272</v>
      </c>
      <c r="BT296">
        <v>2</v>
      </c>
      <c r="BU296" t="s">
        <v>64</v>
      </c>
      <c r="BV296" t="s">
        <v>2885</v>
      </c>
      <c r="BW296" t="s">
        <v>56</v>
      </c>
      <c r="BX296" t="str">
        <f>HYPERLINK(".\links\PREV-RHOD-CDS\TI_asb-478-PREV-RHOD-CDS.txt","Contig17294_2")</f>
        <v>Contig17294_2</v>
      </c>
      <c r="BY296" s="6">
        <v>0.33</v>
      </c>
      <c r="BZ296" t="s">
        <v>2886</v>
      </c>
      <c r="CA296">
        <v>36.200000000000003</v>
      </c>
      <c r="CB296">
        <v>17</v>
      </c>
      <c r="CC296">
        <v>1083</v>
      </c>
      <c r="CD296">
        <v>100</v>
      </c>
      <c r="CE296">
        <v>2</v>
      </c>
      <c r="CF296">
        <v>0</v>
      </c>
      <c r="CG296">
        <v>0</v>
      </c>
      <c r="CH296">
        <v>697</v>
      </c>
      <c r="CI296">
        <v>105</v>
      </c>
      <c r="CJ296">
        <v>1</v>
      </c>
      <c r="CK296" t="s">
        <v>64</v>
      </c>
      <c r="CL296" t="s">
        <v>2887</v>
      </c>
      <c r="CM296">
        <f>HYPERLINK(".\links\GO\TI_asb-478-GO.txt",6.4)</f>
        <v>6.4</v>
      </c>
      <c r="CN296" t="s">
        <v>2888</v>
      </c>
      <c r="CO296" t="s">
        <v>88</v>
      </c>
      <c r="CP296" t="s">
        <v>89</v>
      </c>
      <c r="CQ296" t="s">
        <v>2889</v>
      </c>
      <c r="CR296" s="6">
        <v>6.4</v>
      </c>
      <c r="CS296" t="s">
        <v>153</v>
      </c>
      <c r="CT296" t="s">
        <v>75</v>
      </c>
      <c r="CU296" t="s">
        <v>92</v>
      </c>
      <c r="CV296" t="s">
        <v>154</v>
      </c>
      <c r="CW296" s="6">
        <v>6.4</v>
      </c>
      <c r="CX296" t="s">
        <v>2890</v>
      </c>
      <c r="CY296" t="s">
        <v>88</v>
      </c>
      <c r="CZ296" t="s">
        <v>89</v>
      </c>
      <c r="DA296" t="s">
        <v>2891</v>
      </c>
      <c r="DB296" s="6">
        <v>6.4</v>
      </c>
      <c r="DC296" t="str">
        <f>HYPERLINK(".\links\CDD\TI_asb-478-CDD.txt","7TM_GPCR_Sru")</f>
        <v>7TM_GPCR_Sru</v>
      </c>
      <c r="DD296" t="str">
        <f>HYPERLINK("http://www.ncbi.nlm.nih.gov/Structure/cdd/cddsrv.cgi?uid=pfam10322&amp;version=v4.0","5E-004")</f>
        <v>5E-004</v>
      </c>
      <c r="DE296" t="s">
        <v>2892</v>
      </c>
      <c r="DF296" t="str">
        <f>HYPERLINK(".\links\PFAM\TI_asb-478-PFAM.txt","7TM_GPCR_Sru")</f>
        <v>7TM_GPCR_Sru</v>
      </c>
      <c r="DG296" t="str">
        <f>HYPERLINK("http://pfam.sanger.ac.uk/family?acc=PF10322","1E-004")</f>
        <v>1E-004</v>
      </c>
      <c r="DH296" t="str">
        <f>HYPERLINK(".\links\PRK\TI_asb-478-PRK.txt","NADH dehydrogenase subunit 5")</f>
        <v>NADH dehydrogenase subunit 5</v>
      </c>
      <c r="DI296" s="6">
        <v>1E-3</v>
      </c>
      <c r="DJ296" s="6" t="s">
        <v>56</v>
      </c>
      <c r="DN296" t="s">
        <v>56</v>
      </c>
      <c r="DO296" t="s">
        <v>56</v>
      </c>
      <c r="DP296" s="3" t="s">
        <v>56</v>
      </c>
      <c r="ED296" s="3" t="s">
        <v>56</v>
      </c>
    </row>
    <row r="297" spans="1:134">
      <c r="A297" t="str">
        <f>HYPERLINK(".\links\seq\TI_asb-482-seq.txt","TI_asb-482")</f>
        <v>TI_asb-482</v>
      </c>
      <c r="B297">
        <v>482</v>
      </c>
      <c r="C297" t="str">
        <f>HYPERLINK(".\links\tsa\TI_asb-482-tsa.txt","1")</f>
        <v>1</v>
      </c>
      <c r="D297">
        <v>1</v>
      </c>
      <c r="E297">
        <v>712</v>
      </c>
      <c r="G297" t="str">
        <f>HYPERLINK(".\links\qual\TI_asb-482-qual.txt","34")</f>
        <v>34</v>
      </c>
      <c r="H297">
        <v>1</v>
      </c>
      <c r="I297">
        <v>0</v>
      </c>
      <c r="J297">
        <f t="shared" si="14"/>
        <v>1</v>
      </c>
      <c r="K297" s="6">
        <f t="shared" si="15"/>
        <v>1</v>
      </c>
      <c r="L297" s="6" t="s">
        <v>3880</v>
      </c>
      <c r="M297" s="6" t="s">
        <v>3881</v>
      </c>
      <c r="N297" s="6" t="s">
        <v>3864</v>
      </c>
      <c r="O297" s="7">
        <v>2.0000000000000002E-43</v>
      </c>
      <c r="P297" s="6">
        <v>38.200000000000003</v>
      </c>
      <c r="Q297" s="3">
        <v>712</v>
      </c>
      <c r="R297" s="3">
        <v>414</v>
      </c>
      <c r="S297" s="6" t="s">
        <v>3776</v>
      </c>
      <c r="T297" s="3">
        <v>2</v>
      </c>
      <c r="U297" t="str">
        <f>HYPERLINK(".\links\NR-LIGHT\TI_asb-482-NR-LIGHT.txt","cathepsin D")</f>
        <v>cathepsin D</v>
      </c>
      <c r="V297" t="str">
        <f>HYPERLINK("http://www.ncbi.nlm.nih.gov/sutils/blink.cgi?pid=301030231","2E-043")</f>
        <v>2E-043</v>
      </c>
      <c r="W297" t="str">
        <f>HYPERLINK(".\links\NR-LIGHT\TI_asb-482-NR-LIGHT.txt"," 10")</f>
        <v xml:space="preserve"> 10</v>
      </c>
      <c r="X297" t="str">
        <f>HYPERLINK("http://www.ncbi.nlm.nih.gov/protein/301030231","gi|301030231")</f>
        <v>gi|301030231</v>
      </c>
      <c r="Y297">
        <v>177</v>
      </c>
      <c r="Z297">
        <v>149</v>
      </c>
      <c r="AA297">
        <v>390</v>
      </c>
      <c r="AB297">
        <v>55</v>
      </c>
      <c r="AC297">
        <v>38</v>
      </c>
      <c r="AD297">
        <v>66</v>
      </c>
      <c r="AE297">
        <v>0</v>
      </c>
      <c r="AF297">
        <v>242</v>
      </c>
      <c r="AG297">
        <v>56</v>
      </c>
      <c r="AH297">
        <v>1</v>
      </c>
      <c r="AI297">
        <v>2</v>
      </c>
      <c r="AJ297" t="s">
        <v>53</v>
      </c>
      <c r="AK297" t="s">
        <v>54</v>
      </c>
      <c r="AL297" t="s">
        <v>55</v>
      </c>
      <c r="AM297" t="str">
        <f>HYPERLINK(".\links\SWISSP\TI_asb-482-SWISSP.txt","Cathepsin D OS=Homo sapiens GN=CTSD PE=1 SV=1")</f>
        <v>Cathepsin D OS=Homo sapiens GN=CTSD PE=1 SV=1</v>
      </c>
      <c r="AN297" s="19" t="str">
        <f>HYPERLINK("http://www.uniprot.org/uniprot/P07339","6E-022")</f>
        <v>6E-022</v>
      </c>
      <c r="AO297" t="str">
        <f>HYPERLINK(".\links\SWISSP\TI_asb-482-SWISSP.txt"," 10")</f>
        <v xml:space="preserve"> 10</v>
      </c>
      <c r="AP297" t="s">
        <v>2893</v>
      </c>
      <c r="AQ297">
        <v>104</v>
      </c>
      <c r="AR297">
        <v>131</v>
      </c>
      <c r="AS297">
        <v>412</v>
      </c>
      <c r="AT297">
        <v>39</v>
      </c>
      <c r="AU297">
        <v>32</v>
      </c>
      <c r="AV297">
        <v>79</v>
      </c>
      <c r="AW297">
        <v>2</v>
      </c>
      <c r="AX297">
        <v>277</v>
      </c>
      <c r="AY297">
        <v>107</v>
      </c>
      <c r="AZ297">
        <v>1</v>
      </c>
      <c r="BA297">
        <v>2</v>
      </c>
      <c r="BB297" t="s">
        <v>53</v>
      </c>
      <c r="BC297" t="s">
        <v>54</v>
      </c>
      <c r="BD297" t="s">
        <v>330</v>
      </c>
      <c r="BE297" t="s">
        <v>2894</v>
      </c>
      <c r="BF297" t="s">
        <v>2895</v>
      </c>
      <c r="BG297" t="str">
        <f>HYPERLINK(".\links\PREV-RHOD-PEP\TI_asb-482-PREV-RHOD-PEP.txt","Contig17955_3")</f>
        <v>Contig17955_3</v>
      </c>
      <c r="BH297" s="7">
        <v>3.9999999999999997E-40</v>
      </c>
      <c r="BI297" t="str">
        <f>HYPERLINK(".\links\PREV-RHOD-PEP\TI_asb-482-PREV-RHOD-PEP.txt"," 10")</f>
        <v xml:space="preserve"> 10</v>
      </c>
      <c r="BJ297" t="s">
        <v>162</v>
      </c>
      <c r="BK297">
        <v>160</v>
      </c>
      <c r="BL297">
        <v>148</v>
      </c>
      <c r="BM297">
        <v>371</v>
      </c>
      <c r="BN297">
        <v>50</v>
      </c>
      <c r="BO297">
        <v>40</v>
      </c>
      <c r="BP297">
        <v>74</v>
      </c>
      <c r="BQ297">
        <v>0</v>
      </c>
      <c r="BR297">
        <v>224</v>
      </c>
      <c r="BS297">
        <v>56</v>
      </c>
      <c r="BT297">
        <v>1</v>
      </c>
      <c r="BU297" t="s">
        <v>54</v>
      </c>
      <c r="BV297" t="s">
        <v>2896</v>
      </c>
      <c r="BW297" t="s">
        <v>56</v>
      </c>
      <c r="BX297" t="str">
        <f>HYPERLINK(".\links\PREV-RHOD-CDS\TI_asb-482-PREV-RHOD-CDS.txt","Contig17955_3")</f>
        <v>Contig17955_3</v>
      </c>
      <c r="BY297" s="7">
        <v>4.0000000000000001E-10</v>
      </c>
      <c r="BZ297" t="s">
        <v>162</v>
      </c>
      <c r="CA297">
        <v>65.900000000000006</v>
      </c>
      <c r="CB297">
        <v>56</v>
      </c>
      <c r="CC297">
        <v>1116</v>
      </c>
      <c r="CD297">
        <v>89</v>
      </c>
      <c r="CE297">
        <v>5</v>
      </c>
      <c r="CF297">
        <v>6</v>
      </c>
      <c r="CG297">
        <v>0</v>
      </c>
      <c r="CH297">
        <v>1027</v>
      </c>
      <c r="CI297">
        <v>416</v>
      </c>
      <c r="CJ297">
        <v>1</v>
      </c>
      <c r="CK297" t="s">
        <v>54</v>
      </c>
      <c r="CL297" t="s">
        <v>2897</v>
      </c>
      <c r="CM297">
        <f>HYPERLINK(".\links\GO\TI_asb-482-GO.txt",3E-21)</f>
        <v>2.9999999999999999E-21</v>
      </c>
      <c r="CN297" t="s">
        <v>393</v>
      </c>
      <c r="CO297" t="s">
        <v>129</v>
      </c>
      <c r="CP297" t="s">
        <v>166</v>
      </c>
      <c r="CQ297" t="s">
        <v>394</v>
      </c>
      <c r="CR297" s="7">
        <v>2.9999999999999999E-21</v>
      </c>
      <c r="CS297" t="s">
        <v>1061</v>
      </c>
      <c r="CT297" t="s">
        <v>75</v>
      </c>
      <c r="CU297" t="s">
        <v>555</v>
      </c>
      <c r="CV297" t="s">
        <v>1062</v>
      </c>
      <c r="CW297" s="7">
        <v>2.9999999999999999E-21</v>
      </c>
      <c r="CX297" t="s">
        <v>2898</v>
      </c>
      <c r="CY297" t="s">
        <v>129</v>
      </c>
      <c r="CZ297" t="s">
        <v>166</v>
      </c>
      <c r="DA297" t="s">
        <v>2899</v>
      </c>
      <c r="DB297" s="7">
        <v>2.9999999999999999E-21</v>
      </c>
      <c r="DC297" t="str">
        <f>HYPERLINK(".\links\CDD\TI_asb-482-CDD.txt","Asp")</f>
        <v>Asp</v>
      </c>
      <c r="DD297" t="str">
        <f>HYPERLINK("http://www.ncbi.nlm.nih.gov/Structure/cdd/cddsrv.cgi?uid=pfam00026&amp;version=v4.0","2E-027")</f>
        <v>2E-027</v>
      </c>
      <c r="DE297" t="s">
        <v>2900</v>
      </c>
      <c r="DF297" t="str">
        <f>HYPERLINK(".\links\PFAM\TI_asb-482-PFAM.txt","Asp")</f>
        <v>Asp</v>
      </c>
      <c r="DG297" t="str">
        <f>HYPERLINK("http://pfam.sanger.ac.uk/family?acc=PF00026","5E-029")</f>
        <v>5E-029</v>
      </c>
      <c r="DH297" t="str">
        <f>HYPERLINK(".\links\PRK\TI_asb-482-PRK.txt","aspartyl protease")</f>
        <v>aspartyl protease</v>
      </c>
      <c r="DI297" s="7">
        <v>2E-14</v>
      </c>
      <c r="DJ297" s="6" t="str">
        <f>HYPERLINK(".\links\KOG\TI_asb-482-KOG.txt","Aspartyl protease")</f>
        <v>Aspartyl protease</v>
      </c>
      <c r="DK297" s="6" t="str">
        <f>HYPERLINK("http://www.ncbi.nlm.nih.gov/COG/grace/shokog.cgi?KOG1339","5E-016")</f>
        <v>5E-016</v>
      </c>
      <c r="DL297" s="6" t="s">
        <v>4340</v>
      </c>
      <c r="DM297" s="6" t="str">
        <f>HYPERLINK(".\links\KOG\TI_asb-482-KOG.txt","KOG1339")</f>
        <v>KOG1339</v>
      </c>
      <c r="DN297" t="str">
        <f>HYPERLINK(".\links\SMART\TI_asb-482-SMART.txt","AgrB")</f>
        <v>AgrB</v>
      </c>
      <c r="DO297" t="str">
        <f>HYPERLINK("http://smart.embl-heidelberg.de/smart/do_annotation.pl?DOMAIN=AgrB&amp;BLAST=DUMMY","0.033")</f>
        <v>0.033</v>
      </c>
      <c r="DP297" s="3" t="s">
        <v>56</v>
      </c>
      <c r="ED297" s="3" t="s">
        <v>56</v>
      </c>
    </row>
    <row r="298" spans="1:134">
      <c r="A298" t="str">
        <f>HYPERLINK(".\links\seq\TI_asb-485-seq.txt","TI_asb-485")</f>
        <v>TI_asb-485</v>
      </c>
      <c r="B298">
        <v>485</v>
      </c>
      <c r="C298" t="str">
        <f>HYPERLINK(".\links\tsa\TI_asb-485-tsa.txt","1")</f>
        <v>1</v>
      </c>
      <c r="D298">
        <v>1</v>
      </c>
      <c r="E298">
        <v>815</v>
      </c>
      <c r="F298">
        <v>785</v>
      </c>
      <c r="G298" t="str">
        <f>HYPERLINK(".\links\qual\TI_asb-485-qual.txt","38")</f>
        <v>38</v>
      </c>
      <c r="H298">
        <v>0</v>
      </c>
      <c r="I298">
        <v>1</v>
      </c>
      <c r="J298">
        <f t="shared" si="14"/>
        <v>1</v>
      </c>
      <c r="K298" s="6">
        <f t="shared" si="15"/>
        <v>-1</v>
      </c>
      <c r="L298" s="6" t="s">
        <v>3868</v>
      </c>
      <c r="M298" s="6" t="s">
        <v>3869</v>
      </c>
      <c r="N298" s="6"/>
      <c r="O298" s="6"/>
      <c r="P298" s="6"/>
      <c r="Q298" s="3">
        <v>815</v>
      </c>
      <c r="R298" s="3">
        <v>261</v>
      </c>
      <c r="S298" s="6" t="s">
        <v>3777</v>
      </c>
      <c r="T298" s="3">
        <v>4</v>
      </c>
      <c r="U298" t="s">
        <v>56</v>
      </c>
      <c r="V298" t="s">
        <v>56</v>
      </c>
      <c r="W298" t="s">
        <v>56</v>
      </c>
      <c r="X298" t="s">
        <v>56</v>
      </c>
      <c r="Y298" t="s">
        <v>56</v>
      </c>
      <c r="Z298" t="s">
        <v>56</v>
      </c>
      <c r="AA298" t="s">
        <v>56</v>
      </c>
      <c r="AB298" t="s">
        <v>56</v>
      </c>
      <c r="AC298" t="s">
        <v>56</v>
      </c>
      <c r="AD298" t="s">
        <v>56</v>
      </c>
      <c r="AE298" t="s">
        <v>56</v>
      </c>
      <c r="AF298" t="s">
        <v>56</v>
      </c>
      <c r="AG298" t="s">
        <v>56</v>
      </c>
      <c r="AH298" t="s">
        <v>56</v>
      </c>
      <c r="AI298" t="s">
        <v>56</v>
      </c>
      <c r="AJ298" t="s">
        <v>56</v>
      </c>
      <c r="AK298" t="s">
        <v>56</v>
      </c>
      <c r="AL298" t="s">
        <v>56</v>
      </c>
      <c r="AM298" t="str">
        <f>HYPERLINK(".\links\SWISSP\TI_asb-485-SWISSP.txt","Tetratricopeptide repeat protein 21 homolog OS=Caenorhabditis elegans")</f>
        <v>Tetratricopeptide repeat protein 21 homolog OS=Caenorhabditis elegans</v>
      </c>
      <c r="AN298" s="19" t="str">
        <f>HYPERLINK("http://www.uniprot.org/uniprot/Q20255","3.0")</f>
        <v>3.0</v>
      </c>
      <c r="AO298" t="str">
        <f>HYPERLINK(".\links\SWISSP\TI_asb-485-SWISSP.txt"," 1")</f>
        <v xml:space="preserve"> 1</v>
      </c>
      <c r="AP298" t="s">
        <v>2901</v>
      </c>
      <c r="AQ298">
        <v>32.700000000000003</v>
      </c>
      <c r="AR298">
        <v>54</v>
      </c>
      <c r="AS298">
        <v>1332</v>
      </c>
      <c r="AT298">
        <v>29</v>
      </c>
      <c r="AU298">
        <v>4</v>
      </c>
      <c r="AV298">
        <v>38</v>
      </c>
      <c r="AW298">
        <v>2</v>
      </c>
      <c r="AX298">
        <v>1212</v>
      </c>
      <c r="AY298">
        <v>135</v>
      </c>
      <c r="AZ298">
        <v>1</v>
      </c>
      <c r="BA298">
        <v>3</v>
      </c>
      <c r="BB298" t="s">
        <v>53</v>
      </c>
      <c r="BC298" t="s">
        <v>54</v>
      </c>
      <c r="BD298" t="s">
        <v>385</v>
      </c>
      <c r="BE298" t="s">
        <v>2902</v>
      </c>
      <c r="BF298" t="s">
        <v>2903</v>
      </c>
      <c r="BG298" t="str">
        <f>HYPERLINK(".\links\PREV-RHOD-PEP\TI_asb-485-PREV-RHOD-PEP.txt","Contig17905_7")</f>
        <v>Contig17905_7</v>
      </c>
      <c r="BH298" s="6">
        <v>9.6999999999999993</v>
      </c>
      <c r="BI298" t="str">
        <f>HYPERLINK(".\links\PREV-RHOD-PEP\TI_asb-485-PREV-RHOD-PEP.txt"," 1")</f>
        <v xml:space="preserve"> 1</v>
      </c>
      <c r="BJ298" t="s">
        <v>2904</v>
      </c>
      <c r="BK298">
        <v>26.9</v>
      </c>
      <c r="BL298">
        <v>42</v>
      </c>
      <c r="BM298">
        <v>187</v>
      </c>
      <c r="BN298">
        <v>33</v>
      </c>
      <c r="BO298">
        <v>22</v>
      </c>
      <c r="BP298">
        <v>28</v>
      </c>
      <c r="BQ298">
        <v>0</v>
      </c>
      <c r="BR298">
        <v>8</v>
      </c>
      <c r="BS298">
        <v>80</v>
      </c>
      <c r="BT298">
        <v>1</v>
      </c>
      <c r="BU298" t="s">
        <v>54</v>
      </c>
      <c r="BV298" t="s">
        <v>2905</v>
      </c>
      <c r="BW298" t="s">
        <v>56</v>
      </c>
      <c r="BX298" t="str">
        <f>HYPERLINK(".\links\PREV-RHOD-CDS\TI_asb-485-PREV-RHOD-CDS.txt","Contig17740_22")</f>
        <v>Contig17740_22</v>
      </c>
      <c r="BY298" s="6">
        <v>0.4</v>
      </c>
      <c r="BZ298" t="s">
        <v>2906</v>
      </c>
      <c r="CA298">
        <v>36.200000000000003</v>
      </c>
      <c r="CB298">
        <v>17</v>
      </c>
      <c r="CC298">
        <v>909</v>
      </c>
      <c r="CD298">
        <v>100</v>
      </c>
      <c r="CE298">
        <v>2</v>
      </c>
      <c r="CF298">
        <v>0</v>
      </c>
      <c r="CG298">
        <v>0</v>
      </c>
      <c r="CH298">
        <v>79</v>
      </c>
      <c r="CI298">
        <v>410</v>
      </c>
      <c r="CJ298">
        <v>1</v>
      </c>
      <c r="CK298" t="s">
        <v>54</v>
      </c>
      <c r="CL298" t="s">
        <v>2907</v>
      </c>
      <c r="CM298">
        <f>HYPERLINK(".\links\GO\TI_asb-485-GO.txt",5.5)</f>
        <v>5.5</v>
      </c>
      <c r="CN298" t="s">
        <v>58</v>
      </c>
      <c r="CO298" t="s">
        <v>58</v>
      </c>
      <c r="CQ298" t="s">
        <v>59</v>
      </c>
      <c r="CR298" s="5">
        <v>5.5</v>
      </c>
      <c r="CS298" t="s">
        <v>224</v>
      </c>
      <c r="CT298" t="s">
        <v>75</v>
      </c>
      <c r="CU298" t="s">
        <v>76</v>
      </c>
      <c r="CV298" t="s">
        <v>225</v>
      </c>
      <c r="CW298" s="5">
        <v>5.5</v>
      </c>
      <c r="CX298" t="s">
        <v>2908</v>
      </c>
      <c r="CY298" t="s">
        <v>58</v>
      </c>
      <c r="DA298" t="s">
        <v>2909</v>
      </c>
      <c r="DB298" s="5">
        <v>5.5</v>
      </c>
      <c r="DC298" t="s">
        <v>56</v>
      </c>
      <c r="DD298" t="s">
        <v>56</v>
      </c>
      <c r="DE298" t="s">
        <v>56</v>
      </c>
      <c r="DF298" t="str">
        <f>HYPERLINK(".\links\PFAM\TI_asb-485-PFAM.txt","DUF1754")</f>
        <v>DUF1754</v>
      </c>
      <c r="DG298" t="str">
        <f>HYPERLINK("http://pfam.sanger.ac.uk/family?acc=PF08555","0.034")</f>
        <v>0.034</v>
      </c>
      <c r="DH298" t="str">
        <f>HYPERLINK(".\links\PRK\TI_asb-485-PRK.txt","NADH dehydrogenase subunit 5")</f>
        <v>NADH dehydrogenase subunit 5</v>
      </c>
      <c r="DI298" s="6">
        <v>1E-3</v>
      </c>
      <c r="DJ298" s="6" t="s">
        <v>56</v>
      </c>
      <c r="DN298" t="s">
        <v>56</v>
      </c>
      <c r="DO298" t="s">
        <v>56</v>
      </c>
      <c r="DP298" s="3" t="s">
        <v>56</v>
      </c>
      <c r="ED298" s="3" t="s">
        <v>56</v>
      </c>
    </row>
    <row r="299" spans="1:134">
      <c r="A299" t="str">
        <f>HYPERLINK(".\links\seq\TI_asb-486-seq.txt","TI_asb-486")</f>
        <v>TI_asb-486</v>
      </c>
      <c r="B299">
        <v>486</v>
      </c>
      <c r="C299" t="str">
        <f>HYPERLINK(".\links\tsa\TI_asb-486-tsa.txt","1")</f>
        <v>1</v>
      </c>
      <c r="D299">
        <v>1</v>
      </c>
      <c r="E299">
        <v>743</v>
      </c>
      <c r="F299">
        <v>720</v>
      </c>
      <c r="G299" t="str">
        <f>HYPERLINK(".\links\qual\TI_asb-486-qual.txt","39")</f>
        <v>39</v>
      </c>
      <c r="H299">
        <v>0</v>
      </c>
      <c r="I299">
        <v>1</v>
      </c>
      <c r="J299">
        <f t="shared" si="14"/>
        <v>1</v>
      </c>
      <c r="K299" s="6">
        <f t="shared" si="15"/>
        <v>-1</v>
      </c>
      <c r="L299" s="6" t="s">
        <v>3868</v>
      </c>
      <c r="M299" s="6" t="s">
        <v>3869</v>
      </c>
      <c r="N299" s="6"/>
      <c r="O299" s="6"/>
      <c r="P299" s="6"/>
      <c r="Q299" s="3">
        <v>743</v>
      </c>
      <c r="R299" s="3">
        <v>174</v>
      </c>
      <c r="S299" s="3" t="s">
        <v>3778</v>
      </c>
      <c r="T299" s="3">
        <v>4</v>
      </c>
      <c r="U299" t="str">
        <f>HYPERLINK(".\links\NR-LIGHT\TI_asb-486-NR-LIGHT.txt","hypothetical protein C06E7.1")</f>
        <v>hypothetical protein C06E7.1</v>
      </c>
      <c r="V299" t="str">
        <f>HYPERLINK("http://www.ncbi.nlm.nih.gov/sutils/blink.cgi?pid=32565909","5.1")</f>
        <v>5.1</v>
      </c>
      <c r="W299" t="str">
        <f>HYPERLINK(".\links\NR-LIGHT\TI_asb-486-NR-LIGHT.txt"," 1")</f>
        <v xml:space="preserve"> 1</v>
      </c>
      <c r="X299" t="str">
        <f>HYPERLINK("http://www.ncbi.nlm.nih.gov/protein/32565909","gi|32565909")</f>
        <v>gi|32565909</v>
      </c>
      <c r="Y299">
        <v>33.9</v>
      </c>
      <c r="Z299">
        <v>46</v>
      </c>
      <c r="AA299">
        <v>173</v>
      </c>
      <c r="AB299">
        <v>36</v>
      </c>
      <c r="AC299">
        <v>27</v>
      </c>
      <c r="AD299">
        <v>29</v>
      </c>
      <c r="AE299">
        <v>0</v>
      </c>
      <c r="AF299">
        <v>110</v>
      </c>
      <c r="AG299">
        <v>178</v>
      </c>
      <c r="AH299">
        <v>1</v>
      </c>
      <c r="AI299">
        <v>1</v>
      </c>
      <c r="AJ299" t="s">
        <v>53</v>
      </c>
      <c r="AK299" t="s">
        <v>54</v>
      </c>
      <c r="AL299" t="s">
        <v>385</v>
      </c>
      <c r="AM299" t="str">
        <f>HYPERLINK(".\links\SWISSP\TI_asb-486-SWISSP.txt","UDP-N-acetylmuramoyl-L-alanyl-D-glutamate--2, 6-diaminopimelate ligase")</f>
        <v>UDP-N-acetylmuramoyl-L-alanyl-D-glutamate--2, 6-diaminopimelate ligase</v>
      </c>
      <c r="AN299" s="19" t="str">
        <f>HYPERLINK("http://www.uniprot.org/uniprot/Q8D2Z1","4.4")</f>
        <v>4.4</v>
      </c>
      <c r="AO299" t="str">
        <f>HYPERLINK(".\links\SWISSP\TI_asb-486-SWISSP.txt"," 1")</f>
        <v xml:space="preserve"> 1</v>
      </c>
      <c r="AP299" t="s">
        <v>2910</v>
      </c>
      <c r="AQ299">
        <v>32</v>
      </c>
      <c r="AR299">
        <v>52</v>
      </c>
      <c r="AS299">
        <v>496</v>
      </c>
      <c r="AT299">
        <v>30</v>
      </c>
      <c r="AU299">
        <v>10</v>
      </c>
      <c r="AV299">
        <v>36</v>
      </c>
      <c r="AW299">
        <v>0</v>
      </c>
      <c r="AX299">
        <v>51</v>
      </c>
      <c r="AY299">
        <v>64</v>
      </c>
      <c r="AZ299">
        <v>1</v>
      </c>
      <c r="BA299">
        <v>1</v>
      </c>
      <c r="BB299" t="s">
        <v>53</v>
      </c>
      <c r="BC299" t="s">
        <v>54</v>
      </c>
      <c r="BD299" t="s">
        <v>2129</v>
      </c>
      <c r="BE299" t="s">
        <v>2911</v>
      </c>
      <c r="BF299" t="s">
        <v>2912</v>
      </c>
      <c r="BG299" t="str">
        <f>HYPERLINK(".\links\PREV-RHOD-PEP\TI_asb-486-PREV-RHOD-PEP.txt","Contig17872_108")</f>
        <v>Contig17872_108</v>
      </c>
      <c r="BH299" s="6">
        <v>0.78</v>
      </c>
      <c r="BI299" t="str">
        <f>HYPERLINK(".\links\PREV-RHOD-PEP\TI_asb-486-PREV-RHOD-PEP.txt"," 4")</f>
        <v xml:space="preserve"> 4</v>
      </c>
      <c r="BJ299" t="s">
        <v>2913</v>
      </c>
      <c r="BK299">
        <v>30.4</v>
      </c>
      <c r="BL299">
        <v>87</v>
      </c>
      <c r="BM299">
        <v>135</v>
      </c>
      <c r="BN299">
        <v>29</v>
      </c>
      <c r="BO299">
        <v>64</v>
      </c>
      <c r="BP299">
        <v>61</v>
      </c>
      <c r="BQ299">
        <v>0</v>
      </c>
      <c r="BR299">
        <v>4</v>
      </c>
      <c r="BS299">
        <v>218</v>
      </c>
      <c r="BT299">
        <v>1</v>
      </c>
      <c r="BU299" t="s">
        <v>64</v>
      </c>
      <c r="BV299" t="s">
        <v>2914</v>
      </c>
      <c r="BW299" t="s">
        <v>56</v>
      </c>
      <c r="BX299" t="str">
        <f>HYPERLINK(".\links\PREV-RHOD-CDS\TI_asb-486-PREV-RHOD-CDS.txt","Contig17556_1")</f>
        <v>Contig17556_1</v>
      </c>
      <c r="BY299" s="6">
        <v>2.4E-2</v>
      </c>
      <c r="BZ299" t="s">
        <v>2915</v>
      </c>
      <c r="CA299">
        <v>40.1</v>
      </c>
      <c r="CB299">
        <v>19</v>
      </c>
      <c r="CC299">
        <v>4845</v>
      </c>
      <c r="CD299">
        <v>100</v>
      </c>
      <c r="CF299">
        <v>0</v>
      </c>
      <c r="CG299">
        <v>0</v>
      </c>
      <c r="CH299">
        <v>1979</v>
      </c>
      <c r="CI299">
        <v>487</v>
      </c>
      <c r="CJ299">
        <v>1</v>
      </c>
      <c r="CK299" t="s">
        <v>64</v>
      </c>
      <c r="CL299" t="s">
        <v>56</v>
      </c>
      <c r="CM299" t="s">
        <v>56</v>
      </c>
      <c r="CN299" t="s">
        <v>56</v>
      </c>
      <c r="CO299" t="s">
        <v>56</v>
      </c>
      <c r="CP299" t="s">
        <v>56</v>
      </c>
      <c r="CQ299" t="s">
        <v>56</v>
      </c>
      <c r="CR299" s="6" t="s">
        <v>56</v>
      </c>
      <c r="CS299" t="s">
        <v>56</v>
      </c>
      <c r="CT299" t="s">
        <v>56</v>
      </c>
      <c r="CU299" t="s">
        <v>56</v>
      </c>
      <c r="CV299" t="s">
        <v>56</v>
      </c>
      <c r="CW299" s="6" t="s">
        <v>56</v>
      </c>
      <c r="CX299" t="s">
        <v>56</v>
      </c>
      <c r="CY299" t="s">
        <v>56</v>
      </c>
      <c r="CZ299" t="s">
        <v>56</v>
      </c>
      <c r="DA299" t="s">
        <v>56</v>
      </c>
      <c r="DB299" s="6" t="s">
        <v>56</v>
      </c>
      <c r="DC299" t="s">
        <v>56</v>
      </c>
      <c r="DD299" t="s">
        <v>56</v>
      </c>
      <c r="DE299" t="s">
        <v>56</v>
      </c>
      <c r="DF299" t="s">
        <v>56</v>
      </c>
      <c r="DG299" t="s">
        <v>56</v>
      </c>
      <c r="DH299" t="str">
        <f>HYPERLINK(".\links\PRK\TI_asb-486-PRK.txt","reverse gyrase")</f>
        <v>reverse gyrase</v>
      </c>
      <c r="DI299" s="6">
        <v>5.8999999999999997E-2</v>
      </c>
      <c r="DJ299" s="6" t="s">
        <v>56</v>
      </c>
      <c r="DN299" t="s">
        <v>56</v>
      </c>
      <c r="DO299" t="s">
        <v>56</v>
      </c>
      <c r="DP299" s="3" t="s">
        <v>56</v>
      </c>
      <c r="ED299" s="3" t="s">
        <v>56</v>
      </c>
    </row>
    <row r="300" spans="1:134">
      <c r="A300" t="str">
        <f>HYPERLINK(".\links\seq\TI_asb-487-seq.txt","TI_asb-487")</f>
        <v>TI_asb-487</v>
      </c>
      <c r="B300">
        <v>487</v>
      </c>
      <c r="C300" t="str">
        <f>HYPERLINK(".\links\tsa\TI_asb-487-tsa.txt","1")</f>
        <v>1</v>
      </c>
      <c r="D300">
        <v>1</v>
      </c>
      <c r="E300">
        <v>604</v>
      </c>
      <c r="F300">
        <v>586</v>
      </c>
      <c r="G300" t="str">
        <f>HYPERLINK(".\links\qual\TI_asb-487-qual.txt","44")</f>
        <v>44</v>
      </c>
      <c r="H300">
        <v>0</v>
      </c>
      <c r="I300">
        <v>1</v>
      </c>
      <c r="J300">
        <f t="shared" si="14"/>
        <v>1</v>
      </c>
      <c r="K300" s="6">
        <f t="shared" si="15"/>
        <v>-1</v>
      </c>
      <c r="L300" s="6" t="s">
        <v>3932</v>
      </c>
      <c r="M300" s="6" t="s">
        <v>3912</v>
      </c>
      <c r="N300" s="6" t="str">
        <f>HYPERLINK(".\links\PFAM\TI_asb-487-PFAM.txt","PFAM")</f>
        <v>PFAM</v>
      </c>
      <c r="O300" s="6">
        <v>4.9999999999999998E-8</v>
      </c>
      <c r="P300" s="6">
        <v>61.2</v>
      </c>
      <c r="Q300" s="3">
        <v>604</v>
      </c>
      <c r="R300" s="3">
        <v>201</v>
      </c>
      <c r="S300" s="3" t="s">
        <v>3779</v>
      </c>
      <c r="T300" s="3">
        <v>5</v>
      </c>
      <c r="U300" t="str">
        <f>HYPERLINK(".\links\NR-LIGHT\TI_asb-487-NR-LIGHT.txt","hypothetical protein")</f>
        <v>hypothetical protein</v>
      </c>
      <c r="V300" t="str">
        <f>HYPERLINK("http://www.ncbi.nlm.nih.gov/sutils/blink.cgi?pid=68073591","1.1")</f>
        <v>1.1</v>
      </c>
      <c r="W300" t="str">
        <f>HYPERLINK(".\links\NR-LIGHT\TI_asb-487-NR-LIGHT.txt"," 4")</f>
        <v xml:space="preserve"> 4</v>
      </c>
      <c r="X300" t="str">
        <f>HYPERLINK("http://www.ncbi.nlm.nih.gov/protein/68073591","gi|68073591")</f>
        <v>gi|68073591</v>
      </c>
      <c r="Y300">
        <v>35.4</v>
      </c>
      <c r="Z300">
        <v>44</v>
      </c>
      <c r="AA300">
        <v>1608</v>
      </c>
      <c r="AB300">
        <v>40</v>
      </c>
      <c r="AC300">
        <v>3</v>
      </c>
      <c r="AD300">
        <v>26</v>
      </c>
      <c r="AE300">
        <v>0</v>
      </c>
      <c r="AF300">
        <v>699</v>
      </c>
      <c r="AG300">
        <v>225</v>
      </c>
      <c r="AH300">
        <v>1</v>
      </c>
      <c r="AI300">
        <v>-3</v>
      </c>
      <c r="AJ300" t="s">
        <v>53</v>
      </c>
      <c r="AK300" t="s">
        <v>64</v>
      </c>
      <c r="AL300" t="s">
        <v>1117</v>
      </c>
      <c r="AM300" t="s">
        <v>56</v>
      </c>
      <c r="AN300" s="19" t="s">
        <v>56</v>
      </c>
      <c r="AO300" t="s">
        <v>56</v>
      </c>
      <c r="AP300" t="s">
        <v>56</v>
      </c>
      <c r="AQ300" t="s">
        <v>56</v>
      </c>
      <c r="AR300" t="s">
        <v>56</v>
      </c>
      <c r="AS300" t="s">
        <v>56</v>
      </c>
      <c r="AT300" t="s">
        <v>56</v>
      </c>
      <c r="AU300" t="s">
        <v>56</v>
      </c>
      <c r="AV300" t="s">
        <v>56</v>
      </c>
      <c r="AW300" t="s">
        <v>56</v>
      </c>
      <c r="AX300" t="s">
        <v>56</v>
      </c>
      <c r="AY300" t="s">
        <v>56</v>
      </c>
      <c r="AZ300" t="s">
        <v>56</v>
      </c>
      <c r="BA300" t="s">
        <v>56</v>
      </c>
      <c r="BB300" t="s">
        <v>56</v>
      </c>
      <c r="BC300" t="s">
        <v>56</v>
      </c>
      <c r="BD300" t="s">
        <v>56</v>
      </c>
      <c r="BE300" t="s">
        <v>56</v>
      </c>
      <c r="BF300" t="s">
        <v>56</v>
      </c>
      <c r="BG300" t="str">
        <f>HYPERLINK(".\links\PREV-RHOD-PEP\TI_asb-487-PREV-RHOD-PEP.txt","Contig16079_1")</f>
        <v>Contig16079_1</v>
      </c>
      <c r="BH300" s="6">
        <v>6.2</v>
      </c>
      <c r="BI300" t="str">
        <f>HYPERLINK(".\links\PREV-RHOD-PEP\TI_asb-487-PREV-RHOD-PEP.txt"," 2")</f>
        <v xml:space="preserve"> 2</v>
      </c>
      <c r="BJ300" t="s">
        <v>2916</v>
      </c>
      <c r="BK300">
        <v>26.9</v>
      </c>
      <c r="BL300">
        <v>45</v>
      </c>
      <c r="BM300">
        <v>329</v>
      </c>
      <c r="BN300">
        <v>35</v>
      </c>
      <c r="BO300">
        <v>14</v>
      </c>
      <c r="BP300">
        <v>29</v>
      </c>
      <c r="BQ300">
        <v>13</v>
      </c>
      <c r="BR300">
        <v>84</v>
      </c>
      <c r="BS300">
        <v>412</v>
      </c>
      <c r="BT300">
        <v>1</v>
      </c>
      <c r="BU300" t="s">
        <v>54</v>
      </c>
      <c r="BV300" t="s">
        <v>2917</v>
      </c>
      <c r="BW300" t="s">
        <v>56</v>
      </c>
      <c r="BX300" t="str">
        <f>HYPERLINK(".\links\PREV-RHOD-CDS\TI_asb-487-PREV-RHOD-CDS.txt","Contig18051_7")</f>
        <v>Contig18051_7</v>
      </c>
      <c r="BY300" s="6">
        <v>0.3</v>
      </c>
      <c r="BZ300" t="s">
        <v>2918</v>
      </c>
      <c r="CA300">
        <v>36.200000000000003</v>
      </c>
      <c r="CB300">
        <v>17</v>
      </c>
      <c r="CC300">
        <v>291</v>
      </c>
      <c r="CD300">
        <v>100</v>
      </c>
      <c r="CE300">
        <v>6</v>
      </c>
      <c r="CF300">
        <v>0</v>
      </c>
      <c r="CG300">
        <v>0</v>
      </c>
      <c r="CH300">
        <v>273</v>
      </c>
      <c r="CI300">
        <v>468</v>
      </c>
      <c r="CJ300">
        <v>1</v>
      </c>
      <c r="CK300" t="s">
        <v>54</v>
      </c>
      <c r="CL300" t="s">
        <v>56</v>
      </c>
      <c r="CM300" t="s">
        <v>56</v>
      </c>
      <c r="CN300" t="s">
        <v>56</v>
      </c>
      <c r="CO300" t="s">
        <v>56</v>
      </c>
      <c r="CP300" t="s">
        <v>56</v>
      </c>
      <c r="CQ300" t="s">
        <v>56</v>
      </c>
      <c r="CR300" s="6" t="s">
        <v>56</v>
      </c>
      <c r="CS300" t="s">
        <v>56</v>
      </c>
      <c r="CT300" t="s">
        <v>56</v>
      </c>
      <c r="CU300" t="s">
        <v>56</v>
      </c>
      <c r="CV300" t="s">
        <v>56</v>
      </c>
      <c r="CW300" s="6" t="s">
        <v>56</v>
      </c>
      <c r="CX300" t="s">
        <v>56</v>
      </c>
      <c r="CY300" t="s">
        <v>56</v>
      </c>
      <c r="CZ300" t="s">
        <v>56</v>
      </c>
      <c r="DA300" t="s">
        <v>56</v>
      </c>
      <c r="DB300" s="6" t="s">
        <v>56</v>
      </c>
      <c r="DC300" t="str">
        <f>HYPERLINK(".\links\CDD\TI_asb-487-CDD.txt","7TM_GPCR_Srz")</f>
        <v>7TM_GPCR_Srz</v>
      </c>
      <c r="DD300" t="str">
        <f>HYPERLINK("http://www.ncbi.nlm.nih.gov/Structure/cdd/cddsrv.cgi?uid=pfam10325&amp;version=v4.0","2E-007")</f>
        <v>2E-007</v>
      </c>
      <c r="DE300" t="s">
        <v>2919</v>
      </c>
      <c r="DF300" t="str">
        <f>HYPERLINK(".\links\PFAM\TI_asb-487-PFAM.txt","7TM_GPCR_Srz")</f>
        <v>7TM_GPCR_Srz</v>
      </c>
      <c r="DG300" t="str">
        <f>HYPERLINK("http://pfam.sanger.ac.uk/family?acc=PF10325","5E-008")</f>
        <v>5E-008</v>
      </c>
      <c r="DH300" t="str">
        <f>HYPERLINK(".\links\PRK\TI_asb-487-PRK.txt","NADH dehydrogenase subunit 5")</f>
        <v>NADH dehydrogenase subunit 5</v>
      </c>
      <c r="DI300" s="7">
        <v>2.9999999999999999E-7</v>
      </c>
      <c r="DJ300" s="6" t="str">
        <f>HYPERLINK(".\links\KOG\TI_asb-487-KOG.txt","Members of chemokine-like factor super family and related proteins")</f>
        <v>Members of chemokine-like factor super family and related proteins</v>
      </c>
      <c r="DK300" s="6" t="str">
        <f>HYPERLINK("http://www.ncbi.nlm.nih.gov/COG/grace/shokog.cgi?KOG4788","0.008")</f>
        <v>0.008</v>
      </c>
      <c r="DL300" s="6" t="s">
        <v>4367</v>
      </c>
      <c r="DM300" s="6" t="str">
        <f>HYPERLINK(".\links\KOG\TI_asb-487-KOG.txt","KOG4788")</f>
        <v>KOG4788</v>
      </c>
      <c r="DN300" t="str">
        <f>HYPERLINK(".\links\SMART\TI_asb-487-SMART.txt","PSN")</f>
        <v>PSN</v>
      </c>
      <c r="DO300" t="str">
        <f>HYPERLINK("http://smart.embl-heidelberg.de/smart/do_annotation.pl?DOMAIN=PSN&amp;BLAST=DUMMY","0.001")</f>
        <v>0.001</v>
      </c>
      <c r="DP300" s="3" t="s">
        <v>56</v>
      </c>
      <c r="ED300" s="3" t="s">
        <v>56</v>
      </c>
    </row>
    <row r="301" spans="1:134" s="26" customFormat="1">
      <c r="A301" s="26" t="str">
        <f>HYPERLINK(".\links\seq\TI_asb-488-seq.txt","TI_asb-488")</f>
        <v>TI_asb-488</v>
      </c>
      <c r="B301" s="26">
        <v>488</v>
      </c>
      <c r="C301" s="27" t="str">
        <f>HYPERLINK(".\links\tsa\TI_asb-488-tsa.txt","2")</f>
        <v>2</v>
      </c>
      <c r="D301" s="26">
        <v>2</v>
      </c>
      <c r="E301" s="26">
        <v>312</v>
      </c>
      <c r="F301" s="26">
        <v>288</v>
      </c>
      <c r="G301" s="26" t="str">
        <f>HYPERLINK(".\links\qual\TI_asb-488-qual.txt","48")</f>
        <v>48</v>
      </c>
      <c r="H301" s="26">
        <v>1</v>
      </c>
      <c r="I301" s="26">
        <v>1</v>
      </c>
      <c r="J301" s="26">
        <f t="shared" si="14"/>
        <v>0</v>
      </c>
      <c r="K301" s="26">
        <f t="shared" si="15"/>
        <v>0</v>
      </c>
      <c r="L301" s="26" t="s">
        <v>3868</v>
      </c>
      <c r="M301" s="26" t="s">
        <v>3869</v>
      </c>
      <c r="Q301" s="26">
        <v>312</v>
      </c>
      <c r="R301" s="26">
        <v>138</v>
      </c>
      <c r="S301" s="26" t="s">
        <v>3780</v>
      </c>
      <c r="T301" s="26">
        <v>1</v>
      </c>
      <c r="U301" s="26" t="s">
        <v>56</v>
      </c>
      <c r="V301" s="26" t="s">
        <v>56</v>
      </c>
      <c r="W301" s="26" t="s">
        <v>56</v>
      </c>
      <c r="X301" s="26" t="s">
        <v>56</v>
      </c>
      <c r="Y301" s="26" t="s">
        <v>56</v>
      </c>
      <c r="Z301" s="26" t="s">
        <v>56</v>
      </c>
      <c r="AA301" s="26" t="s">
        <v>56</v>
      </c>
      <c r="AB301" s="26" t="s">
        <v>56</v>
      </c>
      <c r="AC301" s="26" t="s">
        <v>56</v>
      </c>
      <c r="AD301" s="26" t="s">
        <v>56</v>
      </c>
      <c r="AE301" s="26" t="s">
        <v>56</v>
      </c>
      <c r="AF301" s="26" t="s">
        <v>56</v>
      </c>
      <c r="AG301" s="26" t="s">
        <v>56</v>
      </c>
      <c r="AH301" s="26" t="s">
        <v>56</v>
      </c>
      <c r="AI301" s="26" t="s">
        <v>56</v>
      </c>
      <c r="AJ301" s="26" t="s">
        <v>56</v>
      </c>
      <c r="AK301" s="26" t="s">
        <v>56</v>
      </c>
      <c r="AL301" s="26" t="s">
        <v>56</v>
      </c>
      <c r="AM301" s="26" t="str">
        <f>HYPERLINK(".\links\SWISSP\TI_asb-488-SWISSP.txt","Hemagglutinin glycoprotein OS=Rinderpest virus (strain L) GN=H PE=3 SV=1")</f>
        <v>Hemagglutinin glycoprotein OS=Rinderpest virus (strain L) GN=H PE=3 SV=1</v>
      </c>
      <c r="AN301" s="29" t="str">
        <f>HYPERLINK("http://www.uniprot.org/uniprot/P09460","3.5")</f>
        <v>3.5</v>
      </c>
      <c r="AO301" s="26" t="str">
        <f>HYPERLINK(".\links\SWISSP\TI_asb-488-SWISSP.txt"," 1")</f>
        <v xml:space="preserve"> 1</v>
      </c>
      <c r="AP301" s="26" t="s">
        <v>2920</v>
      </c>
      <c r="AQ301" s="26">
        <v>30.4</v>
      </c>
      <c r="AR301" s="26">
        <v>61</v>
      </c>
      <c r="AS301" s="26">
        <v>609</v>
      </c>
      <c r="AT301" s="26">
        <v>37</v>
      </c>
      <c r="AU301" s="26">
        <v>10</v>
      </c>
      <c r="AV301" s="26">
        <v>38</v>
      </c>
      <c r="AW301" s="26">
        <v>2</v>
      </c>
      <c r="AX301" s="26">
        <v>99</v>
      </c>
      <c r="AY301" s="26">
        <v>13</v>
      </c>
      <c r="AZ301" s="26">
        <v>1</v>
      </c>
      <c r="BA301" s="26">
        <v>1</v>
      </c>
      <c r="BB301" s="26" t="s">
        <v>53</v>
      </c>
      <c r="BC301" s="26" t="s">
        <v>54</v>
      </c>
      <c r="BD301" s="26" t="s">
        <v>2921</v>
      </c>
      <c r="BE301" s="26" t="s">
        <v>2922</v>
      </c>
      <c r="BF301" s="26" t="s">
        <v>2923</v>
      </c>
      <c r="BG301" s="26" t="str">
        <f>HYPERLINK(".\links\PREV-RHOD-PEP\TI_asb-488-PREV-RHOD-PEP.txt","Contig5661_1")</f>
        <v>Contig5661_1</v>
      </c>
      <c r="BH301" s="26">
        <v>1E-3</v>
      </c>
      <c r="BI301" s="26" t="str">
        <f>HYPERLINK(".\links\PREV-RHOD-PEP\TI_asb-488-PREV-RHOD-PEP.txt"," 10")</f>
        <v xml:space="preserve"> 10</v>
      </c>
      <c r="BJ301" s="26" t="s">
        <v>2924</v>
      </c>
      <c r="BK301" s="26">
        <v>38.1</v>
      </c>
      <c r="BL301" s="26">
        <v>26</v>
      </c>
      <c r="BM301" s="26">
        <v>293</v>
      </c>
      <c r="BN301" s="26">
        <v>69</v>
      </c>
      <c r="BO301" s="26">
        <v>9</v>
      </c>
      <c r="BP301" s="26">
        <v>8</v>
      </c>
      <c r="BQ301" s="26">
        <v>1</v>
      </c>
      <c r="BR301" s="26">
        <v>15</v>
      </c>
      <c r="BS301" s="26">
        <v>101</v>
      </c>
      <c r="BT301" s="26">
        <v>1</v>
      </c>
      <c r="BU301" s="26" t="s">
        <v>64</v>
      </c>
      <c r="BV301" s="26" t="s">
        <v>2925</v>
      </c>
      <c r="BW301" s="26" t="s">
        <v>56</v>
      </c>
      <c r="BX301" s="26" t="str">
        <f>HYPERLINK(".\links\PREV-RHOD-CDS\TI_asb-488-PREV-RHOD-CDS.txt","Contig5661_1")</f>
        <v>Contig5661_1</v>
      </c>
      <c r="BY301" s="28">
        <v>8.0000000000000004E-22</v>
      </c>
      <c r="BZ301" s="26" t="s">
        <v>2924</v>
      </c>
      <c r="CA301" s="26">
        <v>103</v>
      </c>
      <c r="CB301" s="26">
        <v>67</v>
      </c>
      <c r="CC301" s="26">
        <v>882</v>
      </c>
      <c r="CD301" s="26">
        <v>95</v>
      </c>
      <c r="CE301" s="26">
        <v>8</v>
      </c>
      <c r="CF301" s="26">
        <v>3</v>
      </c>
      <c r="CG301" s="26">
        <v>1</v>
      </c>
      <c r="CH301" s="26">
        <v>31</v>
      </c>
      <c r="CI301" s="26">
        <v>120</v>
      </c>
      <c r="CJ301" s="26">
        <v>1</v>
      </c>
      <c r="CK301" s="26" t="s">
        <v>64</v>
      </c>
      <c r="CL301" s="26" t="s">
        <v>2926</v>
      </c>
      <c r="CM301" s="26">
        <f>HYPERLINK(".\links\GO\TI_asb-488-GO.txt",2.5)</f>
        <v>2.5</v>
      </c>
      <c r="CN301" s="26" t="s">
        <v>56</v>
      </c>
      <c r="CO301" s="26" t="s">
        <v>56</v>
      </c>
      <c r="CP301" s="26" t="s">
        <v>56</v>
      </c>
      <c r="CQ301" s="26" t="s">
        <v>56</v>
      </c>
      <c r="CR301" s="26" t="s">
        <v>56</v>
      </c>
      <c r="CS301" s="26" t="s">
        <v>60</v>
      </c>
      <c r="CT301" s="26" t="s">
        <v>60</v>
      </c>
      <c r="CV301" s="26" t="s">
        <v>61</v>
      </c>
      <c r="CW301" s="26">
        <v>2.5</v>
      </c>
      <c r="CX301" s="26" t="s">
        <v>56</v>
      </c>
      <c r="CY301" s="26" t="s">
        <v>56</v>
      </c>
      <c r="CZ301" s="26" t="s">
        <v>56</v>
      </c>
      <c r="DA301" s="26" t="s">
        <v>56</v>
      </c>
      <c r="DB301" s="26" t="s">
        <v>56</v>
      </c>
      <c r="DC301" s="26" t="str">
        <f>HYPERLINK(".\links\CDD\TI_asb-488-CDD.txt","Jacalin")</f>
        <v>Jacalin</v>
      </c>
      <c r="DD301" s="26" t="str">
        <f>HYPERLINK("http://www.ncbi.nlm.nih.gov/Structure/cdd/cddsrv.cgi?uid=pfam01419&amp;version=v4.0","0.087")</f>
        <v>0.087</v>
      </c>
      <c r="DE301" s="26" t="s">
        <v>2927</v>
      </c>
      <c r="DF301" s="26" t="str">
        <f>HYPERLINK(".\links\PFAM\TI_asb-488-PFAM.txt","Jacalin")</f>
        <v>Jacalin</v>
      </c>
      <c r="DG301" s="26" t="str">
        <f>HYPERLINK("http://pfam.sanger.ac.uk/family?acc=PF01419","0.021")</f>
        <v>0.021</v>
      </c>
      <c r="DH301" s="26" t="s">
        <v>56</v>
      </c>
      <c r="DI301" s="26" t="s">
        <v>56</v>
      </c>
      <c r="DJ301" s="26" t="s">
        <v>56</v>
      </c>
      <c r="DN301" s="26" t="s">
        <v>56</v>
      </c>
      <c r="DO301" s="26" t="s">
        <v>56</v>
      </c>
      <c r="DP301" s="26" t="s">
        <v>56</v>
      </c>
      <c r="ED301" s="26" t="s">
        <v>56</v>
      </c>
    </row>
    <row r="302" spans="1:134">
      <c r="A302" t="str">
        <f>HYPERLINK(".\links\seq\TI_asb-489-seq.txt","TI_asb-489")</f>
        <v>TI_asb-489</v>
      </c>
      <c r="B302">
        <v>489</v>
      </c>
      <c r="C302" t="str">
        <f>HYPERLINK(".\links\tsa\TI_asb-489-tsa.txt","2")</f>
        <v>2</v>
      </c>
      <c r="D302">
        <v>2</v>
      </c>
      <c r="E302">
        <v>163</v>
      </c>
      <c r="F302">
        <v>135</v>
      </c>
      <c r="G302" t="str">
        <f>HYPERLINK(".\links\qual\TI_asb-489-qual.txt","72")</f>
        <v>72</v>
      </c>
      <c r="H302">
        <v>0</v>
      </c>
      <c r="I302">
        <v>2</v>
      </c>
      <c r="J302">
        <f t="shared" si="14"/>
        <v>2</v>
      </c>
      <c r="K302" s="6">
        <f t="shared" si="15"/>
        <v>-2</v>
      </c>
      <c r="L302" s="6" t="s">
        <v>3868</v>
      </c>
      <c r="M302" s="6" t="s">
        <v>3869</v>
      </c>
      <c r="N302" s="6"/>
      <c r="O302" s="6"/>
      <c r="P302" s="6"/>
      <c r="Q302" s="3">
        <v>163</v>
      </c>
      <c r="R302" s="3">
        <v>159</v>
      </c>
      <c r="S302" s="6" t="s">
        <v>3781</v>
      </c>
      <c r="T302" s="3">
        <v>2</v>
      </c>
      <c r="U302" t="s">
        <v>56</v>
      </c>
      <c r="V302" t="s">
        <v>56</v>
      </c>
      <c r="W302" t="s">
        <v>56</v>
      </c>
      <c r="X302" t="s">
        <v>56</v>
      </c>
      <c r="Y302" t="s">
        <v>56</v>
      </c>
      <c r="Z302" t="s">
        <v>56</v>
      </c>
      <c r="AA302" t="s">
        <v>56</v>
      </c>
      <c r="AB302" t="s">
        <v>56</v>
      </c>
      <c r="AC302" t="s">
        <v>56</v>
      </c>
      <c r="AD302" t="s">
        <v>56</v>
      </c>
      <c r="AE302" t="s">
        <v>56</v>
      </c>
      <c r="AF302" t="s">
        <v>56</v>
      </c>
      <c r="AG302" t="s">
        <v>56</v>
      </c>
      <c r="AH302" t="s">
        <v>56</v>
      </c>
      <c r="AI302" t="s">
        <v>56</v>
      </c>
      <c r="AJ302" t="s">
        <v>56</v>
      </c>
      <c r="AK302" t="s">
        <v>56</v>
      </c>
      <c r="AL302" t="s">
        <v>56</v>
      </c>
      <c r="AM302" t="s">
        <v>56</v>
      </c>
      <c r="AN302" s="19" t="s">
        <v>56</v>
      </c>
      <c r="AO302" t="s">
        <v>56</v>
      </c>
      <c r="AP302" t="s">
        <v>56</v>
      </c>
      <c r="AQ302" t="s">
        <v>56</v>
      </c>
      <c r="AR302" t="s">
        <v>56</v>
      </c>
      <c r="AS302" t="s">
        <v>56</v>
      </c>
      <c r="AT302" t="s">
        <v>56</v>
      </c>
      <c r="AU302" t="s">
        <v>56</v>
      </c>
      <c r="AV302" t="s">
        <v>56</v>
      </c>
      <c r="AW302" t="s">
        <v>56</v>
      </c>
      <c r="AX302" t="s">
        <v>56</v>
      </c>
      <c r="AY302" t="s">
        <v>56</v>
      </c>
      <c r="AZ302" t="s">
        <v>56</v>
      </c>
      <c r="BA302" t="s">
        <v>56</v>
      </c>
      <c r="BB302" t="s">
        <v>56</v>
      </c>
      <c r="BC302" t="s">
        <v>56</v>
      </c>
      <c r="BD302" t="s">
        <v>56</v>
      </c>
      <c r="BE302" t="s">
        <v>56</v>
      </c>
      <c r="BF302" t="s">
        <v>56</v>
      </c>
      <c r="BG302" t="s">
        <v>56</v>
      </c>
      <c r="BH302" s="6" t="s">
        <v>56</v>
      </c>
      <c r="BI302" t="s">
        <v>56</v>
      </c>
      <c r="BJ302" t="s">
        <v>56</v>
      </c>
      <c r="BK302" t="s">
        <v>56</v>
      </c>
      <c r="BL302" t="s">
        <v>56</v>
      </c>
      <c r="BM302" t="s">
        <v>56</v>
      </c>
      <c r="BN302" t="s">
        <v>56</v>
      </c>
      <c r="BO302" t="s">
        <v>56</v>
      </c>
      <c r="BP302" t="s">
        <v>56</v>
      </c>
      <c r="BQ302" t="s">
        <v>56</v>
      </c>
      <c r="BR302" t="s">
        <v>56</v>
      </c>
      <c r="BS302" t="s">
        <v>56</v>
      </c>
      <c r="BT302" t="s">
        <v>56</v>
      </c>
      <c r="BU302" t="s">
        <v>56</v>
      </c>
      <c r="BV302" t="s">
        <v>56</v>
      </c>
      <c r="BW302" t="s">
        <v>56</v>
      </c>
      <c r="BX302" t="str">
        <f>HYPERLINK(".\links\PREV-RHOD-CDS\TI_asb-489-PREV-RHOD-CDS.txt","Contig4113_1")</f>
        <v>Contig4113_1</v>
      </c>
      <c r="BY302" s="6">
        <v>1.9E-2</v>
      </c>
      <c r="BZ302" t="s">
        <v>2928</v>
      </c>
      <c r="CA302">
        <v>38.200000000000003</v>
      </c>
      <c r="CB302">
        <v>22</v>
      </c>
      <c r="CC302">
        <v>66</v>
      </c>
      <c r="CD302">
        <v>95</v>
      </c>
      <c r="CE302">
        <v>35</v>
      </c>
      <c r="CF302">
        <v>1</v>
      </c>
      <c r="CG302">
        <v>0</v>
      </c>
      <c r="CH302">
        <v>6</v>
      </c>
      <c r="CI302">
        <v>91</v>
      </c>
      <c r="CJ302">
        <v>1</v>
      </c>
      <c r="CK302" t="s">
        <v>64</v>
      </c>
      <c r="CL302" t="s">
        <v>56</v>
      </c>
      <c r="CM302" t="s">
        <v>56</v>
      </c>
      <c r="CN302" t="s">
        <v>56</v>
      </c>
      <c r="CO302" t="s">
        <v>56</v>
      </c>
      <c r="CP302" t="s">
        <v>56</v>
      </c>
      <c r="CQ302" t="s">
        <v>56</v>
      </c>
      <c r="CR302" s="6" t="s">
        <v>56</v>
      </c>
      <c r="CS302" t="s">
        <v>56</v>
      </c>
      <c r="CT302" t="s">
        <v>56</v>
      </c>
      <c r="CU302" t="s">
        <v>56</v>
      </c>
      <c r="CV302" t="s">
        <v>56</v>
      </c>
      <c r="CW302" s="6" t="s">
        <v>56</v>
      </c>
      <c r="CX302" t="s">
        <v>56</v>
      </c>
      <c r="CY302" t="s">
        <v>56</v>
      </c>
      <c r="CZ302" t="s">
        <v>56</v>
      </c>
      <c r="DA302" t="s">
        <v>56</v>
      </c>
      <c r="DB302" s="6" t="s">
        <v>56</v>
      </c>
      <c r="DC302" t="s">
        <v>56</v>
      </c>
      <c r="DD302" t="s">
        <v>56</v>
      </c>
      <c r="DE302" t="s">
        <v>56</v>
      </c>
      <c r="DF302" t="str">
        <f>HYPERLINK(".\links\PFAM\TI_asb-489-PFAM.txt","7TM_GPCR_Sri")</f>
        <v>7TM_GPCR_Sri</v>
      </c>
      <c r="DG302" t="str">
        <f>HYPERLINK("http://pfam.sanger.ac.uk/family?acc=PF10327","0.009")</f>
        <v>0.009</v>
      </c>
      <c r="DH302" t="str">
        <f>HYPERLINK(".\links\PRK\TI_asb-489-PRK.txt","MATE family multidrug exporter")</f>
        <v>MATE family multidrug exporter</v>
      </c>
      <c r="DI302" s="6">
        <v>5.0999999999999997E-2</v>
      </c>
      <c r="DJ302" s="6" t="s">
        <v>56</v>
      </c>
      <c r="DN302" t="str">
        <f>HYPERLINK(".\links\SMART\TI_asb-489-SMART.txt","PSN")</f>
        <v>PSN</v>
      </c>
      <c r="DO302" t="str">
        <f>HYPERLINK("http://smart.embl-heidelberg.de/smart/do_annotation.pl?DOMAIN=PSN&amp;BLAST=DUMMY","0.012")</f>
        <v>0.012</v>
      </c>
      <c r="DP302" s="3" t="s">
        <v>56</v>
      </c>
      <c r="ED302" s="3" t="s">
        <v>56</v>
      </c>
    </row>
    <row r="303" spans="1:134">
      <c r="A303" t="str">
        <f>HYPERLINK(".\links\seq\TI_asb-490-seq.txt","TI_asb-490")</f>
        <v>TI_asb-490</v>
      </c>
      <c r="B303">
        <v>490</v>
      </c>
      <c r="C303" s="27" t="str">
        <f>HYPERLINK(".\links\tsa\TI_asb-490-tsa.txt","2")</f>
        <v>2</v>
      </c>
      <c r="D303">
        <v>5</v>
      </c>
      <c r="E303">
        <v>460</v>
      </c>
      <c r="F303">
        <v>427</v>
      </c>
      <c r="G303" t="str">
        <f>HYPERLINK(".\links\qual\TI_asb-490-qual.txt","86")</f>
        <v>86</v>
      </c>
      <c r="H303">
        <v>0</v>
      </c>
      <c r="I303">
        <v>2</v>
      </c>
      <c r="J303">
        <f t="shared" si="14"/>
        <v>2</v>
      </c>
      <c r="K303" s="6">
        <f t="shared" si="15"/>
        <v>-2</v>
      </c>
      <c r="L303" s="6" t="s">
        <v>4044</v>
      </c>
      <c r="M303" s="6" t="s">
        <v>3976</v>
      </c>
      <c r="N303" s="6" t="s">
        <v>3909</v>
      </c>
      <c r="O303" s="6">
        <v>1.0000000000000001E-5</v>
      </c>
      <c r="P303" s="6">
        <v>95.5</v>
      </c>
      <c r="Q303" s="3">
        <v>460</v>
      </c>
      <c r="R303" s="3">
        <v>318</v>
      </c>
      <c r="S303" s="3" t="s">
        <v>3782</v>
      </c>
      <c r="T303" s="3">
        <v>2</v>
      </c>
      <c r="U303" t="str">
        <f>HYPERLINK(".\links\NR-LIGHT\TI_asb-490-NR-LIGHT.txt","defensin")</f>
        <v>defensin</v>
      </c>
      <c r="V303" t="str">
        <f>HYPERLINK("http://www.ncbi.nlm.nih.gov/sutils/blink.cgi?pid=89112752","1E-050")</f>
        <v>1E-050</v>
      </c>
      <c r="W303" t="str">
        <f>HYPERLINK(".\links\NR-LIGHT\TI_asb-490-NR-LIGHT.txt"," 10")</f>
        <v xml:space="preserve"> 10</v>
      </c>
      <c r="X303" t="str">
        <f>HYPERLINK("http://www.ncbi.nlm.nih.gov/protein/89112752","gi|89112752")</f>
        <v>gi|89112752</v>
      </c>
      <c r="Y303">
        <v>200</v>
      </c>
      <c r="Z303">
        <v>94</v>
      </c>
      <c r="AA303">
        <v>94</v>
      </c>
      <c r="AB303">
        <v>98</v>
      </c>
      <c r="AC303">
        <v>100</v>
      </c>
      <c r="AD303">
        <v>1</v>
      </c>
      <c r="AE303">
        <v>0</v>
      </c>
      <c r="AF303">
        <v>1</v>
      </c>
      <c r="AG303">
        <v>86</v>
      </c>
      <c r="AH303">
        <v>1</v>
      </c>
      <c r="AI303">
        <v>2</v>
      </c>
      <c r="AJ303" t="s">
        <v>53</v>
      </c>
      <c r="AK303" t="s">
        <v>54</v>
      </c>
      <c r="AL303" t="s">
        <v>55</v>
      </c>
      <c r="AM303" t="str">
        <f>HYPERLINK(".\links\SWISSP\TI_asb-490-SWISSP.txt","Defensin OS=Pyrrhocoris apterus PE=1 SV=1")</f>
        <v>Defensin OS=Pyrrhocoris apterus PE=1 SV=1</v>
      </c>
      <c r="AN303" s="19" t="str">
        <f>HYPERLINK("http://www.uniprot.org/uniprot/P37364","1E-012")</f>
        <v>1E-012</v>
      </c>
      <c r="AO303" t="str">
        <f>HYPERLINK(".\links\SWISSP\TI_asb-490-SWISSP.txt"," 10")</f>
        <v xml:space="preserve"> 10</v>
      </c>
      <c r="AP303" t="s">
        <v>2610</v>
      </c>
      <c r="AQ303">
        <v>72.400000000000006</v>
      </c>
      <c r="AR303">
        <v>43</v>
      </c>
      <c r="AS303">
        <v>43</v>
      </c>
      <c r="AT303">
        <v>62</v>
      </c>
      <c r="AU303">
        <v>100</v>
      </c>
      <c r="AV303">
        <v>16</v>
      </c>
      <c r="AW303">
        <v>0</v>
      </c>
      <c r="AX303">
        <v>1</v>
      </c>
      <c r="AY303">
        <v>239</v>
      </c>
      <c r="AZ303">
        <v>1</v>
      </c>
      <c r="BA303">
        <v>2</v>
      </c>
      <c r="BB303" t="s">
        <v>53</v>
      </c>
      <c r="BC303" t="s">
        <v>54</v>
      </c>
      <c r="BD303" t="s">
        <v>2611</v>
      </c>
      <c r="BE303" t="s">
        <v>2929</v>
      </c>
      <c r="BF303" t="s">
        <v>2930</v>
      </c>
      <c r="BG303" t="str">
        <f>HYPERLINK(".\links\PREV-RHOD-PEP\TI_asb-490-PREV-RHOD-PEP.txt","Contig17966_78")</f>
        <v>Contig17966_78</v>
      </c>
      <c r="BH303" s="7">
        <v>7.0000000000000003E-40</v>
      </c>
      <c r="BI303" t="str">
        <f>HYPERLINK(".\links\PREV-RHOD-PEP\TI_asb-490-PREV-RHOD-PEP.txt"," 10")</f>
        <v xml:space="preserve"> 10</v>
      </c>
      <c r="BJ303" t="s">
        <v>2931</v>
      </c>
      <c r="BK303">
        <v>159</v>
      </c>
      <c r="BL303">
        <v>95</v>
      </c>
      <c r="BM303">
        <v>94</v>
      </c>
      <c r="BN303">
        <v>77</v>
      </c>
      <c r="BO303">
        <v>101</v>
      </c>
      <c r="BP303">
        <v>21</v>
      </c>
      <c r="BQ303">
        <v>1</v>
      </c>
      <c r="BR303">
        <v>1</v>
      </c>
      <c r="BS303">
        <v>86</v>
      </c>
      <c r="BT303">
        <v>1</v>
      </c>
      <c r="BU303" t="s">
        <v>54</v>
      </c>
      <c r="BV303" t="s">
        <v>2932</v>
      </c>
      <c r="BW303" t="s">
        <v>56</v>
      </c>
      <c r="BX303" t="str">
        <f>HYPERLINK(".\links\PREV-RHOD-CDS\TI_asb-490-PREV-RHOD-CDS.txt","Contig17966_69")</f>
        <v>Contig17966_69</v>
      </c>
      <c r="BY303" s="7">
        <v>3E-34</v>
      </c>
      <c r="BZ303" t="s">
        <v>2933</v>
      </c>
      <c r="CA303">
        <v>145</v>
      </c>
      <c r="CB303">
        <v>176</v>
      </c>
      <c r="CC303">
        <v>285</v>
      </c>
      <c r="CD303">
        <v>85</v>
      </c>
      <c r="CE303">
        <v>62</v>
      </c>
      <c r="CF303">
        <v>26</v>
      </c>
      <c r="CG303">
        <v>0</v>
      </c>
      <c r="CH303">
        <v>109</v>
      </c>
      <c r="CI303">
        <v>194</v>
      </c>
      <c r="CJ303">
        <v>1</v>
      </c>
      <c r="CK303" t="s">
        <v>54</v>
      </c>
      <c r="CL303" t="s">
        <v>2616</v>
      </c>
      <c r="CM303">
        <f>HYPERLINK(".\links\GO\TI_asb-490-GO.txt",0.00000005)</f>
        <v>4.9999999999999998E-8</v>
      </c>
      <c r="CN303" t="s">
        <v>58</v>
      </c>
      <c r="CO303" t="s">
        <v>58</v>
      </c>
      <c r="CQ303" t="s">
        <v>59</v>
      </c>
      <c r="CR303" s="6">
        <v>1.4</v>
      </c>
      <c r="CS303" t="s">
        <v>60</v>
      </c>
      <c r="CT303" t="s">
        <v>60</v>
      </c>
      <c r="CV303" t="s">
        <v>61</v>
      </c>
      <c r="CW303" s="6">
        <v>1.4</v>
      </c>
      <c r="CX303" t="s">
        <v>62</v>
      </c>
      <c r="CY303" t="s">
        <v>58</v>
      </c>
      <c r="DA303" t="s">
        <v>63</v>
      </c>
      <c r="DB303" s="6">
        <v>1.4</v>
      </c>
      <c r="DC303" t="str">
        <f>HYPERLINK(".\links\CDD\TI_asb-490-CDD.txt","Defensin_2")</f>
        <v>Defensin_2</v>
      </c>
      <c r="DD303" t="str">
        <f>HYPERLINK("http://www.ncbi.nlm.nih.gov/Structure/cdd/cddsrv.cgi?uid=pfam01097&amp;version=v4.0","2E-010")</f>
        <v>2E-010</v>
      </c>
      <c r="DE303" t="s">
        <v>2934</v>
      </c>
      <c r="DF303" t="str">
        <f>HYPERLINK(".\links\PFAM\TI_asb-490-PFAM.txt","Defensin_2")</f>
        <v>Defensin_2</v>
      </c>
      <c r="DG303" t="str">
        <f>HYPERLINK("http://pfam.sanger.ac.uk/family?acc=PF01097","5E-012")</f>
        <v>5E-012</v>
      </c>
      <c r="DH303" t="str">
        <f>HYPERLINK(".\links\PRK\TI_asb-490-PRK.txt","NADH dehydrogenase subunit 3")</f>
        <v>NADH dehydrogenase subunit 3</v>
      </c>
      <c r="DI303" s="6">
        <v>1.0999999999999999E-2</v>
      </c>
      <c r="DJ303" s="6" t="s">
        <v>56</v>
      </c>
      <c r="DN303" t="str">
        <f>HYPERLINK(".\links\SMART\TI_asb-490-SMART.txt","Knot1")</f>
        <v>Knot1</v>
      </c>
      <c r="DO303" t="str">
        <f>HYPERLINK("http://smart.embl-heidelberg.de/smart/do_annotation.pl?DOMAIN=Knot1&amp;BLAST=DUMMY","5E-009")</f>
        <v>5E-009</v>
      </c>
      <c r="DP303" s="3" t="s">
        <v>56</v>
      </c>
      <c r="ED303" s="3" t="s">
        <v>56</v>
      </c>
    </row>
    <row r="304" spans="1:134">
      <c r="A304" t="str">
        <f>HYPERLINK(".\links\seq\TI_asb-493-seq.txt","TI_asb-493")</f>
        <v>TI_asb-493</v>
      </c>
      <c r="B304">
        <v>493</v>
      </c>
      <c r="C304" t="str">
        <f>HYPERLINK(".\links\tsa\TI_asb-493-tsa.txt","1")</f>
        <v>1</v>
      </c>
      <c r="D304">
        <v>1</v>
      </c>
      <c r="E304">
        <v>987</v>
      </c>
      <c r="F304">
        <v>730</v>
      </c>
      <c r="G304" t="str">
        <f>HYPERLINK(".\links\qual\TI_asb-493-qual.txt","32")</f>
        <v>32</v>
      </c>
      <c r="H304">
        <v>0</v>
      </c>
      <c r="I304">
        <v>1</v>
      </c>
      <c r="J304">
        <f t="shared" si="14"/>
        <v>1</v>
      </c>
      <c r="K304" s="6">
        <f t="shared" si="15"/>
        <v>-1</v>
      </c>
      <c r="L304" s="6" t="s">
        <v>4055</v>
      </c>
      <c r="M304" s="6" t="s">
        <v>3886</v>
      </c>
      <c r="N304" s="6" t="s">
        <v>3867</v>
      </c>
      <c r="O304" s="7">
        <v>4E-78</v>
      </c>
      <c r="P304" s="6">
        <v>75</v>
      </c>
      <c r="Q304" s="3">
        <v>987</v>
      </c>
      <c r="R304" s="3">
        <v>675</v>
      </c>
      <c r="S304" s="3" t="s">
        <v>3783</v>
      </c>
      <c r="T304" s="3">
        <v>1</v>
      </c>
      <c r="U304" t="str">
        <f>HYPERLINK(".\links\NR-LIGHT\TI_asb-493-NR-LIGHT.txt","similar to moladietz CG4482-PD")</f>
        <v>similar to moladietz CG4482-PD</v>
      </c>
      <c r="V304" t="str">
        <f>HYPERLINK("http://www.ncbi.nlm.nih.gov/sutils/blink.cgi?pid=193687042","2E-069")</f>
        <v>2E-069</v>
      </c>
      <c r="W304" t="str">
        <f>HYPERLINK(".\links\NR-LIGHT\TI_asb-493-NR-LIGHT.txt"," 10")</f>
        <v xml:space="preserve"> 10</v>
      </c>
      <c r="X304" t="str">
        <f>HYPERLINK("http://www.ncbi.nlm.nih.gov/protein/193687042","gi|193687042")</f>
        <v>gi|193687042</v>
      </c>
      <c r="Y304">
        <v>265</v>
      </c>
      <c r="Z304">
        <v>233</v>
      </c>
      <c r="AA304">
        <v>435</v>
      </c>
      <c r="AB304">
        <v>55</v>
      </c>
      <c r="AC304">
        <v>54</v>
      </c>
      <c r="AD304">
        <v>103</v>
      </c>
      <c r="AE304">
        <v>8</v>
      </c>
      <c r="AF304">
        <v>75</v>
      </c>
      <c r="AG304">
        <v>49</v>
      </c>
      <c r="AH304">
        <v>1</v>
      </c>
      <c r="AI304">
        <v>1</v>
      </c>
      <c r="AJ304" t="s">
        <v>53</v>
      </c>
      <c r="AK304" t="s">
        <v>54</v>
      </c>
      <c r="AL304" t="s">
        <v>177</v>
      </c>
      <c r="AM304" t="str">
        <f>HYPERLINK(".\links\SWISSP\TI_asb-493-SWISSP.txt","Dual oxidase maturation factor 1 OS=Xenopus tropicalis GN=duoxa1 PE=2 SV=1")</f>
        <v>Dual oxidase maturation factor 1 OS=Xenopus tropicalis GN=duoxa1 PE=2 SV=1</v>
      </c>
      <c r="AN304" s="19" t="str">
        <f>HYPERLINK("http://www.uniprot.org/uniprot/Q0P4G7","3E-028")</f>
        <v>3E-028</v>
      </c>
      <c r="AO304" t="str">
        <f>HYPERLINK(".\links\SWISSP\TI_asb-493-SWISSP.txt"," 10")</f>
        <v xml:space="preserve"> 10</v>
      </c>
      <c r="AP304" t="s">
        <v>2935</v>
      </c>
      <c r="AQ304">
        <v>126</v>
      </c>
      <c r="AR304">
        <v>180</v>
      </c>
      <c r="AS304">
        <v>308</v>
      </c>
      <c r="AT304">
        <v>37</v>
      </c>
      <c r="AU304">
        <v>58</v>
      </c>
      <c r="AV304">
        <v>113</v>
      </c>
      <c r="AW304">
        <v>5</v>
      </c>
      <c r="AX304">
        <v>85</v>
      </c>
      <c r="AY304">
        <v>91</v>
      </c>
      <c r="AZ304">
        <v>1</v>
      </c>
      <c r="BA304">
        <v>1</v>
      </c>
      <c r="BB304" t="s">
        <v>53</v>
      </c>
      <c r="BC304" t="s">
        <v>54</v>
      </c>
      <c r="BD304" t="s">
        <v>1302</v>
      </c>
      <c r="BE304" t="s">
        <v>2936</v>
      </c>
      <c r="BF304" t="s">
        <v>2937</v>
      </c>
      <c r="BG304" t="str">
        <f>HYPERLINK(".\links\PREV-RHOD-PEP\TI_asb-493-PREV-RHOD-PEP.txt","Contig17144_5")</f>
        <v>Contig17144_5</v>
      </c>
      <c r="BH304" s="7">
        <v>9.9999999999999996E-104</v>
      </c>
      <c r="BI304" t="str">
        <f>HYPERLINK(".\links\PREV-RHOD-PEP\TI_asb-493-PREV-RHOD-PEP.txt"," 10")</f>
        <v xml:space="preserve"> 10</v>
      </c>
      <c r="BJ304" t="s">
        <v>2938</v>
      </c>
      <c r="BK304">
        <v>370</v>
      </c>
      <c r="BL304">
        <v>227</v>
      </c>
      <c r="BM304">
        <v>340</v>
      </c>
      <c r="BN304">
        <v>80</v>
      </c>
      <c r="BO304">
        <v>67</v>
      </c>
      <c r="BP304">
        <v>44</v>
      </c>
      <c r="BQ304">
        <v>18</v>
      </c>
      <c r="BR304">
        <v>2</v>
      </c>
      <c r="BS304">
        <v>49</v>
      </c>
      <c r="BT304">
        <v>1</v>
      </c>
      <c r="BU304" t="s">
        <v>54</v>
      </c>
      <c r="BV304" t="s">
        <v>2939</v>
      </c>
      <c r="BW304" t="s">
        <v>56</v>
      </c>
      <c r="BX304" t="str">
        <f>HYPERLINK(".\links\PREV-RHOD-CDS\TI_asb-493-PREV-RHOD-CDS.txt","Contig17144_5")</f>
        <v>Contig17144_5</v>
      </c>
      <c r="BY304" s="7">
        <v>9.9999999999999999E-132</v>
      </c>
      <c r="BZ304" t="s">
        <v>2938</v>
      </c>
      <c r="CA304">
        <v>470</v>
      </c>
      <c r="CB304">
        <v>642</v>
      </c>
      <c r="CC304">
        <v>1023</v>
      </c>
      <c r="CD304">
        <v>86</v>
      </c>
      <c r="CE304">
        <v>63</v>
      </c>
      <c r="CF304">
        <v>65</v>
      </c>
      <c r="CG304">
        <v>0</v>
      </c>
      <c r="CH304">
        <v>49</v>
      </c>
      <c r="CI304">
        <v>94</v>
      </c>
      <c r="CJ304">
        <v>2</v>
      </c>
      <c r="CK304" t="s">
        <v>54</v>
      </c>
      <c r="CL304" t="s">
        <v>2940</v>
      </c>
      <c r="CM304">
        <f>HYPERLINK(".\links\GO\TI_asb-493-GO.txt",1E-68)</f>
        <v>1.0000000000000001E-68</v>
      </c>
      <c r="CN304" t="s">
        <v>208</v>
      </c>
      <c r="CO304" t="s">
        <v>185</v>
      </c>
      <c r="CP304" t="s">
        <v>186</v>
      </c>
      <c r="CQ304" t="s">
        <v>209</v>
      </c>
      <c r="CR304" s="7">
        <v>1.0000000000000001E-68</v>
      </c>
      <c r="CS304" t="s">
        <v>2941</v>
      </c>
      <c r="CT304" t="s">
        <v>75</v>
      </c>
      <c r="CU304" t="s">
        <v>2942</v>
      </c>
      <c r="CV304" t="s">
        <v>2943</v>
      </c>
      <c r="CW304" s="7">
        <v>1.0000000000000001E-68</v>
      </c>
      <c r="CX304" t="s">
        <v>2944</v>
      </c>
      <c r="CY304" t="s">
        <v>185</v>
      </c>
      <c r="CZ304" t="s">
        <v>186</v>
      </c>
      <c r="DA304" t="s">
        <v>2945</v>
      </c>
      <c r="DB304" s="7">
        <v>1.0000000000000001E-68</v>
      </c>
      <c r="DC304" t="str">
        <f>HYPERLINK(".\links\CDD\TI_asb-493-CDD.txt","DuoxA")</f>
        <v>DuoxA</v>
      </c>
      <c r="DD304" t="str">
        <f>HYPERLINK("http://www.ncbi.nlm.nih.gov/Structure/cdd/cddsrv.cgi?uid=pfam10204&amp;version=v4.0","2E-077")</f>
        <v>2E-077</v>
      </c>
      <c r="DE304" t="s">
        <v>2946</v>
      </c>
      <c r="DF304" t="str">
        <f>HYPERLINK(".\links\PFAM\TI_asb-493-PFAM.txt","DuoxA")</f>
        <v>DuoxA</v>
      </c>
      <c r="DG304" t="str">
        <f>HYPERLINK("http://pfam.sanger.ac.uk/family?acc=PF10204","4E-078")</f>
        <v>4E-078</v>
      </c>
      <c r="DH304" t="str">
        <f>HYPERLINK(".\links\PRK\TI_asb-493-PRK.txt","DNA topoisomerase I/SWI domain fusion protein")</f>
        <v>DNA topoisomerase I/SWI domain fusion protein</v>
      </c>
      <c r="DI304" s="6">
        <v>5.7000000000000002E-2</v>
      </c>
      <c r="DJ304" s="6" t="str">
        <f>HYPERLINK(".\links\KOG\TI_asb-493-KOG.txt","Uncharacterized conserved protein")</f>
        <v>Uncharacterized conserved protein</v>
      </c>
      <c r="DK304" s="6" t="str">
        <f>HYPERLINK("http://www.ncbi.nlm.nih.gov/COG/grace/shokog.cgi?KOG3921","7E-034")</f>
        <v>7E-034</v>
      </c>
      <c r="DL304" s="6" t="s">
        <v>4347</v>
      </c>
      <c r="DM304" s="6" t="str">
        <f>HYPERLINK(".\links\KOG\TI_asb-493-KOG.txt","KOG3921")</f>
        <v>KOG3921</v>
      </c>
      <c r="DN304" t="str">
        <f>HYPERLINK(".\links\SMART\TI_asb-493-SMART.txt","Agouti")</f>
        <v>Agouti</v>
      </c>
      <c r="DO304" t="str">
        <f>HYPERLINK("http://smart.embl-heidelberg.de/smart/do_annotation.pl?DOMAIN=Agouti&amp;BLAST=DUMMY","0.020")</f>
        <v>0.020</v>
      </c>
      <c r="DP304" s="3" t="s">
        <v>56</v>
      </c>
      <c r="ED304" s="3" t="s">
        <v>56</v>
      </c>
    </row>
    <row r="305" spans="1:134" s="26" customFormat="1">
      <c r="A305" s="26" t="str">
        <f>HYPERLINK(".\links\seq\TI_asb-494-seq.txt","TI_asb-494")</f>
        <v>TI_asb-494</v>
      </c>
      <c r="B305" s="26">
        <v>494</v>
      </c>
      <c r="C305" s="27" t="str">
        <f>HYPERLINK(".\links\tsa\TI_asb-494-tsa.txt","5")</f>
        <v>5</v>
      </c>
      <c r="D305" s="26">
        <v>5</v>
      </c>
      <c r="E305" s="26">
        <v>556</v>
      </c>
      <c r="F305" s="26">
        <v>526</v>
      </c>
      <c r="G305" s="26" t="str">
        <f>HYPERLINK(".\links\qual\TI_asb-494-qual.txt","89")</f>
        <v>89</v>
      </c>
      <c r="H305" s="26">
        <v>4</v>
      </c>
      <c r="I305" s="26">
        <v>1</v>
      </c>
      <c r="J305" s="26">
        <f t="shared" si="14"/>
        <v>3</v>
      </c>
      <c r="K305" s="26">
        <f t="shared" si="15"/>
        <v>3</v>
      </c>
      <c r="L305" s="26" t="s">
        <v>4056</v>
      </c>
      <c r="M305" s="26" t="s">
        <v>3866</v>
      </c>
      <c r="N305" s="26" t="s">
        <v>3872</v>
      </c>
      <c r="O305" s="28">
        <v>6.9999999999999999E-76</v>
      </c>
      <c r="P305" s="26">
        <v>100</v>
      </c>
      <c r="Q305" s="26">
        <v>556</v>
      </c>
      <c r="R305" s="26">
        <v>450</v>
      </c>
      <c r="S305" s="26" t="s">
        <v>3784</v>
      </c>
      <c r="T305" s="26">
        <v>2</v>
      </c>
      <c r="U305" s="26" t="str">
        <f>HYPERLINK(".\links\NR-LIGHT\TI_asb-494-NR-LIGHT.txt","40S ribosomal protein S23, putative")</f>
        <v>40S ribosomal protein S23, putative</v>
      </c>
      <c r="V305" s="26" t="str">
        <f>HYPERLINK("http://www.ncbi.nlm.nih.gov/sutils/blink.cgi?pid=242025351","1E-075")</f>
        <v>1E-075</v>
      </c>
      <c r="W305" s="26" t="str">
        <f>HYPERLINK(".\links\NR-LIGHT\TI_asb-494-NR-LIGHT.txt"," 10")</f>
        <v xml:space="preserve"> 10</v>
      </c>
      <c r="X305" s="26" t="str">
        <f>HYPERLINK("http://www.ncbi.nlm.nih.gov/protein/242025351","gi|242025351")</f>
        <v>gi|242025351</v>
      </c>
      <c r="Y305" s="26">
        <v>284</v>
      </c>
      <c r="Z305" s="26">
        <v>143</v>
      </c>
      <c r="AA305" s="26">
        <v>143</v>
      </c>
      <c r="AB305" s="26">
        <v>96</v>
      </c>
      <c r="AC305" s="26">
        <v>100</v>
      </c>
      <c r="AD305" s="26">
        <v>5</v>
      </c>
      <c r="AE305" s="26">
        <v>0</v>
      </c>
      <c r="AF305" s="26">
        <v>1</v>
      </c>
      <c r="AG305" s="26">
        <v>23</v>
      </c>
      <c r="AH305" s="26">
        <v>1</v>
      </c>
      <c r="AI305" s="26">
        <v>2</v>
      </c>
      <c r="AJ305" s="26" t="s">
        <v>53</v>
      </c>
      <c r="AK305" s="26" t="s">
        <v>54</v>
      </c>
      <c r="AL305" s="26" t="s">
        <v>141</v>
      </c>
      <c r="AM305" s="26" t="str">
        <f>HYPERLINK(".\links\SWISSP\TI_asb-494-SWISSP.txt","40S ribosomal protein S23 OS=Spodoptera frugiperda GN=RpS23 PE=2 SV=1")</f>
        <v>40S ribosomal protein S23 OS=Spodoptera frugiperda GN=RpS23 PE=2 SV=1</v>
      </c>
      <c r="AN305" s="29" t="str">
        <f>HYPERLINK("http://www.uniprot.org/uniprot/Q962Q7","8E-076")</f>
        <v>8E-076</v>
      </c>
      <c r="AO305" s="26" t="str">
        <f>HYPERLINK(".\links\SWISSP\TI_asb-494-SWISSP.txt"," 10")</f>
        <v xml:space="preserve"> 10</v>
      </c>
      <c r="AP305" s="26" t="s">
        <v>2947</v>
      </c>
      <c r="AQ305" s="26">
        <v>282</v>
      </c>
      <c r="AR305" s="26">
        <v>143</v>
      </c>
      <c r="AS305" s="26">
        <v>143</v>
      </c>
      <c r="AT305" s="26">
        <v>95</v>
      </c>
      <c r="AU305" s="26">
        <v>100</v>
      </c>
      <c r="AV305" s="26">
        <v>6</v>
      </c>
      <c r="AW305" s="26">
        <v>0</v>
      </c>
      <c r="AX305" s="26">
        <v>1</v>
      </c>
      <c r="AY305" s="26">
        <v>23</v>
      </c>
      <c r="AZ305" s="26">
        <v>1</v>
      </c>
      <c r="BA305" s="26">
        <v>2</v>
      </c>
      <c r="BB305" s="26" t="s">
        <v>53</v>
      </c>
      <c r="BC305" s="26" t="s">
        <v>54</v>
      </c>
      <c r="BD305" s="26" t="s">
        <v>1367</v>
      </c>
      <c r="BE305" s="26" t="s">
        <v>2948</v>
      </c>
      <c r="BF305" s="26" t="s">
        <v>2949</v>
      </c>
      <c r="BG305" s="26" t="str">
        <f>HYPERLINK(".\links\PREV-RHOD-PEP\TI_asb-494-PREV-RHOD-PEP.txt","Contig17967_29")</f>
        <v>Contig17967_29</v>
      </c>
      <c r="BH305" s="28">
        <v>4E-78</v>
      </c>
      <c r="BI305" s="26" t="str">
        <f>HYPERLINK(".\links\PREV-RHOD-PEP\TI_asb-494-PREV-RHOD-PEP.txt"," 10")</f>
        <v xml:space="preserve"> 10</v>
      </c>
      <c r="BJ305" s="26" t="s">
        <v>2950</v>
      </c>
      <c r="BK305" s="26">
        <v>286</v>
      </c>
      <c r="BL305" s="26">
        <v>143</v>
      </c>
      <c r="BM305" s="26">
        <v>143</v>
      </c>
      <c r="BN305" s="26">
        <v>97</v>
      </c>
      <c r="BO305" s="26">
        <v>100</v>
      </c>
      <c r="BP305" s="26">
        <v>3</v>
      </c>
      <c r="BQ305" s="26">
        <v>0</v>
      </c>
      <c r="BR305" s="26">
        <v>1</v>
      </c>
      <c r="BS305" s="26">
        <v>23</v>
      </c>
      <c r="BT305" s="26">
        <v>1</v>
      </c>
      <c r="BU305" s="26" t="s">
        <v>54</v>
      </c>
      <c r="BV305" s="26" t="s">
        <v>2951</v>
      </c>
      <c r="BW305" s="26" t="s">
        <v>56</v>
      </c>
      <c r="BX305" s="26" t="str">
        <f>HYPERLINK(".\links\PREV-RHOD-CDS\TI_asb-494-PREV-RHOD-CDS.txt","Contig17967_29")</f>
        <v>Contig17967_29</v>
      </c>
      <c r="BY305" s="28">
        <v>9.9999999999999998E-121</v>
      </c>
      <c r="BZ305" s="26" t="s">
        <v>2950</v>
      </c>
      <c r="CA305" s="26">
        <v>432</v>
      </c>
      <c r="CB305" s="26">
        <v>405</v>
      </c>
      <c r="CC305" s="26">
        <v>432</v>
      </c>
      <c r="CD305" s="26">
        <v>88</v>
      </c>
      <c r="CE305" s="26">
        <v>94</v>
      </c>
      <c r="CF305" s="26">
        <v>47</v>
      </c>
      <c r="CG305" s="26">
        <v>0</v>
      </c>
      <c r="CH305" s="26">
        <v>26</v>
      </c>
      <c r="CI305" s="26">
        <v>48</v>
      </c>
      <c r="CJ305" s="26">
        <v>1</v>
      </c>
      <c r="CK305" s="26" t="s">
        <v>54</v>
      </c>
      <c r="CL305" s="26" t="s">
        <v>2952</v>
      </c>
      <c r="CM305" s="26">
        <f>HYPERLINK(".\links\GO\TI_asb-494-GO.txt",2E-75)</f>
        <v>1.9999999999999999E-75</v>
      </c>
      <c r="CN305" s="26" t="s">
        <v>702</v>
      </c>
      <c r="CO305" s="26" t="s">
        <v>703</v>
      </c>
      <c r="CP305" s="26" t="s">
        <v>704</v>
      </c>
      <c r="CQ305" s="26" t="s">
        <v>705</v>
      </c>
      <c r="CR305" s="28">
        <v>1.9999999999999999E-75</v>
      </c>
      <c r="CS305" s="26" t="s">
        <v>1593</v>
      </c>
      <c r="CT305" s="26" t="s">
        <v>75</v>
      </c>
      <c r="CU305" s="26" t="s">
        <v>76</v>
      </c>
      <c r="CV305" s="26" t="s">
        <v>1594</v>
      </c>
      <c r="CW305" s="28">
        <v>1.9999999999999999E-75</v>
      </c>
      <c r="CX305" s="26" t="s">
        <v>708</v>
      </c>
      <c r="CY305" s="26" t="s">
        <v>703</v>
      </c>
      <c r="CZ305" s="26" t="s">
        <v>704</v>
      </c>
      <c r="DA305" s="26" t="s">
        <v>709</v>
      </c>
      <c r="DB305" s="28">
        <v>1.9999999999999999E-75</v>
      </c>
      <c r="DC305" s="26" t="str">
        <f>HYPERLINK(".\links\CDD\TI_asb-494-CDD.txt","PTZ00067")</f>
        <v>PTZ00067</v>
      </c>
      <c r="DD305" s="26" t="str">
        <f>HYPERLINK("http://www.ncbi.nlm.nih.gov/Structure/cdd/cddsrv.cgi?uid=PTZ00067&amp;version=v4.0","4E-082")</f>
        <v>4E-082</v>
      </c>
      <c r="DE305" s="26" t="s">
        <v>2953</v>
      </c>
      <c r="DF305" s="26" t="str">
        <f>HYPERLINK(".\links\PFAM\TI_asb-494-PFAM.txt","Ribosomal_S12")</f>
        <v>Ribosomal_S12</v>
      </c>
      <c r="DG305" s="26" t="str">
        <f>HYPERLINK("http://pfam.sanger.ac.uk/family?acc=PF00164","5E-042")</f>
        <v>5E-042</v>
      </c>
      <c r="DH305" s="26" t="str">
        <f>HYPERLINK(".\links\PRK\TI_asb-494-PRK.txt","40S ribosomal S23")</f>
        <v>40S ribosomal S23</v>
      </c>
      <c r="DI305" s="28">
        <v>8.9999999999999995E-86</v>
      </c>
      <c r="DJ305" s="26" t="str">
        <f>HYPERLINK(".\links\KOG\TI_asb-494-KOG.txt","40S ribosomal protein S23")</f>
        <v>40S ribosomal protein S23</v>
      </c>
      <c r="DK305" s="26" t="str">
        <f>HYPERLINK("http://www.ncbi.nlm.nih.gov/COG/grace/shokog.cgi?KOG1749","7E-076")</f>
        <v>7E-076</v>
      </c>
      <c r="DL305" s="26" t="s">
        <v>4333</v>
      </c>
      <c r="DM305" s="26" t="str">
        <f>HYPERLINK(".\links\KOG\TI_asb-494-KOG.txt","KOG1749")</f>
        <v>KOG1749</v>
      </c>
      <c r="DN305" s="26" t="s">
        <v>56</v>
      </c>
      <c r="DO305" s="26" t="s">
        <v>56</v>
      </c>
      <c r="DP305" s="26" t="s">
        <v>56</v>
      </c>
      <c r="ED305" s="26" t="s">
        <v>56</v>
      </c>
    </row>
    <row r="306" spans="1:134">
      <c r="A306" t="str">
        <f>HYPERLINK(".\links\seq\TI_asb-495-seq.txt","TI_asb-495")</f>
        <v>TI_asb-495</v>
      </c>
      <c r="B306">
        <v>495</v>
      </c>
      <c r="C306" t="str">
        <f>HYPERLINK(".\links\tsa\TI_asb-495-tsa.txt","5")</f>
        <v>5</v>
      </c>
      <c r="D306">
        <v>5</v>
      </c>
      <c r="E306">
        <v>735</v>
      </c>
      <c r="F306">
        <v>697</v>
      </c>
      <c r="G306" t="str">
        <f>HYPERLINK(".\links\qual\TI_asb-495-qual.txt","85")</f>
        <v>85</v>
      </c>
      <c r="H306">
        <v>1</v>
      </c>
      <c r="I306">
        <v>4</v>
      </c>
      <c r="J306">
        <f t="shared" si="14"/>
        <v>3</v>
      </c>
      <c r="K306" s="6">
        <f t="shared" si="15"/>
        <v>-3</v>
      </c>
      <c r="L306" s="6" t="s">
        <v>4057</v>
      </c>
      <c r="M306" s="6" t="s">
        <v>3866</v>
      </c>
      <c r="N306" s="6" t="s">
        <v>3872</v>
      </c>
      <c r="O306" s="7">
        <v>2.0000000000000001E-97</v>
      </c>
      <c r="P306" s="6">
        <v>104</v>
      </c>
      <c r="Q306" s="3">
        <v>735</v>
      </c>
      <c r="R306" s="3">
        <v>657</v>
      </c>
      <c r="S306" s="3" t="s">
        <v>3785</v>
      </c>
      <c r="T306" s="3">
        <v>1</v>
      </c>
      <c r="U306" t="str">
        <f>HYPERLINK(".\links\NR-LIGHT\TI_asb-495-NR-LIGHT.txt","40S ribosomal protein S8")</f>
        <v>40S ribosomal protein S8</v>
      </c>
      <c r="V306" t="str">
        <f>HYPERLINK("http://www.ncbi.nlm.nih.gov/sutils/blink.cgi?pid=149689088","1E-105")</f>
        <v>1E-105</v>
      </c>
      <c r="W306" t="str">
        <f>HYPERLINK(".\links\NR-LIGHT\TI_asb-495-NR-LIGHT.txt"," 10")</f>
        <v xml:space="preserve"> 10</v>
      </c>
      <c r="X306" t="str">
        <f>HYPERLINK("http://www.ncbi.nlm.nih.gov/protein/149689088","gi|149689088")</f>
        <v>gi|149689088</v>
      </c>
      <c r="Y306">
        <v>383</v>
      </c>
      <c r="Z306">
        <v>208</v>
      </c>
      <c r="AA306">
        <v>208</v>
      </c>
      <c r="AB306">
        <v>91</v>
      </c>
      <c r="AC306">
        <v>100</v>
      </c>
      <c r="AD306">
        <v>17</v>
      </c>
      <c r="AE306">
        <v>0</v>
      </c>
      <c r="AF306">
        <v>1</v>
      </c>
      <c r="AG306">
        <v>34</v>
      </c>
      <c r="AH306">
        <v>1</v>
      </c>
      <c r="AI306">
        <v>1</v>
      </c>
      <c r="AJ306" t="s">
        <v>53</v>
      </c>
      <c r="AK306" t="s">
        <v>54</v>
      </c>
      <c r="AL306" t="s">
        <v>55</v>
      </c>
      <c r="AM306" t="str">
        <f>HYPERLINK(".\links\SWISSP\TI_asb-495-SWISSP.txt","40S ribosomal protein S8 OS=Apis mellifera GN=RpS8 PE=2 SV=2")</f>
        <v>40S ribosomal protein S8 OS=Apis mellifera GN=RpS8 PE=2 SV=2</v>
      </c>
      <c r="AN306" s="19" t="str">
        <f>HYPERLINK("http://www.uniprot.org/uniprot/O76756","7E-089")</f>
        <v>7E-089</v>
      </c>
      <c r="AO306" t="str">
        <f>HYPERLINK(".\links\SWISSP\TI_asb-495-SWISSP.txt"," 10")</f>
        <v xml:space="preserve"> 10</v>
      </c>
      <c r="AP306" t="s">
        <v>2954</v>
      </c>
      <c r="AQ306">
        <v>327</v>
      </c>
      <c r="AR306">
        <v>208</v>
      </c>
      <c r="AS306">
        <v>208</v>
      </c>
      <c r="AT306">
        <v>76</v>
      </c>
      <c r="AU306">
        <v>100</v>
      </c>
      <c r="AV306">
        <v>48</v>
      </c>
      <c r="AW306">
        <v>0</v>
      </c>
      <c r="AX306">
        <v>1</v>
      </c>
      <c r="AY306">
        <v>34</v>
      </c>
      <c r="AZ306">
        <v>1</v>
      </c>
      <c r="BA306">
        <v>1</v>
      </c>
      <c r="BB306" t="s">
        <v>53</v>
      </c>
      <c r="BC306" t="s">
        <v>54</v>
      </c>
      <c r="BD306" t="s">
        <v>344</v>
      </c>
      <c r="BE306" t="s">
        <v>2955</v>
      </c>
      <c r="BF306" t="s">
        <v>2956</v>
      </c>
      <c r="BG306" t="str">
        <f>HYPERLINK(".\links\PREV-RHOD-PEP\TI_asb-495-PREV-RHOD-PEP.txt","Contig17558_45")</f>
        <v>Contig17558_45</v>
      </c>
      <c r="BH306" s="7">
        <v>9.9999999999999993E-105</v>
      </c>
      <c r="BI306" t="str">
        <f>HYPERLINK(".\links\PREV-RHOD-PEP\TI_asb-495-PREV-RHOD-PEP.txt"," 6")</f>
        <v xml:space="preserve"> 6</v>
      </c>
      <c r="BJ306" t="s">
        <v>2957</v>
      </c>
      <c r="BK306">
        <v>372</v>
      </c>
      <c r="BL306">
        <v>207</v>
      </c>
      <c r="BM306">
        <v>212</v>
      </c>
      <c r="BN306">
        <v>88</v>
      </c>
      <c r="BO306">
        <v>98</v>
      </c>
      <c r="BP306">
        <v>23</v>
      </c>
      <c r="BQ306">
        <v>0</v>
      </c>
      <c r="BR306">
        <v>6</v>
      </c>
      <c r="BS306">
        <v>37</v>
      </c>
      <c r="BT306">
        <v>1</v>
      </c>
      <c r="BU306" t="s">
        <v>54</v>
      </c>
      <c r="BV306" t="s">
        <v>2958</v>
      </c>
      <c r="BW306" t="s">
        <v>56</v>
      </c>
      <c r="BX306" t="str">
        <f>HYPERLINK(".\links\PREV-RHOD-CDS\TI_asb-495-PREV-RHOD-CDS.txt","Contig17558_45")</f>
        <v>Contig17558_45</v>
      </c>
      <c r="BY306" s="6">
        <v>0</v>
      </c>
      <c r="BZ306" t="s">
        <v>2957</v>
      </c>
      <c r="CA306">
        <v>632</v>
      </c>
      <c r="CB306">
        <v>623</v>
      </c>
      <c r="CC306">
        <v>639</v>
      </c>
      <c r="CD306">
        <v>87</v>
      </c>
      <c r="CE306">
        <v>98</v>
      </c>
      <c r="CF306">
        <v>78</v>
      </c>
      <c r="CG306">
        <v>0</v>
      </c>
      <c r="CH306">
        <v>16</v>
      </c>
      <c r="CI306">
        <v>37</v>
      </c>
      <c r="CJ306">
        <v>1</v>
      </c>
      <c r="CK306" t="s">
        <v>54</v>
      </c>
      <c r="CL306" t="s">
        <v>2959</v>
      </c>
      <c r="CM306">
        <f>HYPERLINK(".\links\GO\TI_asb-495-GO.txt",1E-87)</f>
        <v>1E-87</v>
      </c>
      <c r="CN306" t="s">
        <v>58</v>
      </c>
      <c r="CO306" t="s">
        <v>58</v>
      </c>
      <c r="CQ306" t="s">
        <v>59</v>
      </c>
      <c r="CR306" s="7">
        <v>1E-87</v>
      </c>
      <c r="CS306" t="s">
        <v>1055</v>
      </c>
      <c r="CT306" t="s">
        <v>75</v>
      </c>
      <c r="CU306" t="s">
        <v>76</v>
      </c>
      <c r="CV306" t="s">
        <v>1056</v>
      </c>
      <c r="CW306" s="7">
        <v>1E-87</v>
      </c>
      <c r="CX306" t="s">
        <v>2050</v>
      </c>
      <c r="CY306" t="s">
        <v>58</v>
      </c>
      <c r="DA306" t="s">
        <v>2051</v>
      </c>
      <c r="DB306" s="7">
        <v>1E-87</v>
      </c>
      <c r="DC306" t="str">
        <f>HYPERLINK(".\links\CDD\TI_asb-495-CDD.txt","PTZ00148")</f>
        <v>PTZ00148</v>
      </c>
      <c r="DD306" t="str">
        <f>HYPERLINK("http://www.ncbi.nlm.nih.gov/Structure/cdd/cddsrv.cgi?uid=PTZ00148&amp;version=v4.0","1E-098")</f>
        <v>1E-098</v>
      </c>
      <c r="DE306" t="s">
        <v>2960</v>
      </c>
      <c r="DF306" t="str">
        <f>HYPERLINK(".\links\PFAM\TI_asb-495-PFAM.txt","Ribosomal_S8e")</f>
        <v>Ribosomal_S8e</v>
      </c>
      <c r="DG306" t="str">
        <f>HYPERLINK("http://pfam.sanger.ac.uk/family?acc=PF01201","3E-049")</f>
        <v>3E-049</v>
      </c>
      <c r="DH306" t="str">
        <f>HYPERLINK(".\links\PRK\TI_asb-495-PRK.txt","40S ribosomal protein S8")</f>
        <v>40S ribosomal protein S8</v>
      </c>
      <c r="DI306" s="7">
        <v>9.9999999999999996E-104</v>
      </c>
      <c r="DJ306" s="6" t="str">
        <f>HYPERLINK(".\links\KOG\TI_asb-495-KOG.txt","40S ribosomal protein S8")</f>
        <v>40S ribosomal protein S8</v>
      </c>
      <c r="DK306" s="6" t="str">
        <f>HYPERLINK("http://www.ncbi.nlm.nih.gov/COG/grace/shokog.cgi?KOG3283","2E-097")</f>
        <v>2E-097</v>
      </c>
      <c r="DL306" s="6" t="s">
        <v>4333</v>
      </c>
      <c r="DM306" s="6" t="str">
        <f>HYPERLINK(".\links\KOG\TI_asb-495-KOG.txt","KOG3283")</f>
        <v>KOG3283</v>
      </c>
      <c r="DN306" t="str">
        <f>HYPERLINK(".\links\SMART\TI_asb-495-SMART.txt","LITAF")</f>
        <v>LITAF</v>
      </c>
      <c r="DO306" t="str">
        <f>HYPERLINK("http://smart.embl-heidelberg.de/smart/do_annotation.pl?DOMAIN=LITAF&amp;BLAST=DUMMY","0.043")</f>
        <v>0.043</v>
      </c>
      <c r="DP306" s="3" t="s">
        <v>56</v>
      </c>
      <c r="ED306" s="3" t="s">
        <v>56</v>
      </c>
    </row>
    <row r="307" spans="1:134">
      <c r="A307" t="str">
        <f>HYPERLINK(".\links\seq\TI_asb-497-seq.txt","TI_asb-497")</f>
        <v>TI_asb-497</v>
      </c>
      <c r="B307">
        <v>497</v>
      </c>
      <c r="C307" t="str">
        <f>HYPERLINK(".\links\tsa\TI_asb-497-tsa.txt","1")</f>
        <v>1</v>
      </c>
      <c r="D307">
        <v>1</v>
      </c>
      <c r="E307">
        <v>751</v>
      </c>
      <c r="G307" t="str">
        <f>HYPERLINK(".\links\qual\TI_asb-497-qual.txt","56")</f>
        <v>56</v>
      </c>
      <c r="H307">
        <v>0</v>
      </c>
      <c r="I307">
        <v>1</v>
      </c>
      <c r="J307">
        <f t="shared" si="14"/>
        <v>1</v>
      </c>
      <c r="K307" s="6">
        <f t="shared" si="15"/>
        <v>-1</v>
      </c>
      <c r="L307" s="6" t="s">
        <v>4058</v>
      </c>
      <c r="M307" s="6" t="s">
        <v>3906</v>
      </c>
      <c r="N307" s="6" t="s">
        <v>3872</v>
      </c>
      <c r="O307" s="7">
        <v>8.0000000000000001E-50</v>
      </c>
      <c r="P307" s="6">
        <v>51.2</v>
      </c>
      <c r="Q307" s="3">
        <v>751</v>
      </c>
      <c r="R307" s="3">
        <v>750</v>
      </c>
      <c r="S307" s="6" t="s">
        <v>3786</v>
      </c>
      <c r="T307" s="3">
        <v>1</v>
      </c>
      <c r="U307" t="str">
        <f>HYPERLINK(".\links\NR-LIGHT\TI_asb-497-NR-LIGHT.txt","similar to FL(2)D protein, putative")</f>
        <v>similar to FL(2)D protein, putative</v>
      </c>
      <c r="V307" t="str">
        <f>HYPERLINK("http://www.ncbi.nlm.nih.gov/sutils/blink.cgi?pid=156545287","4E-048")</f>
        <v>4E-048</v>
      </c>
      <c r="W307" t="str">
        <f>HYPERLINK(".\links\NR-LIGHT\TI_asb-497-NR-LIGHT.txt"," 10")</f>
        <v xml:space="preserve"> 10</v>
      </c>
      <c r="X307" t="str">
        <f>HYPERLINK("http://www.ncbi.nlm.nih.gov/protein/156545287","gi|156545287")</f>
        <v>gi|156545287</v>
      </c>
      <c r="Y307">
        <v>172</v>
      </c>
      <c r="Z307">
        <v>136</v>
      </c>
      <c r="AA307">
        <v>488</v>
      </c>
      <c r="AB307">
        <v>63</v>
      </c>
      <c r="AC307">
        <v>28</v>
      </c>
      <c r="AD307">
        <v>49</v>
      </c>
      <c r="AE307">
        <v>0</v>
      </c>
      <c r="AF307">
        <v>106</v>
      </c>
      <c r="AG307">
        <v>56</v>
      </c>
      <c r="AH307">
        <v>2</v>
      </c>
      <c r="AI307">
        <v>1</v>
      </c>
      <c r="AJ307" t="s">
        <v>65</v>
      </c>
      <c r="AK307" t="s">
        <v>54</v>
      </c>
      <c r="AL307" t="s">
        <v>66</v>
      </c>
      <c r="AM307" t="str">
        <f>HYPERLINK(".\links\SWISSP\TI_asb-497-SWISSP.txt","Pre-mRNA-splicing regulator female-lethal(2)D OS=Drosophila pseudoobscura")</f>
        <v>Pre-mRNA-splicing regulator female-lethal(2)D OS=Drosophila pseudoobscura</v>
      </c>
      <c r="AN307" s="19" t="str">
        <f>HYPERLINK("http://www.uniprot.org/uniprot/Q28XY0","9E-043")</f>
        <v>9E-043</v>
      </c>
      <c r="AO307" t="str">
        <f>HYPERLINK(".\links\SWISSP\TI_asb-497-SWISSP.txt"," 10")</f>
        <v xml:space="preserve"> 10</v>
      </c>
      <c r="AP307" t="s">
        <v>2961</v>
      </c>
      <c r="AQ307">
        <v>163</v>
      </c>
      <c r="AR307">
        <v>136</v>
      </c>
      <c r="AS307">
        <v>560</v>
      </c>
      <c r="AT307">
        <v>62</v>
      </c>
      <c r="AU307">
        <v>24</v>
      </c>
      <c r="AV307">
        <v>51</v>
      </c>
      <c r="AW307">
        <v>0</v>
      </c>
      <c r="AX307">
        <v>142</v>
      </c>
      <c r="AY307">
        <v>101</v>
      </c>
      <c r="AZ307">
        <v>2</v>
      </c>
      <c r="BA307">
        <v>1</v>
      </c>
      <c r="BB307" t="s">
        <v>65</v>
      </c>
      <c r="BC307" t="s">
        <v>54</v>
      </c>
      <c r="BD307" t="s">
        <v>1862</v>
      </c>
      <c r="BE307" t="s">
        <v>2962</v>
      </c>
      <c r="BF307" t="s">
        <v>2963</v>
      </c>
      <c r="BG307" t="str">
        <f>HYPERLINK(".\links\PREV-RHOD-PEP\TI_asb-497-PREV-RHOD-PEP.txt","Contig5571_22")</f>
        <v>Contig5571_22</v>
      </c>
      <c r="BH307" s="7">
        <v>9.9999999999999993E-89</v>
      </c>
      <c r="BI307" t="str">
        <f>HYPERLINK(".\links\PREV-RHOD-PEP\TI_asb-497-PREV-RHOD-PEP.txt"," 7")</f>
        <v xml:space="preserve"> 7</v>
      </c>
      <c r="BJ307" t="s">
        <v>2964</v>
      </c>
      <c r="BK307">
        <v>271</v>
      </c>
      <c r="BL307">
        <v>203</v>
      </c>
      <c r="BM307">
        <v>408</v>
      </c>
      <c r="BN307">
        <v>73</v>
      </c>
      <c r="BO307">
        <v>50</v>
      </c>
      <c r="BP307">
        <v>54</v>
      </c>
      <c r="BQ307">
        <v>2</v>
      </c>
      <c r="BR307">
        <v>70</v>
      </c>
      <c r="BS307">
        <v>14</v>
      </c>
      <c r="BT307">
        <v>2</v>
      </c>
      <c r="BU307" t="s">
        <v>54</v>
      </c>
      <c r="BV307" t="s">
        <v>2965</v>
      </c>
      <c r="BW307" t="s">
        <v>56</v>
      </c>
      <c r="BX307" t="str">
        <f>HYPERLINK(".\links\PREV-RHOD-CDS\TI_asb-497-PREV-RHOD-CDS.txt","Contig5571_22")</f>
        <v>Contig5571_22</v>
      </c>
      <c r="BY307" s="7">
        <v>1.0000000000000001E-158</v>
      </c>
      <c r="BZ307" t="s">
        <v>2964</v>
      </c>
      <c r="CA307">
        <v>559</v>
      </c>
      <c r="CB307">
        <v>698</v>
      </c>
      <c r="CC307">
        <v>1227</v>
      </c>
      <c r="CD307">
        <v>88</v>
      </c>
      <c r="CE307">
        <v>57</v>
      </c>
      <c r="CF307">
        <v>58</v>
      </c>
      <c r="CG307">
        <v>9</v>
      </c>
      <c r="CH307">
        <v>248</v>
      </c>
      <c r="CI307">
        <v>54</v>
      </c>
      <c r="CJ307">
        <v>2</v>
      </c>
      <c r="CK307" t="s">
        <v>54</v>
      </c>
      <c r="CL307" t="s">
        <v>2966</v>
      </c>
      <c r="CM307">
        <f>HYPERLINK(".\links\GO\TI_asb-497-GO.txt",4E-43)</f>
        <v>4.0000000000000003E-43</v>
      </c>
      <c r="CN307" t="s">
        <v>1392</v>
      </c>
      <c r="CO307" t="s">
        <v>129</v>
      </c>
      <c r="CP307" t="s">
        <v>1393</v>
      </c>
      <c r="CQ307" t="s">
        <v>1394</v>
      </c>
      <c r="CR307" s="7">
        <v>4.0000000000000003E-43</v>
      </c>
      <c r="CS307" t="s">
        <v>224</v>
      </c>
      <c r="CT307" t="s">
        <v>75</v>
      </c>
      <c r="CU307" t="s">
        <v>76</v>
      </c>
      <c r="CV307" t="s">
        <v>225</v>
      </c>
      <c r="CW307" s="7">
        <v>4.0000000000000003E-43</v>
      </c>
      <c r="CX307" t="s">
        <v>2967</v>
      </c>
      <c r="CY307" t="s">
        <v>129</v>
      </c>
      <c r="CZ307" t="s">
        <v>1393</v>
      </c>
      <c r="DA307" t="s">
        <v>2968</v>
      </c>
      <c r="DB307" s="7">
        <v>4.0000000000000003E-43</v>
      </c>
      <c r="DC307" t="str">
        <f>HYPERLINK(".\links\CDD\TI_asb-497-CDD.txt","Smc")</f>
        <v>Smc</v>
      </c>
      <c r="DD307" t="str">
        <f>HYPERLINK("http://www.ncbi.nlm.nih.gov/Structure/cdd/cddsrv.cgi?uid=COG1196&amp;version=v4.0","7E-006")</f>
        <v>7E-006</v>
      </c>
      <c r="DE307" t="s">
        <v>2969</v>
      </c>
      <c r="DF307" t="str">
        <f>HYPERLINK(".\links\PFAM\TI_asb-497-PFAM.txt","SMC_N")</f>
        <v>SMC_N</v>
      </c>
      <c r="DG307" t="str">
        <f>HYPERLINK("http://pfam.sanger.ac.uk/family?acc=PF02463","7E-007")</f>
        <v>7E-007</v>
      </c>
      <c r="DH307" t="str">
        <f>HYPERLINK(".\links\PRK\TI_asb-497-PRK.txt","chromosome segregation protein")</f>
        <v>chromosome segregation protein</v>
      </c>
      <c r="DI307" s="6">
        <v>2.3E-2</v>
      </c>
      <c r="DJ307" s="6" t="str">
        <f>HYPERLINK(".\links\KOG\TI_asb-497-KOG.txt","Splicing regulator")</f>
        <v>Splicing regulator</v>
      </c>
      <c r="DK307" s="6" t="str">
        <f>HYPERLINK("http://www.ncbi.nlm.nih.gov/COG/grace/shokog.cgi?KOG2991","8E-050")</f>
        <v>8E-050</v>
      </c>
      <c r="DL307" s="6" t="s">
        <v>4348</v>
      </c>
      <c r="DM307" s="6" t="str">
        <f>HYPERLINK(".\links\KOG\TI_asb-497-KOG.txt","KOG2991")</f>
        <v>KOG2991</v>
      </c>
      <c r="DN307" t="str">
        <f>HYPERLINK(".\links\SMART\TI_asb-497-SMART.txt","Spc7")</f>
        <v>Spc7</v>
      </c>
      <c r="DO307" t="str">
        <f>HYPERLINK("http://smart.embl-heidelberg.de/smart/do_annotation.pl?DOMAIN=Spc7&amp;BLAST=DUMMY","2E-004")</f>
        <v>2E-004</v>
      </c>
      <c r="DP307" s="3" t="s">
        <v>56</v>
      </c>
      <c r="ED307" s="3" t="s">
        <v>56</v>
      </c>
    </row>
    <row r="308" spans="1:134">
      <c r="A308" t="str">
        <f>HYPERLINK(".\links\seq\TI_asb-498-seq.txt","TI_asb-498")</f>
        <v>TI_asb-498</v>
      </c>
      <c r="B308">
        <v>498</v>
      </c>
      <c r="C308" t="str">
        <f>HYPERLINK(".\links\tsa\TI_asb-498-tsa.txt","1")</f>
        <v>1</v>
      </c>
      <c r="D308">
        <v>1</v>
      </c>
      <c r="E308">
        <v>164</v>
      </c>
      <c r="F308">
        <v>139</v>
      </c>
      <c r="G308" t="str">
        <f>HYPERLINK(".\links\qual\TI_asb-498-qual.txt","37")</f>
        <v>37</v>
      </c>
      <c r="H308">
        <v>1</v>
      </c>
      <c r="I308">
        <v>0</v>
      </c>
      <c r="J308">
        <f t="shared" si="14"/>
        <v>1</v>
      </c>
      <c r="K308" s="6">
        <f t="shared" si="15"/>
        <v>1</v>
      </c>
      <c r="L308" s="6" t="s">
        <v>3868</v>
      </c>
      <c r="M308" s="6" t="s">
        <v>3869</v>
      </c>
      <c r="N308" s="6"/>
      <c r="O308" s="6"/>
      <c r="P308" s="6"/>
      <c r="Q308" s="3">
        <v>164</v>
      </c>
      <c r="R308" s="3">
        <v>162</v>
      </c>
      <c r="S308" s="3" t="s">
        <v>3787</v>
      </c>
      <c r="T308" s="3">
        <v>4</v>
      </c>
      <c r="U308" t="s">
        <v>56</v>
      </c>
      <c r="V308" t="s">
        <v>56</v>
      </c>
      <c r="W308" t="s">
        <v>56</v>
      </c>
      <c r="X308" t="s">
        <v>56</v>
      </c>
      <c r="Y308" t="s">
        <v>56</v>
      </c>
      <c r="Z308" t="s">
        <v>56</v>
      </c>
      <c r="AA308" t="s">
        <v>56</v>
      </c>
      <c r="AB308" t="s">
        <v>56</v>
      </c>
      <c r="AC308" t="s">
        <v>56</v>
      </c>
      <c r="AD308" t="s">
        <v>56</v>
      </c>
      <c r="AE308" t="s">
        <v>56</v>
      </c>
      <c r="AF308" t="s">
        <v>56</v>
      </c>
      <c r="AG308" t="s">
        <v>56</v>
      </c>
      <c r="AH308" t="s">
        <v>56</v>
      </c>
      <c r="AI308" t="s">
        <v>56</v>
      </c>
      <c r="AJ308" t="s">
        <v>56</v>
      </c>
      <c r="AK308" t="s">
        <v>56</v>
      </c>
      <c r="AL308" t="s">
        <v>56</v>
      </c>
      <c r="AM308" t="s">
        <v>56</v>
      </c>
      <c r="AN308" s="19" t="s">
        <v>56</v>
      </c>
      <c r="AO308" t="s">
        <v>56</v>
      </c>
      <c r="AP308" t="s">
        <v>56</v>
      </c>
      <c r="AQ308" t="s">
        <v>56</v>
      </c>
      <c r="AR308" t="s">
        <v>56</v>
      </c>
      <c r="AS308" t="s">
        <v>56</v>
      </c>
      <c r="AT308" t="s">
        <v>56</v>
      </c>
      <c r="AU308" t="s">
        <v>56</v>
      </c>
      <c r="AV308" t="s">
        <v>56</v>
      </c>
      <c r="AW308" t="s">
        <v>56</v>
      </c>
      <c r="AX308" t="s">
        <v>56</v>
      </c>
      <c r="AY308" t="s">
        <v>56</v>
      </c>
      <c r="AZ308" t="s">
        <v>56</v>
      </c>
      <c r="BA308" t="s">
        <v>56</v>
      </c>
      <c r="BB308" t="s">
        <v>56</v>
      </c>
      <c r="BC308" t="s">
        <v>56</v>
      </c>
      <c r="BD308" t="s">
        <v>56</v>
      </c>
      <c r="BE308" t="s">
        <v>56</v>
      </c>
      <c r="BF308" t="s">
        <v>56</v>
      </c>
      <c r="BG308" t="str">
        <f>HYPERLINK(".\links\PREV-RHOD-PEP\TI_asb-498-PREV-RHOD-PEP.txt","Contig2077_3")</f>
        <v>Contig2077_3</v>
      </c>
      <c r="BH308" s="6">
        <v>1.3</v>
      </c>
      <c r="BI308" t="str">
        <f>HYPERLINK(".\links\PREV-RHOD-PEP\TI_asb-498-PREV-RHOD-PEP.txt"," 1")</f>
        <v xml:space="preserve"> 1</v>
      </c>
      <c r="BJ308" t="s">
        <v>2970</v>
      </c>
      <c r="BK308">
        <v>28.1</v>
      </c>
      <c r="BL308">
        <v>29</v>
      </c>
      <c r="BM308">
        <v>513</v>
      </c>
      <c r="BN308">
        <v>41</v>
      </c>
      <c r="BO308">
        <v>6</v>
      </c>
      <c r="BP308">
        <v>17</v>
      </c>
      <c r="BQ308">
        <v>0</v>
      </c>
      <c r="BR308">
        <v>301</v>
      </c>
      <c r="BS308">
        <v>45</v>
      </c>
      <c r="BT308">
        <v>1</v>
      </c>
      <c r="BU308" t="s">
        <v>64</v>
      </c>
      <c r="BV308" t="s">
        <v>2971</v>
      </c>
      <c r="BW308" t="s">
        <v>56</v>
      </c>
      <c r="BX308" t="str">
        <f>HYPERLINK(".\links\PREV-RHOD-CDS\TI_asb-498-PREV-RHOD-CDS.txt","Contig17624_3")</f>
        <v>Contig17624_3</v>
      </c>
      <c r="BY308" s="6">
        <v>1.9E-2</v>
      </c>
      <c r="BZ308" t="s">
        <v>2972</v>
      </c>
      <c r="CA308">
        <v>38.200000000000003</v>
      </c>
      <c r="CB308">
        <v>22</v>
      </c>
      <c r="CC308">
        <v>2712</v>
      </c>
      <c r="CD308">
        <v>95</v>
      </c>
      <c r="CE308">
        <v>1</v>
      </c>
      <c r="CF308">
        <v>1</v>
      </c>
      <c r="CG308">
        <v>0</v>
      </c>
      <c r="CH308">
        <v>1581</v>
      </c>
      <c r="CI308">
        <v>112</v>
      </c>
      <c r="CJ308">
        <v>1</v>
      </c>
      <c r="CK308" t="s">
        <v>54</v>
      </c>
      <c r="CL308" t="s">
        <v>2973</v>
      </c>
      <c r="CM308">
        <f>HYPERLINK(".\links\GO\TI_asb-498-GO.txt",3.3)</f>
        <v>3.3</v>
      </c>
      <c r="CN308" t="s">
        <v>2974</v>
      </c>
      <c r="CO308" t="s">
        <v>129</v>
      </c>
      <c r="CP308" t="s">
        <v>130</v>
      </c>
      <c r="CQ308" t="s">
        <v>2975</v>
      </c>
      <c r="CR308" s="6">
        <v>3.3</v>
      </c>
      <c r="CS308" t="s">
        <v>91</v>
      </c>
      <c r="CT308" t="s">
        <v>75</v>
      </c>
      <c r="CU308" t="s">
        <v>92</v>
      </c>
      <c r="CV308" t="s">
        <v>93</v>
      </c>
      <c r="CW308" s="6">
        <v>3.3</v>
      </c>
      <c r="CX308" t="s">
        <v>628</v>
      </c>
      <c r="CY308" t="s">
        <v>129</v>
      </c>
      <c r="CZ308" t="s">
        <v>130</v>
      </c>
      <c r="DA308" t="s">
        <v>629</v>
      </c>
      <c r="DB308" s="6">
        <v>3.3</v>
      </c>
      <c r="DC308" t="str">
        <f>HYPERLINK(".\links\CDD\TI_asb-498-CDD.txt","PRK11021")</f>
        <v>PRK11021</v>
      </c>
      <c r="DD308" t="str">
        <f>HYPERLINK("http://www.ncbi.nlm.nih.gov/Structure/cdd/cddsrv.cgi?uid=PRK11021&amp;version=v4.0","0.054")</f>
        <v>0.054</v>
      </c>
      <c r="DE308" t="s">
        <v>2976</v>
      </c>
      <c r="DF308" t="str">
        <f>HYPERLINK(".\links\PFAM\TI_asb-498-PFAM.txt","7TM_GPCR_Srz")</f>
        <v>7TM_GPCR_Srz</v>
      </c>
      <c r="DG308" t="str">
        <f>HYPERLINK("http://pfam.sanger.ac.uk/family?acc=PF10325","0.002")</f>
        <v>0.002</v>
      </c>
      <c r="DH308" t="str">
        <f>HYPERLINK(".\links\PRK\TI_asb-498-PRK.txt","NADH dehydrogenase subunit 4")</f>
        <v>NADH dehydrogenase subunit 4</v>
      </c>
      <c r="DI308" s="6">
        <v>1.2E-2</v>
      </c>
      <c r="DJ308" s="6" t="str">
        <f>HYPERLINK(".\links\KOG\TI_asb-498-KOG.txt","Choline transporter-like protein")</f>
        <v>Choline transporter-like protein</v>
      </c>
      <c r="DK308" s="6" t="str">
        <f>HYPERLINK("http://www.ncbi.nlm.nih.gov/COG/grace/shokog.cgi?KOG1362","0.050")</f>
        <v>0.050</v>
      </c>
      <c r="DL308" s="6" t="s">
        <v>4334</v>
      </c>
      <c r="DM308" s="6" t="str">
        <f>HYPERLINK(".\links\KOG\TI_asb-498-KOG.txt","KOG1362")</f>
        <v>KOG1362</v>
      </c>
      <c r="DN308" t="str">
        <f>HYPERLINK(".\links\SMART\TI_asb-498-SMART.txt","VKc")</f>
        <v>VKc</v>
      </c>
      <c r="DO308" t="str">
        <f>HYPERLINK("http://smart.embl-heidelberg.de/smart/do_annotation.pl?DOMAIN=VKc&amp;BLAST=DUMMY","7E-004")</f>
        <v>7E-004</v>
      </c>
      <c r="DP308" s="3" t="s">
        <v>56</v>
      </c>
      <c r="ED308" s="3" t="s">
        <v>56</v>
      </c>
    </row>
    <row r="309" spans="1:134">
      <c r="A309" t="str">
        <f>HYPERLINK(".\links\seq\TI_asb-501-seq.txt","TI_asb-501")</f>
        <v>TI_asb-501</v>
      </c>
      <c r="B309">
        <v>501</v>
      </c>
      <c r="C309" t="str">
        <f>HYPERLINK(".\links\tsa\TI_asb-501-tsa.txt","1")</f>
        <v>1</v>
      </c>
      <c r="D309">
        <v>1</v>
      </c>
      <c r="E309">
        <v>740</v>
      </c>
      <c r="G309" t="str">
        <f>HYPERLINK(".\links\qual\TI_asb-501-qual.txt","55")</f>
        <v>55</v>
      </c>
      <c r="H309">
        <v>0</v>
      </c>
      <c r="I309">
        <v>1</v>
      </c>
      <c r="J309">
        <f t="shared" si="14"/>
        <v>1</v>
      </c>
      <c r="K309" s="6">
        <f t="shared" si="15"/>
        <v>-1</v>
      </c>
      <c r="L309" s="6" t="s">
        <v>4059</v>
      </c>
      <c r="M309" s="6" t="s">
        <v>3984</v>
      </c>
      <c r="N309" s="6" t="s">
        <v>3864</v>
      </c>
      <c r="O309" s="7">
        <v>4E-78</v>
      </c>
      <c r="P309" s="6">
        <v>91.1</v>
      </c>
      <c r="Q309" s="3">
        <v>740</v>
      </c>
      <c r="R309" s="3">
        <v>528</v>
      </c>
      <c r="S309" s="3" t="s">
        <v>3788</v>
      </c>
      <c r="T309" s="3">
        <v>3</v>
      </c>
      <c r="U309" t="str">
        <f>HYPERLINK(".\links\NR-LIGHT\TI_asb-501-NR-LIGHT.txt","putative microsomal signal peptidase 25 kD subunit")</f>
        <v>putative microsomal signal peptidase 25 kD subunit</v>
      </c>
      <c r="V309" t="str">
        <f>HYPERLINK("http://www.ncbi.nlm.nih.gov/sutils/blink.cgi?pid=263173484","4E-078")</f>
        <v>4E-078</v>
      </c>
      <c r="W309" t="str">
        <f>HYPERLINK(".\links\NR-LIGHT\TI_asb-501-NR-LIGHT.txt"," 10")</f>
        <v xml:space="preserve"> 10</v>
      </c>
      <c r="X309" t="str">
        <f>HYPERLINK("http://www.ncbi.nlm.nih.gov/protein/263173484","gi|263173484")</f>
        <v>gi|263173484</v>
      </c>
      <c r="Y309">
        <v>293</v>
      </c>
      <c r="Z309">
        <v>176</v>
      </c>
      <c r="AA309">
        <v>193</v>
      </c>
      <c r="AB309">
        <v>78</v>
      </c>
      <c r="AC309">
        <v>91</v>
      </c>
      <c r="AD309">
        <v>38</v>
      </c>
      <c r="AE309">
        <v>0</v>
      </c>
      <c r="AF309">
        <v>18</v>
      </c>
      <c r="AG309">
        <v>90</v>
      </c>
      <c r="AH309">
        <v>1</v>
      </c>
      <c r="AI309">
        <v>3</v>
      </c>
      <c r="AJ309" t="s">
        <v>53</v>
      </c>
      <c r="AK309" t="s">
        <v>54</v>
      </c>
      <c r="AL309" t="s">
        <v>2494</v>
      </c>
      <c r="AM309" t="str">
        <f>HYPERLINK(".\links\SWISSP\TI_asb-501-SWISSP.txt","Probable signal peptidase complex subunit 2 OS=Xenopus tropicalis GN=spcs2 PE=2")</f>
        <v>Probable signal peptidase complex subunit 2 OS=Xenopus tropicalis GN=spcs2 PE=2</v>
      </c>
      <c r="AN309" s="19" t="str">
        <f>HYPERLINK("http://www.uniprot.org/uniprot/Q5M8Y1","2E-056")</f>
        <v>2E-056</v>
      </c>
      <c r="AO309" t="str">
        <f>HYPERLINK(".\links\SWISSP\TI_asb-501-SWISSP.txt"," 10")</f>
        <v xml:space="preserve"> 10</v>
      </c>
      <c r="AP309" t="s">
        <v>2977</v>
      </c>
      <c r="AQ309">
        <v>219</v>
      </c>
      <c r="AR309">
        <v>176</v>
      </c>
      <c r="AS309">
        <v>201</v>
      </c>
      <c r="AT309">
        <v>57</v>
      </c>
      <c r="AU309">
        <v>88</v>
      </c>
      <c r="AV309">
        <v>74</v>
      </c>
      <c r="AW309">
        <v>0</v>
      </c>
      <c r="AX309">
        <v>26</v>
      </c>
      <c r="AY309">
        <v>90</v>
      </c>
      <c r="AZ309">
        <v>1</v>
      </c>
      <c r="BA309">
        <v>3</v>
      </c>
      <c r="BB309" t="s">
        <v>53</v>
      </c>
      <c r="BC309" t="s">
        <v>54</v>
      </c>
      <c r="BD309" t="s">
        <v>1302</v>
      </c>
      <c r="BE309" t="s">
        <v>2978</v>
      </c>
      <c r="BF309" t="s">
        <v>2979</v>
      </c>
      <c r="BG309" t="str">
        <f>HYPERLINK(".\links\PREV-RHOD-PEP\TI_asb-501-PREV-RHOD-PEP.txt","Contig17852_10")</f>
        <v>Contig17852_10</v>
      </c>
      <c r="BH309" s="7">
        <v>3.9999999999999996E-96</v>
      </c>
      <c r="BI309" t="str">
        <f>HYPERLINK(".\links\PREV-RHOD-PEP\TI_asb-501-PREV-RHOD-PEP.txt"," 6")</f>
        <v xml:space="preserve"> 6</v>
      </c>
      <c r="BJ309" t="s">
        <v>2980</v>
      </c>
      <c r="BK309">
        <v>344</v>
      </c>
      <c r="BL309">
        <v>176</v>
      </c>
      <c r="BM309">
        <v>193</v>
      </c>
      <c r="BN309">
        <v>96</v>
      </c>
      <c r="BO309">
        <v>91</v>
      </c>
      <c r="BP309">
        <v>6</v>
      </c>
      <c r="BQ309">
        <v>0</v>
      </c>
      <c r="BR309">
        <v>3</v>
      </c>
      <c r="BS309">
        <v>46</v>
      </c>
      <c r="BT309">
        <v>2</v>
      </c>
      <c r="BU309" t="s">
        <v>54</v>
      </c>
      <c r="BV309" t="s">
        <v>2981</v>
      </c>
      <c r="BW309" t="s">
        <v>56</v>
      </c>
      <c r="BX309" t="str">
        <f>HYPERLINK(".\links\PREV-RHOD-CDS\TI_asb-501-PREV-RHOD-CDS.txt","Contig17852_10")</f>
        <v>Contig17852_10</v>
      </c>
      <c r="BY309" s="7">
        <v>9.9999999999999993E-125</v>
      </c>
      <c r="BZ309" t="s">
        <v>2980</v>
      </c>
      <c r="CA309">
        <v>446</v>
      </c>
      <c r="CB309">
        <v>540</v>
      </c>
      <c r="CC309">
        <v>582</v>
      </c>
      <c r="CD309">
        <v>85</v>
      </c>
      <c r="CE309">
        <v>93</v>
      </c>
      <c r="CF309">
        <v>78</v>
      </c>
      <c r="CG309">
        <v>1</v>
      </c>
      <c r="CH309">
        <v>16</v>
      </c>
      <c r="CI309">
        <v>55</v>
      </c>
      <c r="CJ309">
        <v>1</v>
      </c>
      <c r="CK309" t="s">
        <v>54</v>
      </c>
      <c r="CL309" t="s">
        <v>2982</v>
      </c>
      <c r="CM309">
        <f>HYPERLINK(".\links\GO\TI_asb-501-GO.txt",8E-40)</f>
        <v>7.9999999999999994E-40</v>
      </c>
      <c r="CN309" t="s">
        <v>165</v>
      </c>
      <c r="CO309" t="s">
        <v>129</v>
      </c>
      <c r="CP309" t="s">
        <v>166</v>
      </c>
      <c r="CQ309" t="s">
        <v>167</v>
      </c>
      <c r="CR309" s="7">
        <v>7.9999999999999994E-40</v>
      </c>
      <c r="CS309" t="s">
        <v>2983</v>
      </c>
      <c r="CT309" t="s">
        <v>247</v>
      </c>
      <c r="CU309" t="s">
        <v>247</v>
      </c>
      <c r="CV309" t="s">
        <v>2984</v>
      </c>
      <c r="CW309" s="7">
        <v>7.9999999999999994E-40</v>
      </c>
      <c r="CX309" t="s">
        <v>2985</v>
      </c>
      <c r="CY309" t="s">
        <v>129</v>
      </c>
      <c r="CZ309" t="s">
        <v>166</v>
      </c>
      <c r="DA309" t="s">
        <v>2986</v>
      </c>
      <c r="DB309" s="7">
        <v>7.9999999999999994E-40</v>
      </c>
      <c r="DC309" t="str">
        <f>HYPERLINK(".\links\CDD\TI_asb-501-CDD.txt","SPC25")</f>
        <v>SPC25</v>
      </c>
      <c r="DD309" t="str">
        <f>HYPERLINK("http://www.ncbi.nlm.nih.gov/Structure/cdd/cddsrv.cgi?uid=pfam06703&amp;version=v4.0","1E-052")</f>
        <v>1E-052</v>
      </c>
      <c r="DE309" t="s">
        <v>2987</v>
      </c>
      <c r="DF309" t="str">
        <f>HYPERLINK(".\links\PFAM\TI_asb-501-PFAM.txt","SPC25")</f>
        <v>SPC25</v>
      </c>
      <c r="DG309" t="str">
        <f>HYPERLINK("http://pfam.sanger.ac.uk/family?acc=PF06703","2E-055")</f>
        <v>2E-055</v>
      </c>
      <c r="DH309" t="str">
        <f>HYPERLINK(".\links\PRK\TI_asb-501-PRK.txt","NADH dehydrogenase subunit 4L")</f>
        <v>NADH dehydrogenase subunit 4L</v>
      </c>
      <c r="DI309" s="6">
        <v>1.0999999999999999E-2</v>
      </c>
      <c r="DJ309" s="6" t="str">
        <f>HYPERLINK(".\links\KOG\TI_asb-501-KOG.txt","Signal peptidase complex, subunit SPC25")</f>
        <v>Signal peptidase complex, subunit SPC25</v>
      </c>
      <c r="DK309" s="6" t="str">
        <f>HYPERLINK("http://www.ncbi.nlm.nih.gov/COG/grace/shokog.cgi?KOG4072","4E-035")</f>
        <v>4E-035</v>
      </c>
      <c r="DL309" s="6" t="s">
        <v>4352</v>
      </c>
      <c r="DM309" s="6" t="str">
        <f>HYPERLINK(".\links\KOG\TI_asb-501-KOG.txt","KOG4072")</f>
        <v>KOG4072</v>
      </c>
      <c r="DN309" t="str">
        <f>HYPERLINK(".\links\SMART\TI_asb-501-SMART.txt","OLF")</f>
        <v>OLF</v>
      </c>
      <c r="DO309" t="str">
        <f>HYPERLINK("http://smart.embl-heidelberg.de/smart/do_annotation.pl?DOMAIN=OLF&amp;BLAST=DUMMY","0.007")</f>
        <v>0.007</v>
      </c>
      <c r="DP309" s="3" t="s">
        <v>56</v>
      </c>
      <c r="ED309" s="3" t="s">
        <v>56</v>
      </c>
    </row>
    <row r="310" spans="1:134">
      <c r="A310" t="str">
        <f>HYPERLINK(".\links\seq\TI_asb-502-seq.txt","TI_asb-502")</f>
        <v>TI_asb-502</v>
      </c>
      <c r="B310">
        <v>502</v>
      </c>
      <c r="C310" t="str">
        <f>HYPERLINK(".\links\tsa\TI_asb-502-tsa.txt","1")</f>
        <v>1</v>
      </c>
      <c r="D310">
        <v>1</v>
      </c>
      <c r="E310">
        <v>905</v>
      </c>
      <c r="F310">
        <v>310</v>
      </c>
      <c r="G310" t="str">
        <f>HYPERLINK(".\links\qual\TI_asb-502-qual.txt","25")</f>
        <v>25</v>
      </c>
      <c r="H310">
        <v>0</v>
      </c>
      <c r="I310">
        <v>1</v>
      </c>
      <c r="J310">
        <f t="shared" si="14"/>
        <v>1</v>
      </c>
      <c r="K310" s="6">
        <f t="shared" si="15"/>
        <v>-1</v>
      </c>
      <c r="L310" s="6" t="s">
        <v>4060</v>
      </c>
      <c r="M310" s="6" t="s">
        <v>3866</v>
      </c>
      <c r="N310" s="6" t="s">
        <v>3867</v>
      </c>
      <c r="O310" s="7">
        <v>7.9999999999999995E-36</v>
      </c>
      <c r="P310" s="6">
        <v>46.5</v>
      </c>
      <c r="Q310" s="3">
        <v>905</v>
      </c>
      <c r="R310" s="3">
        <v>402</v>
      </c>
      <c r="S310" s="3" t="s">
        <v>3789</v>
      </c>
      <c r="T310" s="3">
        <v>6</v>
      </c>
      <c r="U310" t="str">
        <f>HYPERLINK(".\links\NR-LIGHT\TI_asb-502-NR-LIGHT.txt","hypothetical protein LOC100169556")</f>
        <v>hypothetical protein LOC100169556</v>
      </c>
      <c r="V310" t="str">
        <f>HYPERLINK("http://www.ncbi.nlm.nih.gov/sutils/blink.cgi?pid=285002187","2E-031")</f>
        <v>2E-031</v>
      </c>
      <c r="W310" t="str">
        <f>HYPERLINK(".\links\NR-LIGHT\TI_asb-502-NR-LIGHT.txt"," 10")</f>
        <v xml:space="preserve"> 10</v>
      </c>
      <c r="X310" t="str">
        <f>HYPERLINK("http://www.ncbi.nlm.nih.gov/protein/285002187","gi|285002187")</f>
        <v>gi|285002187</v>
      </c>
      <c r="Y310">
        <v>139</v>
      </c>
      <c r="Z310">
        <v>88</v>
      </c>
      <c r="AA310">
        <v>194</v>
      </c>
      <c r="AB310">
        <v>76</v>
      </c>
      <c r="AC310">
        <v>45</v>
      </c>
      <c r="AD310">
        <v>21</v>
      </c>
      <c r="AE310">
        <v>0</v>
      </c>
      <c r="AF310">
        <v>107</v>
      </c>
      <c r="AG310">
        <v>6</v>
      </c>
      <c r="AH310">
        <v>1</v>
      </c>
      <c r="AI310">
        <v>3</v>
      </c>
      <c r="AJ310" t="s">
        <v>53</v>
      </c>
      <c r="AK310" t="s">
        <v>54</v>
      </c>
      <c r="AL310" t="s">
        <v>177</v>
      </c>
      <c r="AM310" t="str">
        <f>HYPERLINK(".\links\SWISSP\TI_asb-502-SWISSP.txt","40S ribosomal protein S7 OS=Spodoptera frugiperda GN=RpS7 PE=2 SV=1")</f>
        <v>40S ribosomal protein S7 OS=Spodoptera frugiperda GN=RpS7 PE=2 SV=1</v>
      </c>
      <c r="AN310" s="19" t="str">
        <f>HYPERLINK("http://www.uniprot.org/uniprot/Q962S0","5E-031")</f>
        <v>5E-031</v>
      </c>
      <c r="AO310" t="str">
        <f>HYPERLINK(".\links\SWISSP\TI_asb-502-SWISSP.txt"," 10")</f>
        <v xml:space="preserve"> 10</v>
      </c>
      <c r="AP310" t="s">
        <v>2988</v>
      </c>
      <c r="AQ310">
        <v>135</v>
      </c>
      <c r="AR310">
        <v>88</v>
      </c>
      <c r="AS310">
        <v>190</v>
      </c>
      <c r="AT310">
        <v>76</v>
      </c>
      <c r="AU310">
        <v>46</v>
      </c>
      <c r="AV310">
        <v>21</v>
      </c>
      <c r="AW310">
        <v>0</v>
      </c>
      <c r="AX310">
        <v>103</v>
      </c>
      <c r="AY310">
        <v>6</v>
      </c>
      <c r="AZ310">
        <v>1</v>
      </c>
      <c r="BA310">
        <v>3</v>
      </c>
      <c r="BB310" t="s">
        <v>53</v>
      </c>
      <c r="BC310" t="s">
        <v>54</v>
      </c>
      <c r="BD310" t="s">
        <v>1367</v>
      </c>
      <c r="BE310" t="s">
        <v>2989</v>
      </c>
      <c r="BF310" t="s">
        <v>2990</v>
      </c>
      <c r="BG310" t="str">
        <f>HYPERLINK(".\links\PREV-RHOD-PEP\TI_asb-502-PREV-RHOD-PEP.txt","Contig17830_55")</f>
        <v>Contig17830_55</v>
      </c>
      <c r="BH310" s="7">
        <v>5.0000000000000003E-38</v>
      </c>
      <c r="BI310" t="str">
        <f>HYPERLINK(".\links\PREV-RHOD-PEP\TI_asb-502-PREV-RHOD-PEP.txt"," 9")</f>
        <v xml:space="preserve"> 9</v>
      </c>
      <c r="BJ310" t="s">
        <v>2991</v>
      </c>
      <c r="BK310">
        <v>154</v>
      </c>
      <c r="BL310">
        <v>88</v>
      </c>
      <c r="BM310">
        <v>193</v>
      </c>
      <c r="BN310">
        <v>88</v>
      </c>
      <c r="BO310">
        <v>46</v>
      </c>
      <c r="BP310">
        <v>10</v>
      </c>
      <c r="BQ310">
        <v>0</v>
      </c>
      <c r="BR310">
        <v>106</v>
      </c>
      <c r="BS310">
        <v>6</v>
      </c>
      <c r="BT310">
        <v>1</v>
      </c>
      <c r="BU310" t="s">
        <v>54</v>
      </c>
      <c r="BV310" t="s">
        <v>2992</v>
      </c>
      <c r="BW310" t="s">
        <v>56</v>
      </c>
      <c r="BX310" t="str">
        <f>HYPERLINK(".\links\PREV-RHOD-CDS\TI_asb-502-PREV-RHOD-CDS.txt","Contig17830_55")</f>
        <v>Contig17830_55</v>
      </c>
      <c r="BY310" s="7">
        <v>1E-78</v>
      </c>
      <c r="BZ310" t="s">
        <v>2991</v>
      </c>
      <c r="CA310">
        <v>293</v>
      </c>
      <c r="CB310">
        <v>211</v>
      </c>
      <c r="CC310">
        <v>582</v>
      </c>
      <c r="CD310">
        <v>92</v>
      </c>
      <c r="CE310">
        <v>36</v>
      </c>
      <c r="CF310">
        <v>16</v>
      </c>
      <c r="CG310">
        <v>0</v>
      </c>
      <c r="CH310">
        <v>371</v>
      </c>
      <c r="CI310">
        <v>61</v>
      </c>
      <c r="CJ310">
        <v>1</v>
      </c>
      <c r="CK310" t="s">
        <v>54</v>
      </c>
      <c r="CL310" t="s">
        <v>2993</v>
      </c>
      <c r="CM310">
        <f>HYPERLINK(".\links\GO\TI_asb-502-GO.txt",1E-27)</f>
        <v>1E-27</v>
      </c>
      <c r="CN310" t="s">
        <v>58</v>
      </c>
      <c r="CO310" t="s">
        <v>58</v>
      </c>
      <c r="CQ310" t="s">
        <v>59</v>
      </c>
      <c r="CR310" s="7">
        <v>1E-27</v>
      </c>
      <c r="CS310" t="s">
        <v>246</v>
      </c>
      <c r="CT310" t="s">
        <v>247</v>
      </c>
      <c r="CU310" t="s">
        <v>247</v>
      </c>
      <c r="CV310" t="s">
        <v>248</v>
      </c>
      <c r="CW310" s="7">
        <v>1E-27</v>
      </c>
      <c r="CX310" t="s">
        <v>249</v>
      </c>
      <c r="CY310" t="s">
        <v>58</v>
      </c>
      <c r="DA310" t="s">
        <v>250</v>
      </c>
      <c r="DB310" s="7">
        <v>1E-27</v>
      </c>
      <c r="DC310" t="str">
        <f>HYPERLINK(".\links\CDD\TI_asb-502-CDD.txt","Ribosomal_S7e")</f>
        <v>Ribosomal_S7e</v>
      </c>
      <c r="DD310" t="str">
        <f>HYPERLINK("http://www.ncbi.nlm.nih.gov/Structure/cdd/cddsrv.cgi?uid=pfam01251&amp;version=v4.0","6E-033")</f>
        <v>6E-033</v>
      </c>
      <c r="DE310" t="s">
        <v>2994</v>
      </c>
      <c r="DF310" t="str">
        <f>HYPERLINK(".\links\PFAM\TI_asb-502-PFAM.txt","Ribosomal_S7e")</f>
        <v>Ribosomal_S7e</v>
      </c>
      <c r="DG310" t="str">
        <f>HYPERLINK("http://pfam.sanger.ac.uk/family?acc=PF01251","8E-036")</f>
        <v>8E-036</v>
      </c>
      <c r="DH310" t="str">
        <f>HYPERLINK(".\links\PRK\TI_asb-502-PRK.txt","40S ribosomal protein S7")</f>
        <v>40S ribosomal protein S7</v>
      </c>
      <c r="DI310" s="7">
        <v>1.9999999999999999E-28</v>
      </c>
      <c r="DJ310" s="6" t="str">
        <f>HYPERLINK(".\links\KOG\TI_asb-502-KOG.txt","40S ribosomal protein S7")</f>
        <v>40S ribosomal protein S7</v>
      </c>
      <c r="DK310" s="6" t="str">
        <f>HYPERLINK("http://www.ncbi.nlm.nih.gov/COG/grace/shokog.cgi?KOG3320","6E-029")</f>
        <v>6E-029</v>
      </c>
      <c r="DL310" s="6" t="s">
        <v>4333</v>
      </c>
      <c r="DM310" s="6" t="str">
        <f>HYPERLINK(".\links\KOG\TI_asb-502-KOG.txt","KOG3320")</f>
        <v>KOG3320</v>
      </c>
      <c r="DN310" t="str">
        <f>HYPERLINK(".\links\SMART\TI_asb-502-SMART.txt","PSN")</f>
        <v>PSN</v>
      </c>
      <c r="DO310" t="str">
        <f>HYPERLINK("http://smart.embl-heidelberg.de/smart/do_annotation.pl?DOMAIN=PSN&amp;BLAST=DUMMY","8E-004")</f>
        <v>8E-004</v>
      </c>
      <c r="DP310" s="3" t="s">
        <v>56</v>
      </c>
      <c r="ED310" s="3" t="s">
        <v>56</v>
      </c>
    </row>
    <row r="311" spans="1:134">
      <c r="A311" t="str">
        <f>HYPERLINK(".\links\seq\TI_asb-505-seq.txt","TI_asb-505")</f>
        <v>TI_asb-505</v>
      </c>
      <c r="B311">
        <v>505</v>
      </c>
      <c r="C311" t="str">
        <f>HYPERLINK(".\links\tsa\TI_asb-505-tsa.txt","1")</f>
        <v>1</v>
      </c>
      <c r="D311">
        <v>1</v>
      </c>
      <c r="E311">
        <v>923</v>
      </c>
      <c r="G311" t="str">
        <f>HYPERLINK(".\links\qual\TI_asb-505-qual.txt","33")</f>
        <v>33</v>
      </c>
      <c r="H311">
        <v>0</v>
      </c>
      <c r="I311">
        <v>1</v>
      </c>
      <c r="J311">
        <f t="shared" si="14"/>
        <v>1</v>
      </c>
      <c r="K311" s="6">
        <f t="shared" si="15"/>
        <v>-1</v>
      </c>
      <c r="L311" s="6" t="s">
        <v>3868</v>
      </c>
      <c r="M311" s="6" t="s">
        <v>3869</v>
      </c>
      <c r="N311" s="6"/>
      <c r="O311" s="6"/>
      <c r="P311" s="6"/>
      <c r="Q311" s="3">
        <v>923</v>
      </c>
      <c r="R311" s="3">
        <v>300</v>
      </c>
      <c r="S311" s="3" t="s">
        <v>3790</v>
      </c>
      <c r="T311" s="3">
        <v>3</v>
      </c>
      <c r="U311" t="str">
        <f>HYPERLINK(".\links\NR-LIGHT\TI_asb-505-NR-LIGHT.txt","NADH dehydrogenase subunit 2")</f>
        <v>NADH dehydrogenase subunit 2</v>
      </c>
      <c r="V311" t="str">
        <f>HYPERLINK("http://www.ncbi.nlm.nih.gov/sutils/blink.cgi?pid=298289309","0.009")</f>
        <v>0.009</v>
      </c>
      <c r="W311" t="str">
        <f>HYPERLINK(".\links\NR-LIGHT\TI_asb-505-NR-LIGHT.txt"," 10")</f>
        <v xml:space="preserve"> 10</v>
      </c>
      <c r="X311" t="str">
        <f>HYPERLINK("http://www.ncbi.nlm.nih.gov/protein/298289309","gi|298289309")</f>
        <v>gi|298289309</v>
      </c>
      <c r="Y311">
        <v>43.5</v>
      </c>
      <c r="Z311">
        <v>112</v>
      </c>
      <c r="AA311">
        <v>449</v>
      </c>
      <c r="AB311">
        <v>29</v>
      </c>
      <c r="AC311">
        <v>25</v>
      </c>
      <c r="AD311">
        <v>79</v>
      </c>
      <c r="AE311">
        <v>5</v>
      </c>
      <c r="AF311">
        <v>148</v>
      </c>
      <c r="AG311">
        <v>232</v>
      </c>
      <c r="AH311">
        <v>1</v>
      </c>
      <c r="AI311">
        <v>1</v>
      </c>
      <c r="AJ311" t="s">
        <v>53</v>
      </c>
      <c r="AK311" t="s">
        <v>54</v>
      </c>
      <c r="AL311" t="s">
        <v>2995</v>
      </c>
      <c r="AM311" t="str">
        <f>HYPERLINK(".\links\SWISSP\TI_asb-505-SWISSP.txt","NADH-ubiquinone oxidoreductase chain 5 OS=Trypanosoma brucei brucei GN=ND5 PE=3")</f>
        <v>NADH-ubiquinone oxidoreductase chain 5 OS=Trypanosoma brucei brucei GN=ND5 PE=3</v>
      </c>
      <c r="AN311" s="19" t="str">
        <f>HYPERLINK("http://www.uniprot.org/uniprot/P04540","0.43")</f>
        <v>0.43</v>
      </c>
      <c r="AO311" t="str">
        <f>HYPERLINK(".\links\SWISSP\TI_asb-505-SWISSP.txt"," 5")</f>
        <v xml:space="preserve"> 5</v>
      </c>
      <c r="AP311" t="s">
        <v>447</v>
      </c>
      <c r="AQ311">
        <v>35.799999999999997</v>
      </c>
      <c r="AR311">
        <v>69</v>
      </c>
      <c r="AS311">
        <v>590</v>
      </c>
      <c r="AT311">
        <v>30</v>
      </c>
      <c r="AU311">
        <v>12</v>
      </c>
      <c r="AV311">
        <v>48</v>
      </c>
      <c r="AW311">
        <v>1</v>
      </c>
      <c r="AX311">
        <v>383</v>
      </c>
      <c r="AY311">
        <v>124</v>
      </c>
      <c r="AZ311">
        <v>2</v>
      </c>
      <c r="BA311">
        <v>3</v>
      </c>
      <c r="BB311" t="s">
        <v>65</v>
      </c>
      <c r="BC311" t="s">
        <v>54</v>
      </c>
      <c r="BD311" t="s">
        <v>448</v>
      </c>
      <c r="BE311" t="s">
        <v>2996</v>
      </c>
      <c r="BF311" t="s">
        <v>2997</v>
      </c>
      <c r="BG311" t="str">
        <f>HYPERLINK(".\links\PREV-RHOD-PEP\TI_asb-505-PREV-RHOD-PEP.txt","Contig17537_11")</f>
        <v>Contig17537_11</v>
      </c>
      <c r="BH311" s="6">
        <v>0.47</v>
      </c>
      <c r="BI311" t="str">
        <f>HYPERLINK(".\links\PREV-RHOD-PEP\TI_asb-505-PREV-RHOD-PEP.txt"," 10")</f>
        <v xml:space="preserve"> 10</v>
      </c>
      <c r="BJ311" t="s">
        <v>2998</v>
      </c>
      <c r="BK311">
        <v>31.6</v>
      </c>
      <c r="BL311">
        <v>76</v>
      </c>
      <c r="BM311">
        <v>646</v>
      </c>
      <c r="BN311">
        <v>26</v>
      </c>
      <c r="BO311">
        <v>12</v>
      </c>
      <c r="BP311">
        <v>56</v>
      </c>
      <c r="BQ311">
        <v>0</v>
      </c>
      <c r="BR311">
        <v>361</v>
      </c>
      <c r="BS311">
        <v>229</v>
      </c>
      <c r="BT311">
        <v>1</v>
      </c>
      <c r="BU311" t="s">
        <v>54</v>
      </c>
      <c r="BV311" t="s">
        <v>2999</v>
      </c>
      <c r="BW311" t="s">
        <v>56</v>
      </c>
      <c r="BX311" t="str">
        <f>HYPERLINK(".\links\PREV-RHOD-CDS\TI_asb-505-PREV-RHOD-CDS.txt","Contig17848_113")</f>
        <v>Contig17848_113</v>
      </c>
      <c r="BY311" s="6">
        <v>0.12</v>
      </c>
      <c r="BZ311" t="s">
        <v>3000</v>
      </c>
      <c r="CA311">
        <v>38.200000000000003</v>
      </c>
      <c r="CB311">
        <v>18</v>
      </c>
      <c r="CC311">
        <v>864</v>
      </c>
      <c r="CD311">
        <v>100</v>
      </c>
      <c r="CE311">
        <v>2</v>
      </c>
      <c r="CF311">
        <v>0</v>
      </c>
      <c r="CG311">
        <v>0</v>
      </c>
      <c r="CH311">
        <v>472</v>
      </c>
      <c r="CI311">
        <v>395</v>
      </c>
      <c r="CJ311">
        <v>1</v>
      </c>
      <c r="CK311" t="s">
        <v>64</v>
      </c>
      <c r="CL311" t="s">
        <v>2315</v>
      </c>
      <c r="CM311">
        <f>HYPERLINK(".\links\GO\TI_asb-505-GO.txt",0.093)</f>
        <v>9.2999999999999999E-2</v>
      </c>
      <c r="CN311" t="s">
        <v>323</v>
      </c>
      <c r="CO311" t="s">
        <v>324</v>
      </c>
      <c r="CP311" t="s">
        <v>325</v>
      </c>
      <c r="CQ311" t="s">
        <v>326</v>
      </c>
      <c r="CR311" s="6">
        <v>2.2999999999999998</v>
      </c>
      <c r="CS311" t="s">
        <v>91</v>
      </c>
      <c r="CT311" t="s">
        <v>75</v>
      </c>
      <c r="CU311" t="s">
        <v>92</v>
      </c>
      <c r="CV311" t="s">
        <v>93</v>
      </c>
      <c r="CW311">
        <v>2.2999999999999998</v>
      </c>
      <c r="CX311" t="s">
        <v>327</v>
      </c>
      <c r="CY311" t="s">
        <v>324</v>
      </c>
      <c r="CZ311" t="s">
        <v>325</v>
      </c>
      <c r="DA311" t="s">
        <v>328</v>
      </c>
      <c r="DB311" s="6">
        <v>2.2999999999999998</v>
      </c>
      <c r="DC311" t="str">
        <f>HYPERLINK(".\links\CDD\TI_asb-505-CDD.txt","7TM_GPCR_Srz")</f>
        <v>7TM_GPCR_Srz</v>
      </c>
      <c r="DD311" t="str">
        <f>HYPERLINK("http://www.ncbi.nlm.nih.gov/Structure/cdd/cddsrv.cgi?uid=pfam10325&amp;version=v4.0","4E-005")</f>
        <v>4E-005</v>
      </c>
      <c r="DE311" t="s">
        <v>3001</v>
      </c>
      <c r="DF311" t="str">
        <f>HYPERLINK(".\links\PFAM\TI_asb-505-PFAM.txt","7TM_GPCR_Srz")</f>
        <v>7TM_GPCR_Srz</v>
      </c>
      <c r="DG311" t="str">
        <f>HYPERLINK("http://pfam.sanger.ac.uk/family?acc=PF10325","8E-006")</f>
        <v>8E-006</v>
      </c>
      <c r="DH311" t="str">
        <f>HYPERLINK(".\links\PRK\TI_asb-505-PRK.txt","NADH dehydrogenase subunit 5")</f>
        <v>NADH dehydrogenase subunit 5</v>
      </c>
      <c r="DI311" s="7">
        <v>5.9999999999999995E-4</v>
      </c>
      <c r="DJ311" s="6" t="str">
        <f>HYPERLINK(".\links\KOG\TI_asb-505-KOG.txt","Metalloprotease")</f>
        <v>Metalloprotease</v>
      </c>
      <c r="DK311" s="6" t="str">
        <f>HYPERLINK("http://www.ncbi.nlm.nih.gov/COG/grace/shokog.cgi?KOG2719","0.003")</f>
        <v>0.003</v>
      </c>
      <c r="DL311" s="6" t="s">
        <v>4337</v>
      </c>
      <c r="DM311" s="6" t="str">
        <f>HYPERLINK(".\links\KOG\TI_asb-505-KOG.txt","KOG2719")</f>
        <v>KOG2719</v>
      </c>
      <c r="DN311" t="str">
        <f>HYPERLINK(".\links\SMART\TI_asb-505-SMART.txt","PSN")</f>
        <v>PSN</v>
      </c>
      <c r="DO311" t="str">
        <f>HYPERLINK("http://smart.embl-heidelberg.de/smart/do_annotation.pl?DOMAIN=PSN&amp;BLAST=DUMMY","4E-004")</f>
        <v>4E-004</v>
      </c>
      <c r="DP311" s="3" t="s">
        <v>56</v>
      </c>
      <c r="ED311" s="3" t="s">
        <v>56</v>
      </c>
    </row>
    <row r="312" spans="1:134">
      <c r="A312" t="str">
        <f>HYPERLINK(".\links\seq\TI_asb-506-seq.txt","TI_asb-506")</f>
        <v>TI_asb-506</v>
      </c>
      <c r="B312">
        <v>506</v>
      </c>
      <c r="C312" t="str">
        <f>HYPERLINK(".\links\tsa\TI_asb-506-tsa.txt","1")</f>
        <v>1</v>
      </c>
      <c r="D312">
        <v>1</v>
      </c>
      <c r="E312">
        <v>829</v>
      </c>
      <c r="G312" t="str">
        <f>HYPERLINK(".\links\qual\TI_asb-506-qual.txt","37")</f>
        <v>37</v>
      </c>
      <c r="H312">
        <v>0</v>
      </c>
      <c r="I312">
        <v>1</v>
      </c>
      <c r="J312">
        <f t="shared" si="14"/>
        <v>1</v>
      </c>
      <c r="K312" s="6">
        <f t="shared" si="15"/>
        <v>-1</v>
      </c>
      <c r="L312" s="6" t="s">
        <v>4061</v>
      </c>
      <c r="M312" s="6" t="s">
        <v>4062</v>
      </c>
      <c r="N312" s="6" t="s">
        <v>3872</v>
      </c>
      <c r="O312" s="6">
        <v>5.0000000000000001E-9</v>
      </c>
      <c r="P312" s="6">
        <v>50</v>
      </c>
      <c r="Q312" s="3">
        <v>829</v>
      </c>
      <c r="R312" s="3">
        <v>444</v>
      </c>
      <c r="S312" s="3" t="s">
        <v>3791</v>
      </c>
      <c r="T312" s="3">
        <v>2</v>
      </c>
      <c r="U312" t="str">
        <f>HYPERLINK(".\links\NR-LIGHT\TI_asb-506-NR-LIGHT.txt","hypothetical protein TcasGA2_TC007383")</f>
        <v>hypothetical protein TcasGA2_TC007383</v>
      </c>
      <c r="V312" t="str">
        <f>HYPERLINK("http://www.ncbi.nlm.nih.gov/sutils/blink.cgi?pid=270005334","4E-012")</f>
        <v>4E-012</v>
      </c>
      <c r="W312" t="str">
        <f>HYPERLINK(".\links\NR-LIGHT\TI_asb-506-NR-LIGHT.txt"," 10")</f>
        <v xml:space="preserve"> 10</v>
      </c>
      <c r="X312" t="str">
        <f>HYPERLINK("http://www.ncbi.nlm.nih.gov/protein/270005334","gi|270005334")</f>
        <v>gi|270005334</v>
      </c>
      <c r="Y312">
        <v>74.3</v>
      </c>
      <c r="Z312">
        <v>161</v>
      </c>
      <c r="AA312">
        <v>326</v>
      </c>
      <c r="AB312">
        <v>35</v>
      </c>
      <c r="AC312">
        <v>49</v>
      </c>
      <c r="AD312">
        <v>104</v>
      </c>
      <c r="AE312">
        <v>0</v>
      </c>
      <c r="AF312">
        <v>1</v>
      </c>
      <c r="AG312">
        <v>209</v>
      </c>
      <c r="AH312">
        <v>1</v>
      </c>
      <c r="AI312">
        <v>2</v>
      </c>
      <c r="AJ312" t="s">
        <v>53</v>
      </c>
      <c r="AK312" t="s">
        <v>54</v>
      </c>
      <c r="AL312" t="s">
        <v>79</v>
      </c>
      <c r="AM312" t="str">
        <f>HYPERLINK(".\links\SWISSP\TI_asb-506-SWISSP.txt","Nuclear pore complex protein Nup50 OS=Homo sapiens GN=NUP50 PE=1 SV=2")</f>
        <v>Nuclear pore complex protein Nup50 OS=Homo sapiens GN=NUP50 PE=1 SV=2</v>
      </c>
      <c r="AN312" s="19" t="str">
        <f>HYPERLINK("http://www.uniprot.org/uniprot/Q9UKX7","3.1")</f>
        <v>3.1</v>
      </c>
      <c r="AO312" t="str">
        <f>HYPERLINK(".\links\SWISSP\TI_asb-506-SWISSP.txt"," 10")</f>
        <v xml:space="preserve"> 10</v>
      </c>
      <c r="AP312" t="s">
        <v>3002</v>
      </c>
      <c r="AQ312">
        <v>32.700000000000003</v>
      </c>
      <c r="AR312">
        <v>47</v>
      </c>
      <c r="AS312">
        <v>468</v>
      </c>
      <c r="AT312">
        <v>44</v>
      </c>
      <c r="AU312">
        <v>10</v>
      </c>
      <c r="AV312">
        <v>26</v>
      </c>
      <c r="AW312">
        <v>0</v>
      </c>
      <c r="AX312">
        <v>1</v>
      </c>
      <c r="AY312">
        <v>209</v>
      </c>
      <c r="AZ312">
        <v>1</v>
      </c>
      <c r="BA312">
        <v>2</v>
      </c>
      <c r="BB312" t="s">
        <v>53</v>
      </c>
      <c r="BC312" t="s">
        <v>54</v>
      </c>
      <c r="BD312" t="s">
        <v>330</v>
      </c>
      <c r="BE312" t="s">
        <v>3003</v>
      </c>
      <c r="BF312" t="s">
        <v>3004</v>
      </c>
      <c r="BG312" t="str">
        <f>HYPERLINK(".\links\PREV-RHOD-PEP\TI_asb-506-PREV-RHOD-PEP.txt","Contig17350_13")</f>
        <v>Contig17350_13</v>
      </c>
      <c r="BH312" s="7">
        <v>2E-50</v>
      </c>
      <c r="BI312" t="str">
        <f>HYPERLINK(".\links\PREV-RHOD-PEP\TI_asb-506-PREV-RHOD-PEP.txt"," 7")</f>
        <v xml:space="preserve"> 7</v>
      </c>
      <c r="BJ312" t="s">
        <v>3005</v>
      </c>
      <c r="BK312">
        <v>195</v>
      </c>
      <c r="BL312">
        <v>161</v>
      </c>
      <c r="BM312">
        <v>426</v>
      </c>
      <c r="BN312">
        <v>64</v>
      </c>
      <c r="BO312">
        <v>38</v>
      </c>
      <c r="BP312">
        <v>57</v>
      </c>
      <c r="BQ312">
        <v>0</v>
      </c>
      <c r="BR312">
        <v>1</v>
      </c>
      <c r="BS312">
        <v>209</v>
      </c>
      <c r="BT312">
        <v>1</v>
      </c>
      <c r="BU312" t="s">
        <v>54</v>
      </c>
      <c r="BV312" t="s">
        <v>3006</v>
      </c>
      <c r="BW312" t="s">
        <v>56</v>
      </c>
      <c r="BX312" t="str">
        <f>HYPERLINK(".\links\PREV-RHOD-CDS\TI_asb-506-PREV-RHOD-CDS.txt","Contig17350_13")</f>
        <v>Contig17350_13</v>
      </c>
      <c r="BY312" s="7">
        <v>1.9999999999999999E-49</v>
      </c>
      <c r="BZ312" t="s">
        <v>3005</v>
      </c>
      <c r="CA312">
        <v>196</v>
      </c>
      <c r="CB312">
        <v>242</v>
      </c>
      <c r="CC312">
        <v>1281</v>
      </c>
      <c r="CD312">
        <v>85</v>
      </c>
      <c r="CE312">
        <v>19</v>
      </c>
      <c r="CF312">
        <v>36</v>
      </c>
      <c r="CG312">
        <v>0</v>
      </c>
      <c r="CH312">
        <v>75</v>
      </c>
      <c r="CI312">
        <v>283</v>
      </c>
      <c r="CJ312">
        <v>1</v>
      </c>
      <c r="CK312" t="s">
        <v>54</v>
      </c>
      <c r="CL312" t="s">
        <v>3007</v>
      </c>
      <c r="CM312">
        <f>HYPERLINK(".\links\GO\TI_asb-506-GO.txt",0.88)</f>
        <v>0.88</v>
      </c>
      <c r="CN312" t="s">
        <v>3008</v>
      </c>
      <c r="CO312" t="s">
        <v>129</v>
      </c>
      <c r="CP312" t="s">
        <v>166</v>
      </c>
      <c r="CQ312" t="s">
        <v>3009</v>
      </c>
      <c r="CR312" s="6">
        <v>1.2</v>
      </c>
      <c r="CS312" t="s">
        <v>60</v>
      </c>
      <c r="CT312" t="s">
        <v>60</v>
      </c>
      <c r="CV312" t="s">
        <v>61</v>
      </c>
      <c r="CW312" s="6">
        <v>1.2</v>
      </c>
      <c r="CX312" t="s">
        <v>62</v>
      </c>
      <c r="CY312" t="s">
        <v>129</v>
      </c>
      <c r="CZ312" t="s">
        <v>166</v>
      </c>
      <c r="DA312" t="s">
        <v>63</v>
      </c>
      <c r="DB312" s="6">
        <v>1.2</v>
      </c>
      <c r="DC312" t="str">
        <f>HYPERLINK(".\links\CDD\TI_asb-506-CDD.txt","NUP50")</f>
        <v>NUP50</v>
      </c>
      <c r="DD312" t="str">
        <f>HYPERLINK("http://www.ncbi.nlm.nih.gov/Structure/cdd/cddsrv.cgi?uid=pfam08911&amp;version=v4.0","7E-010")</f>
        <v>7E-010</v>
      </c>
      <c r="DE312" t="s">
        <v>3010</v>
      </c>
      <c r="DF312" t="str">
        <f>HYPERLINK(".\links\PFAM\TI_asb-506-PFAM.txt","NUP50")</f>
        <v>NUP50</v>
      </c>
      <c r="DG312" t="str">
        <f>HYPERLINK("http://pfam.sanger.ac.uk/family?acc=PF08911","2E-010")</f>
        <v>2E-010</v>
      </c>
      <c r="DH312" t="str">
        <f>HYPERLINK(".\links\PRK\TI_asb-506-PRK.txt","NADH dehydrogenase subunit 5")</f>
        <v>NADH dehydrogenase subunit 5</v>
      </c>
      <c r="DI312" s="7">
        <v>4.0000000000000002E-4</v>
      </c>
      <c r="DJ312" s="6" t="str">
        <f>HYPERLINK(".\links\KOG\TI_asb-506-KOG.txt","Nuclear pore complex component NPAP60L/NUP50")</f>
        <v>Nuclear pore complex component NPAP60L/NUP50</v>
      </c>
      <c r="DK312" s="6" t="str">
        <f>HYPERLINK("http://www.ncbi.nlm.nih.gov/COG/grace/shokog.cgi?KOG2724","5E-009")</f>
        <v>5E-009</v>
      </c>
      <c r="DL312" s="6" t="s">
        <v>4352</v>
      </c>
      <c r="DM312" s="6" t="str">
        <f>HYPERLINK(".\links\KOG\TI_asb-506-KOG.txt","KOG2724")</f>
        <v>KOG2724</v>
      </c>
      <c r="DN312" t="str">
        <f>HYPERLINK(".\links\SMART\TI_asb-506-SMART.txt","PSN")</f>
        <v>PSN</v>
      </c>
      <c r="DO312" t="str">
        <f>HYPERLINK("http://smart.embl-heidelberg.de/smart/do_annotation.pl?DOMAIN=PSN&amp;BLAST=DUMMY","0.014")</f>
        <v>0.014</v>
      </c>
      <c r="DP312" s="3" t="s">
        <v>56</v>
      </c>
      <c r="ED312" s="3" t="s">
        <v>56</v>
      </c>
    </row>
    <row r="313" spans="1:134">
      <c r="A313" t="str">
        <f>HYPERLINK(".\links\seq\TI_asb-508-seq.txt","TI_asb-508")</f>
        <v>TI_asb-508</v>
      </c>
      <c r="B313">
        <v>508</v>
      </c>
      <c r="C313" t="str">
        <f>HYPERLINK(".\links\tsa\TI_asb-508-tsa.txt","1")</f>
        <v>1</v>
      </c>
      <c r="D313">
        <v>1</v>
      </c>
      <c r="E313">
        <v>1004</v>
      </c>
      <c r="F313">
        <v>577</v>
      </c>
      <c r="G313" t="str">
        <f>HYPERLINK(".\links\qual\TI_asb-508-qual.txt","21")</f>
        <v>21</v>
      </c>
      <c r="H313">
        <v>1</v>
      </c>
      <c r="I313">
        <v>0</v>
      </c>
      <c r="J313">
        <f t="shared" si="14"/>
        <v>1</v>
      </c>
      <c r="K313" s="6">
        <f t="shared" si="15"/>
        <v>1</v>
      </c>
      <c r="L313" s="6" t="s">
        <v>4063</v>
      </c>
      <c r="M313" s="6" t="s">
        <v>3881</v>
      </c>
      <c r="N313" s="6" t="s">
        <v>3872</v>
      </c>
      <c r="O313" s="7">
        <v>9.9999999999999996E-24</v>
      </c>
      <c r="P313" s="6">
        <v>73.5</v>
      </c>
      <c r="Q313" s="3">
        <v>1004</v>
      </c>
      <c r="R313" s="3">
        <v>276</v>
      </c>
      <c r="S313" s="6" t="s">
        <v>3792</v>
      </c>
      <c r="T313" s="3">
        <v>5</v>
      </c>
      <c r="U313" t="str">
        <f>HYPERLINK(".\links\NR-LIGHT\TI_asb-508-NR-LIGHT.txt","thioredoxin")</f>
        <v>thioredoxin</v>
      </c>
      <c r="V313" t="str">
        <f>HYPERLINK("http://www.ncbi.nlm.nih.gov/sutils/blink.cgi?pid=307095132","3E-038")</f>
        <v>3E-038</v>
      </c>
      <c r="W313" t="str">
        <f>HYPERLINK(".\links\NR-LIGHT\TI_asb-508-NR-LIGHT.txt"," 10")</f>
        <v xml:space="preserve"> 10</v>
      </c>
      <c r="X313" t="str">
        <f>HYPERLINK("http://www.ncbi.nlm.nih.gov/protein/307095132","gi|307095132")</f>
        <v>gi|307095132</v>
      </c>
      <c r="Y313">
        <v>147</v>
      </c>
      <c r="Z313">
        <v>77</v>
      </c>
      <c r="AA313">
        <v>105</v>
      </c>
      <c r="AB313">
        <v>94</v>
      </c>
      <c r="AC313">
        <v>73</v>
      </c>
      <c r="AD313">
        <v>4</v>
      </c>
      <c r="AE313">
        <v>0</v>
      </c>
      <c r="AF313">
        <v>6</v>
      </c>
      <c r="AG313">
        <v>67</v>
      </c>
      <c r="AH313">
        <v>2</v>
      </c>
      <c r="AI313">
        <v>3</v>
      </c>
      <c r="AJ313" t="s">
        <v>65</v>
      </c>
      <c r="AK313" t="s">
        <v>54</v>
      </c>
      <c r="AL313" t="s">
        <v>258</v>
      </c>
      <c r="AM313" t="str">
        <f>HYPERLINK(".\links\SWISSP\TI_asb-508-SWISSP.txt","Thioredoxin-2 OS=Drosophila yakuba GN=Trx-2 PE=3 SV=1")</f>
        <v>Thioredoxin-2 OS=Drosophila yakuba GN=Trx-2 PE=3 SV=1</v>
      </c>
      <c r="AN313" s="19" t="str">
        <f>HYPERLINK("http://www.uniprot.org/uniprot/Q6XHI1","2E-018")</f>
        <v>2E-018</v>
      </c>
      <c r="AO313" t="str">
        <f>HYPERLINK(".\links\SWISSP\TI_asb-508-SWISSP.txt"," 10")</f>
        <v xml:space="preserve"> 10</v>
      </c>
      <c r="AP313" t="s">
        <v>3011</v>
      </c>
      <c r="AQ313">
        <v>94</v>
      </c>
      <c r="AR313">
        <v>74</v>
      </c>
      <c r="AS313">
        <v>106</v>
      </c>
      <c r="AT313">
        <v>58</v>
      </c>
      <c r="AU313">
        <v>70</v>
      </c>
      <c r="AV313">
        <v>31</v>
      </c>
      <c r="AW313">
        <v>1</v>
      </c>
      <c r="AX313">
        <v>29</v>
      </c>
      <c r="AY313">
        <v>135</v>
      </c>
      <c r="AZ313">
        <v>1</v>
      </c>
      <c r="BA313">
        <v>3</v>
      </c>
      <c r="BB313" t="s">
        <v>53</v>
      </c>
      <c r="BC313" t="s">
        <v>54</v>
      </c>
      <c r="BD313" t="s">
        <v>674</v>
      </c>
      <c r="BE313" t="s">
        <v>3012</v>
      </c>
      <c r="BF313" t="s">
        <v>3013</v>
      </c>
      <c r="BG313" t="str">
        <f>HYPERLINK(".\links\PREV-RHOD-PEP\TI_asb-508-PREV-RHOD-PEP.txt","Contig17970_682")</f>
        <v>Contig17970_682</v>
      </c>
      <c r="BH313" s="7">
        <v>7E-39</v>
      </c>
      <c r="BI313" t="str">
        <f>HYPERLINK(".\links\PREV-RHOD-PEP\TI_asb-508-PREV-RHOD-PEP.txt"," 10")</f>
        <v xml:space="preserve"> 10</v>
      </c>
      <c r="BJ313" t="s">
        <v>3014</v>
      </c>
      <c r="BK313">
        <v>145</v>
      </c>
      <c r="BL313">
        <v>76</v>
      </c>
      <c r="BM313">
        <v>433</v>
      </c>
      <c r="BN313">
        <v>93</v>
      </c>
      <c r="BO313">
        <v>18</v>
      </c>
      <c r="BP313">
        <v>5</v>
      </c>
      <c r="BQ313">
        <v>0</v>
      </c>
      <c r="BR313">
        <v>9</v>
      </c>
      <c r="BS313">
        <v>79</v>
      </c>
      <c r="BT313">
        <v>2</v>
      </c>
      <c r="BU313" t="s">
        <v>54</v>
      </c>
      <c r="BV313" t="s">
        <v>3015</v>
      </c>
      <c r="BW313" t="s">
        <v>56</v>
      </c>
      <c r="BX313" t="str">
        <f>HYPERLINK(".\links\PREV-RHOD-CDS\TI_asb-508-PREV-RHOD-CDS.txt","Contig17970_682")</f>
        <v>Contig17970_682</v>
      </c>
      <c r="BY313" s="7">
        <v>7.0000000000000003E-62</v>
      </c>
      <c r="BZ313" t="s">
        <v>3014</v>
      </c>
      <c r="CA313">
        <v>238</v>
      </c>
      <c r="CB313">
        <v>259</v>
      </c>
      <c r="CC313">
        <v>1302</v>
      </c>
      <c r="CD313">
        <v>86</v>
      </c>
      <c r="CE313">
        <v>20</v>
      </c>
      <c r="CF313">
        <v>34</v>
      </c>
      <c r="CG313">
        <v>1</v>
      </c>
      <c r="CH313">
        <v>41</v>
      </c>
      <c r="CI313">
        <v>95</v>
      </c>
      <c r="CJ313">
        <v>1</v>
      </c>
      <c r="CK313" t="s">
        <v>54</v>
      </c>
      <c r="CL313" t="s">
        <v>3016</v>
      </c>
      <c r="CM313">
        <f>HYPERLINK(".\links\GO\TI_asb-508-GO.txt",0.0000000000000000007)</f>
        <v>7.0000000000000003E-19</v>
      </c>
      <c r="CN313" t="s">
        <v>2974</v>
      </c>
      <c r="CO313" t="s">
        <v>129</v>
      </c>
      <c r="CP313" t="s">
        <v>130</v>
      </c>
      <c r="CQ313" t="s">
        <v>2975</v>
      </c>
      <c r="CR313" s="7">
        <v>7.0000000000000003E-19</v>
      </c>
      <c r="CS313" t="s">
        <v>60</v>
      </c>
      <c r="CT313" t="s">
        <v>60</v>
      </c>
      <c r="CV313" t="s">
        <v>61</v>
      </c>
      <c r="CW313" s="7">
        <v>7.0000000000000003E-19</v>
      </c>
      <c r="CX313" t="s">
        <v>3017</v>
      </c>
      <c r="CY313" t="s">
        <v>129</v>
      </c>
      <c r="CZ313" t="s">
        <v>130</v>
      </c>
      <c r="DA313" t="s">
        <v>3018</v>
      </c>
      <c r="DB313" s="7">
        <v>7.0000000000000003E-19</v>
      </c>
      <c r="DC313" t="str">
        <f>HYPERLINK(".\links\CDD\TI_asb-508-CDD.txt","TRX_family")</f>
        <v>TRX_family</v>
      </c>
      <c r="DD313" t="str">
        <f>HYPERLINK("http://www.ncbi.nlm.nih.gov/Structure/cdd/cddsrv.cgi?uid=cd02947&amp;version=v4.0","6E-019")</f>
        <v>6E-019</v>
      </c>
      <c r="DE313" t="s">
        <v>3019</v>
      </c>
      <c r="DF313" t="str">
        <f>HYPERLINK(".\links\PFAM\TI_asb-508-PFAM.txt","Thioredoxin")</f>
        <v>Thioredoxin</v>
      </c>
      <c r="DG313" t="str">
        <f>HYPERLINK("http://pfam.sanger.ac.uk/family?acc=PF00085","6E-019")</f>
        <v>6E-019</v>
      </c>
      <c r="DH313" t="str">
        <f>HYPERLINK(".\links\PRK\TI_asb-508-PRK.txt","thioredoxin")</f>
        <v>thioredoxin</v>
      </c>
      <c r="DI313" s="7">
        <v>2.0000000000000001E-13</v>
      </c>
      <c r="DJ313" s="6" t="str">
        <f>HYPERLINK(".\links\KOG\TI_asb-508-KOG.txt","Thioredoxin")</f>
        <v>Thioredoxin</v>
      </c>
      <c r="DK313" s="6" t="str">
        <f>HYPERLINK("http://www.ncbi.nlm.nih.gov/COG/grace/shokog.cgi?KOG0907","1E-023")</f>
        <v>1E-023</v>
      </c>
      <c r="DL313" s="6" t="s">
        <v>4340</v>
      </c>
      <c r="DM313" s="6" t="str">
        <f>HYPERLINK(".\links\KOG\TI_asb-508-KOG.txt","KOG0907")</f>
        <v>KOG0907</v>
      </c>
      <c r="DN313" t="str">
        <f>HYPERLINK(".\links\SMART\TI_asb-508-SMART.txt","Amelogenin")</f>
        <v>Amelogenin</v>
      </c>
      <c r="DO313" t="str">
        <f>HYPERLINK("http://smart.embl-heidelberg.de/smart/do_annotation.pl?DOMAIN=Amelogenin&amp;BLAST=DUMMY","0.033")</f>
        <v>0.033</v>
      </c>
      <c r="DP313" s="3" t="s">
        <v>56</v>
      </c>
      <c r="ED313" s="3" t="s">
        <v>56</v>
      </c>
    </row>
    <row r="314" spans="1:134">
      <c r="A314" t="str">
        <f>HYPERLINK(".\links\seq\TI_asb-512-seq.txt","TI_asb-512")</f>
        <v>TI_asb-512</v>
      </c>
      <c r="B314">
        <v>512</v>
      </c>
      <c r="C314" t="str">
        <f>HYPERLINK(".\links\tsa\TI_asb-512-tsa.txt","1")</f>
        <v>1</v>
      </c>
      <c r="D314">
        <v>1</v>
      </c>
      <c r="E314">
        <v>559</v>
      </c>
      <c r="G314" t="str">
        <f>HYPERLINK(".\links\qual\TI_asb-512-qual.txt","45")</f>
        <v>45</v>
      </c>
      <c r="H314">
        <v>0</v>
      </c>
      <c r="I314">
        <v>1</v>
      </c>
      <c r="J314">
        <f t="shared" si="14"/>
        <v>1</v>
      </c>
      <c r="K314" s="6">
        <f t="shared" si="15"/>
        <v>-1</v>
      </c>
      <c r="L314" s="6" t="s">
        <v>3868</v>
      </c>
      <c r="M314" s="6" t="s">
        <v>3869</v>
      </c>
      <c r="N314" s="6"/>
      <c r="O314" s="6"/>
      <c r="P314" s="6"/>
      <c r="Q314" s="3">
        <v>559</v>
      </c>
      <c r="R314" s="3">
        <v>552</v>
      </c>
      <c r="S314" s="6" t="s">
        <v>3793</v>
      </c>
      <c r="T314" s="3">
        <v>3</v>
      </c>
      <c r="U314" t="str">
        <f>HYPERLINK(".\links\NR-LIGHT\TI_asb-512-NR-LIGHT.txt","hypothetical protein TcasGA2_TC013968")</f>
        <v>hypothetical protein TcasGA2_TC013968</v>
      </c>
      <c r="V314" t="str">
        <f>HYPERLINK("http://www.ncbi.nlm.nih.gov/sutils/blink.cgi?pid=270007404","0.25")</f>
        <v>0.25</v>
      </c>
      <c r="W314" t="str">
        <f>HYPERLINK(".\links\NR-LIGHT\TI_asb-512-NR-LIGHT.txt"," 9")</f>
        <v xml:space="preserve"> 9</v>
      </c>
      <c r="X314" t="str">
        <f>HYPERLINK("http://www.ncbi.nlm.nih.gov/protein/270007404","gi|270007404")</f>
        <v>gi|270007404</v>
      </c>
      <c r="Y314">
        <v>37.4</v>
      </c>
      <c r="Z314">
        <v>106</v>
      </c>
      <c r="AA314">
        <v>280</v>
      </c>
      <c r="AB314">
        <v>24</v>
      </c>
      <c r="AC314">
        <v>38</v>
      </c>
      <c r="AD314">
        <v>80</v>
      </c>
      <c r="AE314">
        <v>4</v>
      </c>
      <c r="AF314">
        <v>68</v>
      </c>
      <c r="AG314">
        <v>243</v>
      </c>
      <c r="AH314">
        <v>1</v>
      </c>
      <c r="AI314">
        <v>3</v>
      </c>
      <c r="AJ314" t="s">
        <v>53</v>
      </c>
      <c r="AK314" t="s">
        <v>54</v>
      </c>
      <c r="AL314" t="s">
        <v>79</v>
      </c>
      <c r="AM314" t="str">
        <f>HYPERLINK(".\links\SWISSP\TI_asb-512-SWISSP.txt","Putative ATP-dependent RNA helicase D1133L OS=African swine fever virus (isolate")</f>
        <v>Putative ATP-dependent RNA helicase D1133L OS=African swine fever virus (isolate</v>
      </c>
      <c r="AN314" s="19" t="str">
        <f>HYPERLINK("http://www.uniprot.org/uniprot/P0C9A6","0.67")</f>
        <v>0.67</v>
      </c>
      <c r="AO314" t="str">
        <f>HYPERLINK(".\links\SWISSP\TI_asb-512-SWISSP.txt"," 10")</f>
        <v xml:space="preserve"> 10</v>
      </c>
      <c r="AP314" t="s">
        <v>3020</v>
      </c>
      <c r="AQ314">
        <v>33.9</v>
      </c>
      <c r="AR314">
        <v>64</v>
      </c>
      <c r="AS314">
        <v>1133</v>
      </c>
      <c r="AT314">
        <v>32</v>
      </c>
      <c r="AU314">
        <v>6</v>
      </c>
      <c r="AV314">
        <v>43</v>
      </c>
      <c r="AW314">
        <v>1</v>
      </c>
      <c r="AX314">
        <v>924</v>
      </c>
      <c r="AY314">
        <v>198</v>
      </c>
      <c r="AZ314">
        <v>1</v>
      </c>
      <c r="BA314">
        <v>3</v>
      </c>
      <c r="BB314" t="s">
        <v>53</v>
      </c>
      <c r="BC314" t="s">
        <v>54</v>
      </c>
      <c r="BD314" t="s">
        <v>3021</v>
      </c>
      <c r="BE314" t="s">
        <v>3022</v>
      </c>
      <c r="BF314" t="s">
        <v>3023</v>
      </c>
      <c r="BG314" t="str">
        <f>HYPERLINK(".\links\PREV-RHOD-PEP\TI_asb-512-PREV-RHOD-PEP.txt","Contig17934_11")</f>
        <v>Contig17934_11</v>
      </c>
      <c r="BH314" s="7">
        <v>3.9999999999999998E-44</v>
      </c>
      <c r="BI314" t="str">
        <f>HYPERLINK(".\links\PREV-RHOD-PEP\TI_asb-512-PREV-RHOD-PEP.txt"," 9")</f>
        <v xml:space="preserve"> 9</v>
      </c>
      <c r="BJ314" t="s">
        <v>1492</v>
      </c>
      <c r="BK314">
        <v>173</v>
      </c>
      <c r="BL314">
        <v>180</v>
      </c>
      <c r="BM314">
        <v>269</v>
      </c>
      <c r="BN314">
        <v>50</v>
      </c>
      <c r="BO314">
        <v>67</v>
      </c>
      <c r="BP314">
        <v>90</v>
      </c>
      <c r="BQ314">
        <v>0</v>
      </c>
      <c r="BR314">
        <v>1</v>
      </c>
      <c r="BS314">
        <v>18</v>
      </c>
      <c r="BT314">
        <v>1</v>
      </c>
      <c r="BU314" t="s">
        <v>54</v>
      </c>
      <c r="BV314" t="s">
        <v>3024</v>
      </c>
      <c r="BW314" t="s">
        <v>439</v>
      </c>
      <c r="BX314" t="str">
        <f>HYPERLINK(".\links\PREV-RHOD-CDS\TI_asb-512-PREV-RHOD-CDS.txt","Contig17934_11")</f>
        <v>Contig17934_11</v>
      </c>
      <c r="BY314" s="6">
        <v>4.0000000000000001E-3</v>
      </c>
      <c r="BZ314" t="s">
        <v>1492</v>
      </c>
      <c r="CA314">
        <v>42.1</v>
      </c>
      <c r="CB314">
        <v>64</v>
      </c>
      <c r="CC314">
        <v>810</v>
      </c>
      <c r="CD314">
        <v>83</v>
      </c>
      <c r="CE314">
        <v>8</v>
      </c>
      <c r="CF314">
        <v>11</v>
      </c>
      <c r="CG314">
        <v>0</v>
      </c>
      <c r="CH314">
        <v>208</v>
      </c>
      <c r="CI314">
        <v>225</v>
      </c>
      <c r="CJ314">
        <v>1</v>
      </c>
      <c r="CK314" t="s">
        <v>54</v>
      </c>
      <c r="CL314" t="s">
        <v>3025</v>
      </c>
      <c r="CM314">
        <f>HYPERLINK(".\links\GO\TI_asb-512-GO.txt",2.9)</f>
        <v>2.9</v>
      </c>
      <c r="CN314" t="s">
        <v>2141</v>
      </c>
      <c r="CO314" t="s">
        <v>185</v>
      </c>
      <c r="CP314" t="s">
        <v>222</v>
      </c>
      <c r="CQ314" t="s">
        <v>2142</v>
      </c>
      <c r="CR314" s="6">
        <v>2.9</v>
      </c>
      <c r="CS314" t="s">
        <v>224</v>
      </c>
      <c r="CT314" t="s">
        <v>75</v>
      </c>
      <c r="CU314" t="s">
        <v>76</v>
      </c>
      <c r="CV314" t="s">
        <v>225</v>
      </c>
      <c r="CW314">
        <v>2.9</v>
      </c>
      <c r="CX314" t="s">
        <v>2457</v>
      </c>
      <c r="CY314" t="s">
        <v>185</v>
      </c>
      <c r="CZ314" t="s">
        <v>222</v>
      </c>
      <c r="DA314" t="s">
        <v>2458</v>
      </c>
      <c r="DB314" s="6">
        <v>2.9</v>
      </c>
      <c r="DC314" t="str">
        <f>HYPERLINK(".\links\CDD\TI_asb-512-CDD.txt","PRK07168")</f>
        <v>PRK07168</v>
      </c>
      <c r="DD314" t="str">
        <f>HYPERLINK("http://www.ncbi.nlm.nih.gov/Structure/cdd/cddsrv.cgi?uid=PRK07168&amp;version=v4.0","0.027")</f>
        <v>0.027</v>
      </c>
      <c r="DE314" t="s">
        <v>3026</v>
      </c>
      <c r="DF314" t="s">
        <v>56</v>
      </c>
      <c r="DG314" t="s">
        <v>56</v>
      </c>
      <c r="DH314" t="str">
        <f>HYPERLINK(".\links\PRK\TI_asb-512-PRK.txt","bifunctional uroporphyrinogen-III methyltransferase/uroporphyrinogen-III synthase")</f>
        <v>bifunctional uroporphyrinogen-III methyltransferase/uroporphyrinogen-III synthase</v>
      </c>
      <c r="DI314" s="6">
        <v>1.6E-2</v>
      </c>
      <c r="DJ314" s="6" t="s">
        <v>56</v>
      </c>
      <c r="DN314" t="str">
        <f>HYPERLINK(".\links\SMART\TI_asb-512-SMART.txt","Alpha_kinase")</f>
        <v>Alpha_kinase</v>
      </c>
      <c r="DO314" t="str">
        <f>HYPERLINK("http://smart.embl-heidelberg.de/smart/do_annotation.pl?DOMAIN=Alpha_kinase&amp;BLAST=DUMMY","0.057")</f>
        <v>0.057</v>
      </c>
      <c r="DP314" s="3" t="s">
        <v>56</v>
      </c>
      <c r="ED314" s="3" t="s">
        <v>56</v>
      </c>
    </row>
    <row r="315" spans="1:134">
      <c r="A315" t="str">
        <f>HYPERLINK(".\links\seq\TI_asb-515-seq.txt","TI_asb-515")</f>
        <v>TI_asb-515</v>
      </c>
      <c r="B315">
        <v>515</v>
      </c>
      <c r="C315" t="str">
        <f>HYPERLINK(".\links\tsa\TI_asb-515-tsa.txt","1")</f>
        <v>1</v>
      </c>
      <c r="D315">
        <v>1</v>
      </c>
      <c r="E315">
        <v>641</v>
      </c>
      <c r="F315">
        <v>615</v>
      </c>
      <c r="G315" t="str">
        <f>HYPERLINK(".\links\qual\TI_asb-515-qual.txt","40")</f>
        <v>40</v>
      </c>
      <c r="H315">
        <v>0</v>
      </c>
      <c r="I315">
        <v>1</v>
      </c>
      <c r="J315">
        <f t="shared" ref="J315:J368" si="16">ABS(H315-I315)</f>
        <v>1</v>
      </c>
      <c r="K315" s="6">
        <f t="shared" ref="K315:K368" si="17">H315-I315</f>
        <v>-1</v>
      </c>
      <c r="L315" s="6" t="s">
        <v>3868</v>
      </c>
      <c r="M315" s="6" t="s">
        <v>3869</v>
      </c>
      <c r="N315" s="6"/>
      <c r="O315" s="6"/>
      <c r="P315" s="6"/>
      <c r="Q315" s="3">
        <v>641</v>
      </c>
      <c r="R315" s="3">
        <v>369</v>
      </c>
      <c r="S315" s="6" t="s">
        <v>3794</v>
      </c>
      <c r="T315" s="3">
        <v>2</v>
      </c>
      <c r="U315" t="str">
        <f>HYPERLINK(".\links\NR-LIGHT\TI_asb-515-NR-LIGHT.txt","ACYPI006488")</f>
        <v>ACYPI006488</v>
      </c>
      <c r="V315" t="str">
        <f>HYPERLINK("http://www.ncbi.nlm.nih.gov/sutils/blink.cgi?pid=239791045","2.2")</f>
        <v>2.2</v>
      </c>
      <c r="W315" t="str">
        <f>HYPERLINK(".\links\NR-LIGHT\TI_asb-515-NR-LIGHT.txt"," 7")</f>
        <v xml:space="preserve"> 7</v>
      </c>
      <c r="X315" t="str">
        <f>HYPERLINK("http://www.ncbi.nlm.nih.gov/protein/239791045","gi|239791045")</f>
        <v>gi|239791045</v>
      </c>
      <c r="Y315">
        <v>34.700000000000003</v>
      </c>
      <c r="Z315">
        <v>73</v>
      </c>
      <c r="AA315">
        <v>341</v>
      </c>
      <c r="AB315">
        <v>36</v>
      </c>
      <c r="AC315">
        <v>21</v>
      </c>
      <c r="AD315">
        <v>46</v>
      </c>
      <c r="AE315">
        <v>0</v>
      </c>
      <c r="AF315">
        <v>167</v>
      </c>
      <c r="AG315">
        <v>197</v>
      </c>
      <c r="AH315">
        <v>1</v>
      </c>
      <c r="AI315">
        <v>2</v>
      </c>
      <c r="AJ315" t="s">
        <v>53</v>
      </c>
      <c r="AK315" t="s">
        <v>54</v>
      </c>
      <c r="AL315" t="s">
        <v>177</v>
      </c>
      <c r="AM315" t="str">
        <f>HYPERLINK(".\links\SWISSP\TI_asb-515-SWISSP.txt","Putative dioxygenase subunit beta yeaX OS=Escherichia coli (strain K12) GN=yeaX")</f>
        <v>Putative dioxygenase subunit beta yeaX OS=Escherichia coli (strain K12) GN=yeaX</v>
      </c>
      <c r="AN315" s="19" t="str">
        <f>HYPERLINK("http://www.uniprot.org/uniprot/P76254","2.6")</f>
        <v>2.6</v>
      </c>
      <c r="AO315" t="str">
        <f>HYPERLINK(".\links\SWISSP\TI_asb-515-SWISSP.txt"," 10")</f>
        <v xml:space="preserve"> 10</v>
      </c>
      <c r="AP315" t="s">
        <v>3027</v>
      </c>
      <c r="AQ315">
        <v>32.299999999999997</v>
      </c>
      <c r="AR315">
        <v>59</v>
      </c>
      <c r="AS315">
        <v>321</v>
      </c>
      <c r="AT315">
        <v>28</v>
      </c>
      <c r="AU315">
        <v>18</v>
      </c>
      <c r="AV315">
        <v>42</v>
      </c>
      <c r="AW315">
        <v>0</v>
      </c>
      <c r="AX315">
        <v>113</v>
      </c>
      <c r="AY315">
        <v>306</v>
      </c>
      <c r="AZ315">
        <v>1</v>
      </c>
      <c r="BA315">
        <v>-1</v>
      </c>
      <c r="BB315" t="s">
        <v>53</v>
      </c>
      <c r="BC315" t="s">
        <v>64</v>
      </c>
      <c r="BD315" t="s">
        <v>959</v>
      </c>
      <c r="BE315" t="s">
        <v>3028</v>
      </c>
      <c r="BF315" t="s">
        <v>3029</v>
      </c>
      <c r="BG315" t="str">
        <f>HYPERLINK(".\links\PREV-RHOD-PEP\TI_asb-515-PREV-RHOD-PEP.txt","Contig7471_2")</f>
        <v>Contig7471_2</v>
      </c>
      <c r="BH315" s="7">
        <v>6.0000000000000001E-28</v>
      </c>
      <c r="BI315" t="str">
        <f>HYPERLINK(".\links\PREV-RHOD-PEP\TI_asb-515-PREV-RHOD-PEP.txt"," 10")</f>
        <v xml:space="preserve"> 10</v>
      </c>
      <c r="BJ315" t="s">
        <v>1188</v>
      </c>
      <c r="BK315">
        <v>120</v>
      </c>
      <c r="BL315">
        <v>151</v>
      </c>
      <c r="BM315">
        <v>410</v>
      </c>
      <c r="BN315">
        <v>41</v>
      </c>
      <c r="BO315">
        <v>37</v>
      </c>
      <c r="BP315">
        <v>88</v>
      </c>
      <c r="BQ315">
        <v>8</v>
      </c>
      <c r="BR315">
        <v>212</v>
      </c>
      <c r="BS315">
        <v>14</v>
      </c>
      <c r="BT315">
        <v>1</v>
      </c>
      <c r="BU315" t="s">
        <v>54</v>
      </c>
      <c r="BV315" t="s">
        <v>3030</v>
      </c>
      <c r="BW315" t="s">
        <v>439</v>
      </c>
      <c r="BX315" t="str">
        <f>HYPERLINK(".\links\PREV-RHOD-CDS\TI_asb-515-PREV-RHOD-CDS.txt","Contig18356_1")</f>
        <v>Contig18356_1</v>
      </c>
      <c r="BY315" s="6">
        <v>1.2</v>
      </c>
      <c r="BZ315" t="s">
        <v>3031</v>
      </c>
      <c r="CA315">
        <v>34.200000000000003</v>
      </c>
      <c r="CB315">
        <v>16</v>
      </c>
      <c r="CC315">
        <v>519</v>
      </c>
      <c r="CD315">
        <v>100</v>
      </c>
      <c r="CE315">
        <v>3</v>
      </c>
      <c r="CF315">
        <v>0</v>
      </c>
      <c r="CG315">
        <v>0</v>
      </c>
      <c r="CH315">
        <v>203</v>
      </c>
      <c r="CI315">
        <v>303</v>
      </c>
      <c r="CJ315">
        <v>1</v>
      </c>
      <c r="CK315" t="s">
        <v>54</v>
      </c>
      <c r="CL315" t="s">
        <v>3032</v>
      </c>
      <c r="CM315">
        <f>HYPERLINK(".\links\GO\TI_asb-515-GO.txt",1.3)</f>
        <v>1.3</v>
      </c>
      <c r="CN315" t="s">
        <v>58</v>
      </c>
      <c r="CO315" t="s">
        <v>58</v>
      </c>
      <c r="CQ315" t="s">
        <v>59</v>
      </c>
      <c r="CR315" s="6">
        <v>4.9000000000000004</v>
      </c>
      <c r="CS315" t="s">
        <v>74</v>
      </c>
      <c r="CT315" t="s">
        <v>75</v>
      </c>
      <c r="CU315" t="s">
        <v>76</v>
      </c>
      <c r="CV315" t="s">
        <v>77</v>
      </c>
      <c r="CW315" s="6">
        <v>4.9000000000000004</v>
      </c>
      <c r="CX315" t="s">
        <v>3033</v>
      </c>
      <c r="CY315" t="s">
        <v>58</v>
      </c>
      <c r="DA315" t="s">
        <v>3034</v>
      </c>
      <c r="DB315" s="6">
        <v>4.9000000000000004</v>
      </c>
      <c r="DC315" t="str">
        <f>HYPERLINK(".\links\CDD\TI_asb-515-CDD.txt","ND5")</f>
        <v>ND5</v>
      </c>
      <c r="DD315" t="str">
        <f>HYPERLINK("http://www.ncbi.nlm.nih.gov/Structure/cdd/cddsrv.cgi?uid=MTH00095&amp;version=v4.0","5E-007")</f>
        <v>5E-007</v>
      </c>
      <c r="DE315" t="s">
        <v>3035</v>
      </c>
      <c r="DF315" t="str">
        <f>HYPERLINK(".\links\PFAM\TI_asb-515-PFAM.txt","7TM_GPCR_Srz")</f>
        <v>7TM_GPCR_Srz</v>
      </c>
      <c r="DG315" t="str">
        <f>HYPERLINK("http://pfam.sanger.ac.uk/family?acc=PF10325","7E-004")</f>
        <v>7E-004</v>
      </c>
      <c r="DH315" t="str">
        <f>HYPERLINK(".\links\PRK\TI_asb-515-PRK.txt","NADH dehydrogenase subunit 5")</f>
        <v>NADH dehydrogenase subunit 5</v>
      </c>
      <c r="DI315" s="7">
        <v>6.0000000000000002E-5</v>
      </c>
      <c r="DJ315" s="6" t="s">
        <v>56</v>
      </c>
      <c r="DN315" t="str">
        <f>HYPERLINK(".\links\SMART\TI_asb-515-SMART.txt","PSN")</f>
        <v>PSN</v>
      </c>
      <c r="DO315" t="str">
        <f>HYPERLINK("http://smart.embl-heidelberg.de/smart/do_annotation.pl?DOMAIN=PSN&amp;BLAST=DUMMY","0.025")</f>
        <v>0.025</v>
      </c>
      <c r="DP315" s="3" t="s">
        <v>56</v>
      </c>
      <c r="ED315" s="3" t="s">
        <v>56</v>
      </c>
    </row>
    <row r="316" spans="1:134">
      <c r="A316" t="str">
        <f>HYPERLINK(".\links\seq\TI_asb-517-seq.txt","TI_asb-517")</f>
        <v>TI_asb-517</v>
      </c>
      <c r="B316">
        <v>517</v>
      </c>
      <c r="C316" t="str">
        <f>HYPERLINK(".\links\tsa\TI_asb-517-tsa.txt","1")</f>
        <v>1</v>
      </c>
      <c r="D316">
        <v>1</v>
      </c>
      <c r="E316">
        <v>325</v>
      </c>
      <c r="F316">
        <v>301</v>
      </c>
      <c r="G316" t="str">
        <f>HYPERLINK(".\links\qual\TI_asb-517-qual.txt","47")</f>
        <v>47</v>
      </c>
      <c r="H316">
        <v>0</v>
      </c>
      <c r="I316">
        <v>1</v>
      </c>
      <c r="J316">
        <f t="shared" si="16"/>
        <v>1</v>
      </c>
      <c r="K316" s="6">
        <f t="shared" si="17"/>
        <v>-1</v>
      </c>
      <c r="L316" s="6" t="s">
        <v>3888</v>
      </c>
      <c r="M316" s="6" t="s">
        <v>3886</v>
      </c>
      <c r="N316" s="6" t="s">
        <v>3872</v>
      </c>
      <c r="O316" s="6">
        <v>0</v>
      </c>
      <c r="P316" s="6">
        <v>6.9</v>
      </c>
      <c r="Q316" s="3">
        <v>325</v>
      </c>
      <c r="R316" s="3">
        <v>177</v>
      </c>
      <c r="S316" s="3" t="s">
        <v>3795</v>
      </c>
      <c r="T316" s="3">
        <v>5</v>
      </c>
      <c r="U316" t="s">
        <v>56</v>
      </c>
      <c r="V316" t="s">
        <v>56</v>
      </c>
      <c r="W316" t="s">
        <v>56</v>
      </c>
      <c r="X316" t="s">
        <v>56</v>
      </c>
      <c r="Y316" t="s">
        <v>56</v>
      </c>
      <c r="Z316" t="s">
        <v>56</v>
      </c>
      <c r="AA316" t="s">
        <v>56</v>
      </c>
      <c r="AB316" t="s">
        <v>56</v>
      </c>
      <c r="AC316" t="s">
        <v>56</v>
      </c>
      <c r="AD316" t="s">
        <v>56</v>
      </c>
      <c r="AE316" t="s">
        <v>56</v>
      </c>
      <c r="AF316" t="s">
        <v>56</v>
      </c>
      <c r="AG316" t="s">
        <v>56</v>
      </c>
      <c r="AH316" t="s">
        <v>56</v>
      </c>
      <c r="AI316" t="s">
        <v>56</v>
      </c>
      <c r="AJ316" t="s">
        <v>56</v>
      </c>
      <c r="AK316" t="s">
        <v>56</v>
      </c>
      <c r="AL316" t="s">
        <v>56</v>
      </c>
      <c r="AM316" t="s">
        <v>56</v>
      </c>
      <c r="AN316" s="19" t="s">
        <v>56</v>
      </c>
      <c r="AO316" t="s">
        <v>56</v>
      </c>
      <c r="AP316" t="s">
        <v>56</v>
      </c>
      <c r="AQ316" t="s">
        <v>56</v>
      </c>
      <c r="AR316" t="s">
        <v>56</v>
      </c>
      <c r="AS316" t="s">
        <v>56</v>
      </c>
      <c r="AT316" t="s">
        <v>56</v>
      </c>
      <c r="AU316" t="s">
        <v>56</v>
      </c>
      <c r="AV316" t="s">
        <v>56</v>
      </c>
      <c r="AW316" t="s">
        <v>56</v>
      </c>
      <c r="AX316" t="s">
        <v>56</v>
      </c>
      <c r="AY316" t="s">
        <v>56</v>
      </c>
      <c r="AZ316" t="s">
        <v>56</v>
      </c>
      <c r="BA316" t="s">
        <v>56</v>
      </c>
      <c r="BB316" t="s">
        <v>56</v>
      </c>
      <c r="BC316" t="s">
        <v>56</v>
      </c>
      <c r="BD316" t="s">
        <v>56</v>
      </c>
      <c r="BE316" t="s">
        <v>56</v>
      </c>
      <c r="BF316" t="s">
        <v>56</v>
      </c>
      <c r="BG316" t="str">
        <f>HYPERLINK(".\links\PREV-RHOD-PEP\TI_asb-517-PREV-RHOD-PEP.txt","Contig8592_6")</f>
        <v>Contig8592_6</v>
      </c>
      <c r="BH316" s="6">
        <v>3.8</v>
      </c>
      <c r="BI316" t="str">
        <f>HYPERLINK(".\links\PREV-RHOD-PEP\TI_asb-517-PREV-RHOD-PEP.txt"," 3")</f>
        <v xml:space="preserve"> 3</v>
      </c>
      <c r="BJ316" t="s">
        <v>3036</v>
      </c>
      <c r="BK316">
        <v>26.6</v>
      </c>
      <c r="BL316">
        <v>39</v>
      </c>
      <c r="BM316">
        <v>630</v>
      </c>
      <c r="BN316">
        <v>30</v>
      </c>
      <c r="BO316">
        <v>6</v>
      </c>
      <c r="BP316">
        <v>27</v>
      </c>
      <c r="BQ316">
        <v>0</v>
      </c>
      <c r="BR316">
        <v>210</v>
      </c>
      <c r="BS316">
        <v>142</v>
      </c>
      <c r="BT316">
        <v>1</v>
      </c>
      <c r="BU316" t="s">
        <v>64</v>
      </c>
      <c r="BV316" t="s">
        <v>3037</v>
      </c>
      <c r="BW316" t="s">
        <v>56</v>
      </c>
      <c r="BX316" t="str">
        <f>HYPERLINK(".\links\PREV-RHOD-CDS\TI_asb-517-PREV-RHOD-CDS.txt","Contig17942_3")</f>
        <v>Contig17942_3</v>
      </c>
      <c r="BY316" s="6">
        <v>0.04</v>
      </c>
      <c r="BZ316" t="s">
        <v>3038</v>
      </c>
      <c r="CA316">
        <v>38.200000000000003</v>
      </c>
      <c r="CB316">
        <v>18</v>
      </c>
      <c r="CC316">
        <v>1095</v>
      </c>
      <c r="CD316">
        <v>100</v>
      </c>
      <c r="CE316">
        <v>2</v>
      </c>
      <c r="CF316">
        <v>0</v>
      </c>
      <c r="CG316">
        <v>0</v>
      </c>
      <c r="CH316">
        <v>632</v>
      </c>
      <c r="CI316">
        <v>281</v>
      </c>
      <c r="CJ316">
        <v>1</v>
      </c>
      <c r="CK316" t="s">
        <v>54</v>
      </c>
      <c r="CL316" t="s">
        <v>3039</v>
      </c>
      <c r="CM316">
        <f>HYPERLINK(".\links\GO\TI_asb-517-GO.txt",4.2)</f>
        <v>4.2</v>
      </c>
      <c r="CN316" t="s">
        <v>3040</v>
      </c>
      <c r="CO316" t="s">
        <v>129</v>
      </c>
      <c r="CP316" t="s">
        <v>151</v>
      </c>
      <c r="CQ316" t="s">
        <v>3041</v>
      </c>
      <c r="CR316" s="6">
        <v>4.2</v>
      </c>
      <c r="CS316" t="s">
        <v>3042</v>
      </c>
      <c r="CT316" t="s">
        <v>75</v>
      </c>
      <c r="CU316" t="s">
        <v>3043</v>
      </c>
      <c r="CV316" t="s">
        <v>3044</v>
      </c>
      <c r="CW316" s="6">
        <v>4.2</v>
      </c>
      <c r="CX316" t="s">
        <v>3045</v>
      </c>
      <c r="CY316" t="s">
        <v>129</v>
      </c>
      <c r="CZ316" t="s">
        <v>151</v>
      </c>
      <c r="DA316" t="s">
        <v>3046</v>
      </c>
      <c r="DB316" s="6">
        <v>4.2</v>
      </c>
      <c r="DC316" t="s">
        <v>56</v>
      </c>
      <c r="DD316" t="s">
        <v>56</v>
      </c>
      <c r="DE316" t="s">
        <v>56</v>
      </c>
      <c r="DF316" t="str">
        <f>HYPERLINK(".\links\PFAM\TI_asb-517-PFAM.txt","YMF19")</f>
        <v>YMF19</v>
      </c>
      <c r="DG316" t="str">
        <f>HYPERLINK("http://pfam.sanger.ac.uk/family?acc=PF02326","0.027")</f>
        <v>0.027</v>
      </c>
      <c r="DH316" t="str">
        <f>HYPERLINK(".\links\PRK\TI_asb-517-PRK.txt","NADH dehydrogenase subunit 5")</f>
        <v>NADH dehydrogenase subunit 5</v>
      </c>
      <c r="DI316" s="7">
        <v>5.9999999999999995E-4</v>
      </c>
      <c r="DJ316" s="6" t="str">
        <f>HYPERLINK(".\links\KOG\TI_asb-517-KOG.txt","Nuclear protein, contains WD40 repeats")</f>
        <v>Nuclear protein, contains WD40 repeats</v>
      </c>
      <c r="DK316" s="6" t="str">
        <f>HYPERLINK("http://www.ncbi.nlm.nih.gov/COG/grace/shokog.cgi?KOG1916","0.0")</f>
        <v>0.0</v>
      </c>
      <c r="DL316" s="6" t="s">
        <v>4337</v>
      </c>
      <c r="DM316" s="6" t="str">
        <f>HYPERLINK(".\links\KOG\TI_asb-517-KOG.txt","KOG1916")</f>
        <v>KOG1916</v>
      </c>
      <c r="DN316" t="s">
        <v>56</v>
      </c>
      <c r="DO316" t="s">
        <v>56</v>
      </c>
      <c r="DP316" s="3" t="s">
        <v>56</v>
      </c>
      <c r="ED316" s="3" t="s">
        <v>56</v>
      </c>
    </row>
    <row r="317" spans="1:134">
      <c r="A317" t="str">
        <f>HYPERLINK(".\links\seq\TI_asb-518-seq.txt","TI_asb-518")</f>
        <v>TI_asb-518</v>
      </c>
      <c r="B317">
        <v>518</v>
      </c>
      <c r="C317" t="str">
        <f>HYPERLINK(".\links\tsa\TI_asb-518-tsa.txt","1")</f>
        <v>1</v>
      </c>
      <c r="D317">
        <v>1</v>
      </c>
      <c r="E317">
        <v>640</v>
      </c>
      <c r="G317" t="str">
        <f>HYPERLINK(".\links\qual\TI_asb-518-qual.txt","39")</f>
        <v>39</v>
      </c>
      <c r="H317">
        <v>0</v>
      </c>
      <c r="I317">
        <v>1</v>
      </c>
      <c r="J317">
        <f t="shared" si="16"/>
        <v>1</v>
      </c>
      <c r="K317" s="6">
        <f t="shared" si="17"/>
        <v>-1</v>
      </c>
      <c r="L317" s="6" t="s">
        <v>3868</v>
      </c>
      <c r="M317" s="6" t="s">
        <v>3869</v>
      </c>
      <c r="N317" s="6"/>
      <c r="O317" s="6"/>
      <c r="P317" s="6"/>
      <c r="Q317" s="3">
        <v>640</v>
      </c>
      <c r="R317" s="3">
        <v>153</v>
      </c>
      <c r="S317" s="6" t="s">
        <v>3796</v>
      </c>
      <c r="T317" s="3">
        <v>3</v>
      </c>
      <c r="U317" t="s">
        <v>56</v>
      </c>
      <c r="V317" t="s">
        <v>56</v>
      </c>
      <c r="W317" t="s">
        <v>56</v>
      </c>
      <c r="X317" t="s">
        <v>56</v>
      </c>
      <c r="Y317" t="s">
        <v>56</v>
      </c>
      <c r="Z317" t="s">
        <v>56</v>
      </c>
      <c r="AA317" t="s">
        <v>56</v>
      </c>
      <c r="AB317" t="s">
        <v>56</v>
      </c>
      <c r="AC317" t="s">
        <v>56</v>
      </c>
      <c r="AD317" t="s">
        <v>56</v>
      </c>
      <c r="AE317" t="s">
        <v>56</v>
      </c>
      <c r="AF317" t="s">
        <v>56</v>
      </c>
      <c r="AG317" t="s">
        <v>56</v>
      </c>
      <c r="AH317" t="s">
        <v>56</v>
      </c>
      <c r="AI317" t="s">
        <v>56</v>
      </c>
      <c r="AJ317" t="s">
        <v>56</v>
      </c>
      <c r="AK317" t="s">
        <v>56</v>
      </c>
      <c r="AL317" t="s">
        <v>56</v>
      </c>
      <c r="AM317" t="str">
        <f>HYPERLINK(".\links\SWISSP\TI_asb-518-SWISSP.txt","tRNA (guanine-N(7)-)-methyltransferase OS=Buchnera aphidicola subsp. Schizaphis")</f>
        <v>tRNA (guanine-N(7)-)-methyltransferase OS=Buchnera aphidicola subsp. Schizaphis</v>
      </c>
      <c r="AN317" s="19" t="str">
        <f>HYPERLINK("http://www.uniprot.org/uniprot/Q8K927","5.8")</f>
        <v>5.8</v>
      </c>
      <c r="AO317" t="str">
        <f>HYPERLINK(".\links\SWISSP\TI_asb-518-SWISSP.txt"," 1")</f>
        <v xml:space="preserve"> 1</v>
      </c>
      <c r="AP317" t="s">
        <v>3047</v>
      </c>
      <c r="AQ317">
        <v>31.2</v>
      </c>
      <c r="AR317">
        <v>60</v>
      </c>
      <c r="AS317">
        <v>239</v>
      </c>
      <c r="AT317">
        <v>35</v>
      </c>
      <c r="AU317">
        <v>25</v>
      </c>
      <c r="AV317">
        <v>39</v>
      </c>
      <c r="AW317">
        <v>7</v>
      </c>
      <c r="AX317">
        <v>174</v>
      </c>
      <c r="AY317">
        <v>397</v>
      </c>
      <c r="AZ317">
        <v>1</v>
      </c>
      <c r="BA317">
        <v>-2</v>
      </c>
      <c r="BB317" t="s">
        <v>53</v>
      </c>
      <c r="BC317" t="s">
        <v>64</v>
      </c>
      <c r="BD317" t="s">
        <v>316</v>
      </c>
      <c r="BE317" t="s">
        <v>3048</v>
      </c>
      <c r="BF317" t="s">
        <v>3049</v>
      </c>
      <c r="BG317" t="str">
        <f>HYPERLINK(".\links\PREV-RHOD-PEP\TI_asb-518-PREV-RHOD-PEP.txt","Contig15674_1")</f>
        <v>Contig15674_1</v>
      </c>
      <c r="BH317" s="6">
        <v>4</v>
      </c>
      <c r="BI317" t="str">
        <f>HYPERLINK(".\links\PREV-RHOD-PEP\TI_asb-518-PREV-RHOD-PEP.txt"," 1")</f>
        <v xml:space="preserve"> 1</v>
      </c>
      <c r="BJ317" t="s">
        <v>3050</v>
      </c>
      <c r="BK317">
        <v>27.7</v>
      </c>
      <c r="BL317">
        <v>83</v>
      </c>
      <c r="BM317">
        <v>239</v>
      </c>
      <c r="BN317">
        <v>24</v>
      </c>
      <c r="BO317">
        <v>35</v>
      </c>
      <c r="BP317">
        <v>63</v>
      </c>
      <c r="BQ317">
        <v>1</v>
      </c>
      <c r="BR317">
        <v>78</v>
      </c>
      <c r="BS317">
        <v>355</v>
      </c>
      <c r="BT317">
        <v>2</v>
      </c>
      <c r="BU317" t="s">
        <v>64</v>
      </c>
      <c r="BV317" t="s">
        <v>3051</v>
      </c>
      <c r="BW317" t="s">
        <v>56</v>
      </c>
      <c r="BX317" t="str">
        <f>HYPERLINK(".\links\PREV-RHOD-CDS\TI_asb-518-PREV-RHOD-CDS.txt","Contig17877_79")</f>
        <v>Contig17877_79</v>
      </c>
      <c r="BY317" s="6">
        <v>0.02</v>
      </c>
      <c r="BZ317" t="s">
        <v>3052</v>
      </c>
      <c r="CA317">
        <v>40.1</v>
      </c>
      <c r="CB317">
        <v>19</v>
      </c>
      <c r="CC317">
        <v>822</v>
      </c>
      <c r="CD317">
        <v>100</v>
      </c>
      <c r="CE317">
        <v>2</v>
      </c>
      <c r="CF317">
        <v>0</v>
      </c>
      <c r="CG317">
        <v>0</v>
      </c>
      <c r="CH317">
        <v>53</v>
      </c>
      <c r="CI317">
        <v>64</v>
      </c>
      <c r="CJ317">
        <v>1</v>
      </c>
      <c r="CK317" t="s">
        <v>54</v>
      </c>
      <c r="CL317" t="s">
        <v>3053</v>
      </c>
      <c r="CM317">
        <f>HYPERLINK(".\links\GO\TI_asb-518-GO.txt",6.3)</f>
        <v>6.3</v>
      </c>
      <c r="CN317" t="s">
        <v>58</v>
      </c>
      <c r="CO317" t="s">
        <v>58</v>
      </c>
      <c r="CQ317" t="s">
        <v>59</v>
      </c>
      <c r="CR317" s="6">
        <v>6.3</v>
      </c>
      <c r="CS317" t="s">
        <v>56</v>
      </c>
      <c r="CT317" t="s">
        <v>56</v>
      </c>
      <c r="CU317" t="s">
        <v>56</v>
      </c>
      <c r="CV317" t="s">
        <v>56</v>
      </c>
      <c r="CW317" s="6" t="s">
        <v>56</v>
      </c>
      <c r="CX317" t="s">
        <v>62</v>
      </c>
      <c r="CY317" t="s">
        <v>58</v>
      </c>
      <c r="DA317" t="s">
        <v>63</v>
      </c>
      <c r="DB317" s="6">
        <v>6.3</v>
      </c>
      <c r="DC317" t="str">
        <f>HYPERLINK(".\links\CDD\TI_asb-518-CDD.txt","Pox_G5")</f>
        <v>Pox_G5</v>
      </c>
      <c r="DD317" t="str">
        <f>HYPERLINK("http://www.ncbi.nlm.nih.gov/Structure/cdd/cddsrv.cgi?uid=pfam04599&amp;version=v4.0","0.007")</f>
        <v>0.007</v>
      </c>
      <c r="DE317" t="s">
        <v>3054</v>
      </c>
      <c r="DF317" t="str">
        <f>HYPERLINK(".\links\PFAM\TI_asb-518-PFAM.txt","Pox_G5")</f>
        <v>Pox_G5</v>
      </c>
      <c r="DG317" t="str">
        <f>HYPERLINK("http://pfam.sanger.ac.uk/family?acc=PF04599","0.002")</f>
        <v>0.002</v>
      </c>
      <c r="DH317" t="s">
        <v>56</v>
      </c>
      <c r="DI317" s="6" t="s">
        <v>56</v>
      </c>
      <c r="DJ317" s="6" t="s">
        <v>56</v>
      </c>
      <c r="DN317" t="s">
        <v>56</v>
      </c>
      <c r="DO317" t="s">
        <v>56</v>
      </c>
      <c r="DP317" s="3" t="s">
        <v>56</v>
      </c>
      <c r="ED317" s="3" t="s">
        <v>56</v>
      </c>
    </row>
    <row r="318" spans="1:134">
      <c r="A318" t="str">
        <f>HYPERLINK(".\links\seq\TI_asb-519-seq.txt","TI_asb-519")</f>
        <v>TI_asb-519</v>
      </c>
      <c r="B318">
        <v>519</v>
      </c>
      <c r="C318" t="str">
        <f>HYPERLINK(".\links\tsa\TI_asb-519-tsa.txt","1")</f>
        <v>1</v>
      </c>
      <c r="D318">
        <v>1</v>
      </c>
      <c r="E318">
        <v>719</v>
      </c>
      <c r="F318">
        <v>696</v>
      </c>
      <c r="G318" t="str">
        <f>HYPERLINK(".\links\qual\TI_asb-519-qual.txt","57")</f>
        <v>57</v>
      </c>
      <c r="H318">
        <v>0</v>
      </c>
      <c r="I318">
        <v>1</v>
      </c>
      <c r="J318">
        <f t="shared" si="16"/>
        <v>1</v>
      </c>
      <c r="K318" s="6">
        <f t="shared" si="17"/>
        <v>-1</v>
      </c>
      <c r="L318" s="6" t="s">
        <v>4034</v>
      </c>
      <c r="M318" s="6" t="s">
        <v>3892</v>
      </c>
      <c r="N318" s="6" t="s">
        <v>3864</v>
      </c>
      <c r="O318" s="6">
        <v>1.0000000000000001E-15</v>
      </c>
      <c r="P318" s="6">
        <v>25</v>
      </c>
      <c r="Q318" s="3">
        <v>719</v>
      </c>
      <c r="R318" s="3">
        <v>663</v>
      </c>
      <c r="S318" s="3" t="s">
        <v>3797</v>
      </c>
      <c r="T318" s="3">
        <v>3</v>
      </c>
      <c r="U318" t="str">
        <f>HYPERLINK(".\links\NR-LIGHT\TI_asb-519-NR-LIGHT.txt","reverse transcriptase")</f>
        <v>reverse transcriptase</v>
      </c>
      <c r="V318" t="str">
        <f>HYPERLINK("http://www.ncbi.nlm.nih.gov/sutils/blink.cgi?pid=40457592","1E-015")</f>
        <v>1E-015</v>
      </c>
      <c r="W318" t="str">
        <f>HYPERLINK(".\links\NR-LIGHT\TI_asb-519-NR-LIGHT.txt"," 10")</f>
        <v xml:space="preserve"> 10</v>
      </c>
      <c r="X318" t="str">
        <f>HYPERLINK("http://www.ncbi.nlm.nih.gov/protein/40457592","gi|40457592")</f>
        <v>gi|40457592</v>
      </c>
      <c r="Y318">
        <v>85.9</v>
      </c>
      <c r="Z318">
        <v>215</v>
      </c>
      <c r="AA318">
        <v>857</v>
      </c>
      <c r="AB318">
        <v>30</v>
      </c>
      <c r="AC318">
        <v>25</v>
      </c>
      <c r="AD318">
        <v>149</v>
      </c>
      <c r="AE318">
        <v>2</v>
      </c>
      <c r="AF318">
        <v>198</v>
      </c>
      <c r="AG318">
        <v>3</v>
      </c>
      <c r="AH318">
        <v>1</v>
      </c>
      <c r="AI318">
        <v>3</v>
      </c>
      <c r="AJ318" t="s">
        <v>53</v>
      </c>
      <c r="AK318" t="s">
        <v>54</v>
      </c>
      <c r="AL318" t="s">
        <v>143</v>
      </c>
      <c r="AM318" t="str">
        <f>HYPERLINK(".\links\SWISSP\TI_asb-519-SWISSP.txt","Trigger factor OS=Buchnera aphidicola subsp. Schizaphis graminum GN=tig PE=3")</f>
        <v>Trigger factor OS=Buchnera aphidicola subsp. Schizaphis graminum GN=tig PE=3</v>
      </c>
      <c r="AN318" s="19" t="str">
        <f>HYPERLINK("http://www.uniprot.org/uniprot/Q8K991","0.002")</f>
        <v>0.002</v>
      </c>
      <c r="AO318" t="str">
        <f>HYPERLINK(".\links\SWISSP\TI_asb-519-SWISSP.txt"," 10")</f>
        <v xml:space="preserve"> 10</v>
      </c>
      <c r="AP318" t="s">
        <v>3055</v>
      </c>
      <c r="AQ318">
        <v>43.1</v>
      </c>
      <c r="AR318">
        <v>193</v>
      </c>
      <c r="AS318">
        <v>442</v>
      </c>
      <c r="AT318">
        <v>24</v>
      </c>
      <c r="AU318">
        <v>44</v>
      </c>
      <c r="AV318">
        <v>146</v>
      </c>
      <c r="AW318">
        <v>6</v>
      </c>
      <c r="AX318">
        <v>117</v>
      </c>
      <c r="AY318">
        <v>66</v>
      </c>
      <c r="AZ318">
        <v>1</v>
      </c>
      <c r="BA318">
        <v>3</v>
      </c>
      <c r="BB318" t="s">
        <v>53</v>
      </c>
      <c r="BC318" t="s">
        <v>54</v>
      </c>
      <c r="BD318" t="s">
        <v>316</v>
      </c>
      <c r="BE318" t="s">
        <v>3056</v>
      </c>
      <c r="BF318" t="s">
        <v>3057</v>
      </c>
      <c r="BG318" t="str">
        <f>HYPERLINK(".\links\PREV-RHOD-PEP\TI_asb-519-PREV-RHOD-PEP.txt","Contig17306_22")</f>
        <v>Contig17306_22</v>
      </c>
      <c r="BH318" s="6">
        <v>1.7000000000000001E-2</v>
      </c>
      <c r="BI318" t="str">
        <f>HYPERLINK(".\links\PREV-RHOD-PEP\TI_asb-519-PREV-RHOD-PEP.txt"," 10")</f>
        <v xml:space="preserve"> 10</v>
      </c>
      <c r="BJ318" t="s">
        <v>3058</v>
      </c>
      <c r="BK318">
        <v>35.799999999999997</v>
      </c>
      <c r="BL318">
        <v>68</v>
      </c>
      <c r="BM318">
        <v>1132</v>
      </c>
      <c r="BN318">
        <v>35</v>
      </c>
      <c r="BO318">
        <v>6</v>
      </c>
      <c r="BP318">
        <v>44</v>
      </c>
      <c r="BQ318">
        <v>2</v>
      </c>
      <c r="BR318">
        <v>986</v>
      </c>
      <c r="BS318">
        <v>243</v>
      </c>
      <c r="BT318">
        <v>1</v>
      </c>
      <c r="BU318" t="s">
        <v>54</v>
      </c>
      <c r="BV318" t="s">
        <v>3059</v>
      </c>
      <c r="BW318" t="s">
        <v>56</v>
      </c>
      <c r="BX318" t="str">
        <f>HYPERLINK(".\links\PREV-RHOD-CDS\TI_asb-519-PREV-RHOD-CDS.txt","Contig17793_24")</f>
        <v>Contig17793_24</v>
      </c>
      <c r="BY318" s="6">
        <v>0.36</v>
      </c>
      <c r="BZ318" t="s">
        <v>3060</v>
      </c>
      <c r="CA318">
        <v>36.200000000000003</v>
      </c>
      <c r="CB318">
        <v>17</v>
      </c>
      <c r="CC318">
        <v>1203</v>
      </c>
      <c r="CD318">
        <v>100</v>
      </c>
      <c r="CE318">
        <v>1</v>
      </c>
      <c r="CF318">
        <v>0</v>
      </c>
      <c r="CG318">
        <v>0</v>
      </c>
      <c r="CH318">
        <v>393</v>
      </c>
      <c r="CI318">
        <v>580</v>
      </c>
      <c r="CJ318">
        <v>1</v>
      </c>
      <c r="CK318" t="s">
        <v>54</v>
      </c>
      <c r="CL318" t="s">
        <v>3061</v>
      </c>
      <c r="CM318">
        <f>HYPERLINK(".\links\GO\TI_asb-519-GO.txt",0.022)</f>
        <v>2.1999999999999999E-2</v>
      </c>
      <c r="CN318" t="s">
        <v>58</v>
      </c>
      <c r="CO318" t="s">
        <v>58</v>
      </c>
      <c r="CQ318" t="s">
        <v>59</v>
      </c>
      <c r="CR318" s="6">
        <v>2.1999999999999999E-2</v>
      </c>
      <c r="CS318" t="s">
        <v>60</v>
      </c>
      <c r="CT318" t="s">
        <v>60</v>
      </c>
      <c r="CV318" t="s">
        <v>61</v>
      </c>
      <c r="CW318" s="6">
        <v>2.1999999999999999E-2</v>
      </c>
      <c r="CX318" t="s">
        <v>62</v>
      </c>
      <c r="CY318" t="s">
        <v>58</v>
      </c>
      <c r="DA318" t="s">
        <v>63</v>
      </c>
      <c r="DB318" s="6">
        <v>2.1999999999999999E-2</v>
      </c>
      <c r="DC318" t="str">
        <f>HYPERLINK(".\links\CDD\TI_asb-519-CDD.txt","Serpentine_recp")</f>
        <v>Serpentine_recp</v>
      </c>
      <c r="DD318" t="str">
        <f>HYPERLINK("http://www.ncbi.nlm.nih.gov/Structure/cdd/cddsrv.cgi?uid=pfam01748&amp;version=v4.0","3E-005")</f>
        <v>3E-005</v>
      </c>
      <c r="DE318" t="s">
        <v>3062</v>
      </c>
      <c r="DF318" t="str">
        <f>HYPERLINK(".\links\PFAM\TI_asb-519-PFAM.txt","7tm_7")</f>
        <v>7tm_7</v>
      </c>
      <c r="DG318" t="str">
        <f>HYPERLINK("http://pfam.sanger.ac.uk/family?acc=PF08395","2E-008")</f>
        <v>2E-008</v>
      </c>
      <c r="DH318" t="str">
        <f>HYPERLINK(".\links\PRK\TI_asb-519-PRK.txt","NADH dehydrogenase subunit 5")</f>
        <v>NADH dehydrogenase subunit 5</v>
      </c>
      <c r="DI318" s="7">
        <v>4.0000000000000002E-9</v>
      </c>
      <c r="DJ318" s="6" t="str">
        <f>HYPERLINK(".\links\KOG\TI_asb-519-KOG.txt","Nuclear protein, contains WD40 repeats")</f>
        <v>Nuclear protein, contains WD40 repeats</v>
      </c>
      <c r="DK318" s="6" t="str">
        <f>HYPERLINK("http://www.ncbi.nlm.nih.gov/COG/grace/shokog.cgi?KOG1916","0.0")</f>
        <v>0.0</v>
      </c>
      <c r="DL318" s="6" t="s">
        <v>4337</v>
      </c>
      <c r="DM318" s="6" t="str">
        <f>HYPERLINK(".\links\KOG\TI_asb-519-KOG.txt","KOG1916")</f>
        <v>KOG1916</v>
      </c>
      <c r="DN318" t="str">
        <f>HYPERLINK(".\links\SMART\TI_asb-519-SMART.txt","PSN")</f>
        <v>PSN</v>
      </c>
      <c r="DO318" t="str">
        <f>HYPERLINK("http://smart.embl-heidelberg.de/smart/do_annotation.pl?DOMAIN=PSN&amp;BLAST=DUMMY","2E-004")</f>
        <v>2E-004</v>
      </c>
      <c r="DP318" s="3" t="s">
        <v>56</v>
      </c>
      <c r="ED318" s="3" t="s">
        <v>56</v>
      </c>
    </row>
    <row r="319" spans="1:134">
      <c r="A319" t="str">
        <f>HYPERLINK(".\links\seq\TI_asb-520-seq.txt","TI_asb-520")</f>
        <v>TI_asb-520</v>
      </c>
      <c r="B319">
        <v>520</v>
      </c>
      <c r="C319" t="str">
        <f>HYPERLINK(".\links\tsa\TI_asb-520-tsa.txt","1")</f>
        <v>1</v>
      </c>
      <c r="D319">
        <v>1</v>
      </c>
      <c r="E319">
        <v>673</v>
      </c>
      <c r="G319" t="str">
        <f>HYPERLINK(".\links\qual\TI_asb-520-qual.txt","58")</f>
        <v>58</v>
      </c>
      <c r="H319">
        <v>1</v>
      </c>
      <c r="I319">
        <v>0</v>
      </c>
      <c r="J319">
        <f t="shared" si="16"/>
        <v>1</v>
      </c>
      <c r="K319" s="6">
        <f t="shared" si="17"/>
        <v>1</v>
      </c>
      <c r="L319" s="6" t="s">
        <v>3868</v>
      </c>
      <c r="M319" s="6" t="s">
        <v>3869</v>
      </c>
      <c r="N319" s="6"/>
      <c r="O319" s="6"/>
      <c r="P319" s="6"/>
      <c r="Q319" s="3">
        <v>673</v>
      </c>
      <c r="R319" s="3">
        <v>135</v>
      </c>
      <c r="S319" s="6" t="s">
        <v>3798</v>
      </c>
      <c r="T319" s="3">
        <v>5</v>
      </c>
      <c r="U319" t="str">
        <f>HYPERLINK(".\links\NR-LIGHT\TI_asb-520-NR-LIGHT.txt","unnamed protein product")</f>
        <v>unnamed protein product</v>
      </c>
      <c r="V319" t="str">
        <f>HYPERLINK("http://www.ncbi.nlm.nih.gov/sutils/blink.cgi?pid=3721645","3.2")</f>
        <v>3.2</v>
      </c>
      <c r="W319" t="str">
        <f>HYPERLINK(".\links\NR-LIGHT\TI_asb-520-NR-LIGHT.txt"," 2")</f>
        <v xml:space="preserve"> 2</v>
      </c>
      <c r="X319" t="str">
        <f>HYPERLINK("http://www.ncbi.nlm.nih.gov/protein/3721645","gi|3721645")</f>
        <v>gi|3721645</v>
      </c>
      <c r="Y319">
        <v>34.299999999999997</v>
      </c>
      <c r="Z319">
        <v>46</v>
      </c>
      <c r="AA319">
        <v>482</v>
      </c>
      <c r="AB319">
        <v>41</v>
      </c>
      <c r="AC319">
        <v>10</v>
      </c>
      <c r="AD319">
        <v>27</v>
      </c>
      <c r="AE319">
        <v>4</v>
      </c>
      <c r="AF319">
        <v>18</v>
      </c>
      <c r="AG319">
        <v>390</v>
      </c>
      <c r="AH319">
        <v>1</v>
      </c>
      <c r="AI319">
        <v>-3</v>
      </c>
      <c r="AJ319" t="s">
        <v>53</v>
      </c>
      <c r="AK319" t="s">
        <v>64</v>
      </c>
      <c r="AL319" t="s">
        <v>279</v>
      </c>
      <c r="AM319" t="s">
        <v>56</v>
      </c>
      <c r="AN319" s="19" t="s">
        <v>56</v>
      </c>
      <c r="AO319" t="s">
        <v>56</v>
      </c>
      <c r="AP319" t="s">
        <v>56</v>
      </c>
      <c r="AQ319" t="s">
        <v>56</v>
      </c>
      <c r="AR319" t="s">
        <v>56</v>
      </c>
      <c r="AS319" t="s">
        <v>56</v>
      </c>
      <c r="AT319" t="s">
        <v>56</v>
      </c>
      <c r="AU319" t="s">
        <v>56</v>
      </c>
      <c r="AV319" t="s">
        <v>56</v>
      </c>
      <c r="AW319" t="s">
        <v>56</v>
      </c>
      <c r="AX319" t="s">
        <v>56</v>
      </c>
      <c r="AY319" t="s">
        <v>56</v>
      </c>
      <c r="AZ319" t="s">
        <v>56</v>
      </c>
      <c r="BA319" t="s">
        <v>56</v>
      </c>
      <c r="BB319" t="s">
        <v>56</v>
      </c>
      <c r="BC319" t="s">
        <v>56</v>
      </c>
      <c r="BD319" t="s">
        <v>56</v>
      </c>
      <c r="BE319" t="s">
        <v>56</v>
      </c>
      <c r="BF319" t="s">
        <v>56</v>
      </c>
      <c r="BG319" t="str">
        <f>HYPERLINK(".\links\PREV-RHOD-PEP\TI_asb-520-PREV-RHOD-PEP.txt","Contig17830_62")</f>
        <v>Contig17830_62</v>
      </c>
      <c r="BH319" s="6">
        <v>4.4000000000000004</v>
      </c>
      <c r="BI319" t="str">
        <f>HYPERLINK(".\links\PREV-RHOD-PEP\TI_asb-520-PREV-RHOD-PEP.txt"," 1")</f>
        <v xml:space="preserve"> 1</v>
      </c>
      <c r="BJ319" t="s">
        <v>3063</v>
      </c>
      <c r="BK319">
        <v>27.7</v>
      </c>
      <c r="BL319">
        <v>22</v>
      </c>
      <c r="BM319">
        <v>319</v>
      </c>
      <c r="BN319">
        <v>45</v>
      </c>
      <c r="BO319">
        <v>7</v>
      </c>
      <c r="BP319">
        <v>12</v>
      </c>
      <c r="BQ319">
        <v>0</v>
      </c>
      <c r="BR319">
        <v>108</v>
      </c>
      <c r="BS319">
        <v>256</v>
      </c>
      <c r="BT319">
        <v>1</v>
      </c>
      <c r="BU319" t="s">
        <v>54</v>
      </c>
      <c r="BV319" t="s">
        <v>3064</v>
      </c>
      <c r="BW319" t="s">
        <v>56</v>
      </c>
      <c r="BX319" t="str">
        <f>HYPERLINK(".\links\PREV-RHOD-CDS\TI_asb-520-PREV-RHOD-CDS.txt","Contig17970_205")</f>
        <v>Contig17970_205</v>
      </c>
      <c r="BY319" s="6">
        <v>0.33</v>
      </c>
      <c r="BZ319" t="s">
        <v>3065</v>
      </c>
      <c r="CA319">
        <v>36.200000000000003</v>
      </c>
      <c r="CB319">
        <v>17</v>
      </c>
      <c r="CC319">
        <v>1449</v>
      </c>
      <c r="CD319">
        <v>100</v>
      </c>
      <c r="CE319">
        <v>1</v>
      </c>
      <c r="CF319">
        <v>0</v>
      </c>
      <c r="CG319">
        <v>0</v>
      </c>
      <c r="CH319">
        <v>208</v>
      </c>
      <c r="CI319">
        <v>307</v>
      </c>
      <c r="CJ319">
        <v>1</v>
      </c>
      <c r="CK319" t="s">
        <v>54</v>
      </c>
      <c r="CL319" t="s">
        <v>56</v>
      </c>
      <c r="CM319" t="s">
        <v>56</v>
      </c>
      <c r="CN319" t="s">
        <v>56</v>
      </c>
      <c r="CO319" t="s">
        <v>56</v>
      </c>
      <c r="CP319" t="s">
        <v>56</v>
      </c>
      <c r="CQ319" t="s">
        <v>56</v>
      </c>
      <c r="CR319" s="6" t="s">
        <v>56</v>
      </c>
      <c r="CS319" t="s">
        <v>56</v>
      </c>
      <c r="CT319" t="s">
        <v>56</v>
      </c>
      <c r="CU319" t="s">
        <v>56</v>
      </c>
      <c r="CV319" t="s">
        <v>56</v>
      </c>
      <c r="CW319" s="6" t="s">
        <v>56</v>
      </c>
      <c r="CX319" t="s">
        <v>56</v>
      </c>
      <c r="CY319" t="s">
        <v>56</v>
      </c>
      <c r="CZ319" t="s">
        <v>56</v>
      </c>
      <c r="DA319" t="s">
        <v>56</v>
      </c>
      <c r="DB319" s="6" t="s">
        <v>56</v>
      </c>
      <c r="DC319" t="s">
        <v>56</v>
      </c>
      <c r="DD319" t="s">
        <v>56</v>
      </c>
      <c r="DE319" t="s">
        <v>56</v>
      </c>
      <c r="DF319" t="s">
        <v>56</v>
      </c>
      <c r="DG319" t="s">
        <v>56</v>
      </c>
      <c r="DH319" t="str">
        <f>HYPERLINK(".\links\PRK\TI_asb-520-PRK.txt","NADH dehydrogenase subunit 4")</f>
        <v>NADH dehydrogenase subunit 4</v>
      </c>
      <c r="DI319" s="6">
        <v>7.6999999999999999E-2</v>
      </c>
      <c r="DJ319" s="6" t="s">
        <v>56</v>
      </c>
      <c r="DN319" t="s">
        <v>56</v>
      </c>
      <c r="DO319" t="s">
        <v>56</v>
      </c>
      <c r="DP319" s="3" t="s">
        <v>56</v>
      </c>
      <c r="ED319" s="3" t="s">
        <v>56</v>
      </c>
    </row>
    <row r="320" spans="1:134">
      <c r="A320" t="str">
        <f>HYPERLINK(".\links\seq\TI_asb-521-seq.txt","TI_asb-521")</f>
        <v>TI_asb-521</v>
      </c>
      <c r="B320">
        <v>521</v>
      </c>
      <c r="C320" t="str">
        <f>HYPERLINK(".\links\tsa\TI_asb-521-tsa.txt","17")</f>
        <v>17</v>
      </c>
      <c r="D320">
        <v>17</v>
      </c>
      <c r="E320">
        <v>1031</v>
      </c>
      <c r="F320">
        <v>1012</v>
      </c>
      <c r="G320" t="str">
        <f>HYPERLINK(".\links\qual\TI_asb-521-qual.txt","87")</f>
        <v>87</v>
      </c>
      <c r="H320">
        <v>9</v>
      </c>
      <c r="I320">
        <v>8</v>
      </c>
      <c r="J320">
        <f t="shared" si="16"/>
        <v>1</v>
      </c>
      <c r="K320" s="6">
        <f t="shared" si="17"/>
        <v>1</v>
      </c>
      <c r="L320" s="6" t="s">
        <v>3933</v>
      </c>
      <c r="M320" s="6" t="s">
        <v>3934</v>
      </c>
      <c r="N320" s="6" t="s">
        <v>3864</v>
      </c>
      <c r="O320" s="7">
        <v>4.0000000000000003E-68</v>
      </c>
      <c r="P320" s="6">
        <v>8.5</v>
      </c>
      <c r="Q320" s="3">
        <v>1031</v>
      </c>
      <c r="R320" s="3">
        <v>492</v>
      </c>
      <c r="S320" s="3" t="s">
        <v>3799</v>
      </c>
      <c r="T320" s="3">
        <v>3</v>
      </c>
      <c r="U320" t="str">
        <f>HYPERLINK(".\links\NR-LIGHT\TI_asb-521-NR-LIGHT.txt","nonstructural protein precursor")</f>
        <v>nonstructural protein precursor</v>
      </c>
      <c r="V320" t="str">
        <f>HYPERLINK("http://www.ncbi.nlm.nih.gov/sutils/blink.cgi?pid=20451029","4E-068")</f>
        <v>4E-068</v>
      </c>
      <c r="W320" t="str">
        <f>HYPERLINK(".\links\NR-LIGHT\TI_asb-521-NR-LIGHT.txt"," 3")</f>
        <v xml:space="preserve"> 3</v>
      </c>
      <c r="X320" t="str">
        <f>HYPERLINK("http://www.ncbi.nlm.nih.gov/protein/20451029","gi|20451029")</f>
        <v>gi|20451029</v>
      </c>
      <c r="Y320">
        <v>260</v>
      </c>
      <c r="Z320">
        <v>154</v>
      </c>
      <c r="AA320">
        <v>1795</v>
      </c>
      <c r="AB320">
        <v>77</v>
      </c>
      <c r="AC320">
        <v>9</v>
      </c>
      <c r="AD320">
        <v>34</v>
      </c>
      <c r="AE320">
        <v>0</v>
      </c>
      <c r="AF320">
        <v>1</v>
      </c>
      <c r="AG320">
        <v>537</v>
      </c>
      <c r="AH320">
        <v>1</v>
      </c>
      <c r="AI320">
        <v>3</v>
      </c>
      <c r="AJ320" t="s">
        <v>53</v>
      </c>
      <c r="AK320" t="s">
        <v>54</v>
      </c>
      <c r="AL320" t="s">
        <v>137</v>
      </c>
      <c r="AM320" t="str">
        <f>HYPERLINK(".\links\SWISSP\TI_asb-521-SWISSP.txt","Valyl-tRNA synthetase OS=Borrelia garinii GN=valS PE=3 SV=1")</f>
        <v>Valyl-tRNA synthetase OS=Borrelia garinii GN=valS PE=3 SV=1</v>
      </c>
      <c r="AN320" s="19" t="str">
        <f>HYPERLINK("http://www.uniprot.org/uniprot/Q660D6","7.4")</f>
        <v>7.4</v>
      </c>
      <c r="AO320" t="str">
        <f>HYPERLINK(".\links\SWISSP\TI_asb-521-SWISSP.txt"," 1")</f>
        <v xml:space="preserve"> 1</v>
      </c>
      <c r="AP320" t="s">
        <v>3066</v>
      </c>
      <c r="AQ320">
        <v>32</v>
      </c>
      <c r="AR320">
        <v>43</v>
      </c>
      <c r="AS320">
        <v>875</v>
      </c>
      <c r="AT320">
        <v>46</v>
      </c>
      <c r="AU320">
        <v>5</v>
      </c>
      <c r="AV320">
        <v>23</v>
      </c>
      <c r="AW320">
        <v>1</v>
      </c>
      <c r="AX320">
        <v>595</v>
      </c>
      <c r="AY320">
        <v>744</v>
      </c>
      <c r="AZ320">
        <v>1</v>
      </c>
      <c r="BA320">
        <v>3</v>
      </c>
      <c r="BB320" t="s">
        <v>53</v>
      </c>
      <c r="BC320" t="s">
        <v>54</v>
      </c>
      <c r="BD320" t="s">
        <v>3067</v>
      </c>
      <c r="BE320" t="s">
        <v>3068</v>
      </c>
      <c r="BF320" t="s">
        <v>3069</v>
      </c>
      <c r="BG320" t="str">
        <f>HYPERLINK(".\links\PREV-RHOD-PEP\TI_asb-521-PREV-RHOD-PEP.txt","Contig17380_44")</f>
        <v>Contig17380_44</v>
      </c>
      <c r="BH320" s="6">
        <v>1.6</v>
      </c>
      <c r="BI320" t="str">
        <f>HYPERLINK(".\links\PREV-RHOD-PEP\TI_asb-521-PREV-RHOD-PEP.txt"," 2")</f>
        <v xml:space="preserve"> 2</v>
      </c>
      <c r="BJ320" t="s">
        <v>3070</v>
      </c>
      <c r="BK320">
        <v>30</v>
      </c>
      <c r="BL320">
        <v>36</v>
      </c>
      <c r="BM320">
        <v>513</v>
      </c>
      <c r="BN320">
        <v>33</v>
      </c>
      <c r="BO320">
        <v>7</v>
      </c>
      <c r="BP320">
        <v>24</v>
      </c>
      <c r="BQ320">
        <v>0</v>
      </c>
      <c r="BR320">
        <v>371</v>
      </c>
      <c r="BS320">
        <v>868</v>
      </c>
      <c r="BT320">
        <v>1</v>
      </c>
      <c r="BU320" t="s">
        <v>64</v>
      </c>
      <c r="BV320" t="s">
        <v>3071</v>
      </c>
      <c r="BW320" t="s">
        <v>56</v>
      </c>
      <c r="BX320" t="str">
        <f>HYPERLINK(".\links\PREV-RHOD-CDS\TI_asb-521-PREV-RHOD-CDS.txt","Contig18047_189")</f>
        <v>Contig18047_189</v>
      </c>
      <c r="BY320" s="6">
        <v>0.13</v>
      </c>
      <c r="BZ320" t="s">
        <v>3072</v>
      </c>
      <c r="CA320">
        <v>38.200000000000003</v>
      </c>
      <c r="CB320">
        <v>22</v>
      </c>
      <c r="CC320">
        <v>3873</v>
      </c>
      <c r="CD320">
        <v>95</v>
      </c>
      <c r="CE320">
        <v>1</v>
      </c>
      <c r="CF320">
        <v>1</v>
      </c>
      <c r="CG320">
        <v>0</v>
      </c>
      <c r="CH320">
        <v>623</v>
      </c>
      <c r="CI320">
        <v>564</v>
      </c>
      <c r="CJ320">
        <v>1</v>
      </c>
      <c r="CK320" t="s">
        <v>64</v>
      </c>
      <c r="CL320" t="s">
        <v>56</v>
      </c>
      <c r="CM320" t="s">
        <v>56</v>
      </c>
      <c r="CN320" t="s">
        <v>56</v>
      </c>
      <c r="CO320" t="s">
        <v>56</v>
      </c>
      <c r="CP320" t="s">
        <v>56</v>
      </c>
      <c r="CQ320" t="s">
        <v>56</v>
      </c>
      <c r="CR320" t="s">
        <v>56</v>
      </c>
      <c r="CS320" t="s">
        <v>56</v>
      </c>
      <c r="CT320" t="s">
        <v>56</v>
      </c>
      <c r="CU320" t="s">
        <v>56</v>
      </c>
      <c r="CV320" t="s">
        <v>56</v>
      </c>
      <c r="CW320" t="s">
        <v>56</v>
      </c>
      <c r="CX320" t="s">
        <v>56</v>
      </c>
      <c r="CY320" t="s">
        <v>56</v>
      </c>
      <c r="CZ320" t="s">
        <v>56</v>
      </c>
      <c r="DA320" t="s">
        <v>56</v>
      </c>
      <c r="DB320" t="s">
        <v>56</v>
      </c>
      <c r="DC320" t="str">
        <f>HYPERLINK(".\links\CDD\TI_asb-521-CDD.txt","Cas_DxTHG")</f>
        <v>Cas_DxTHG</v>
      </c>
      <c r="DD320" t="str">
        <f>HYPERLINK("http://www.ncbi.nlm.nih.gov/Structure/cdd/cddsrv.cgi?uid=pfam09455&amp;version=v4.0","0.060")</f>
        <v>0.060</v>
      </c>
      <c r="DE320" t="s">
        <v>3073</v>
      </c>
      <c r="DF320" t="str">
        <f>HYPERLINK(".\links\PFAM\TI_asb-521-PFAM.txt","Cas_DxTHG")</f>
        <v>Cas_DxTHG</v>
      </c>
      <c r="DG320" t="str">
        <f>HYPERLINK("http://pfam.sanger.ac.uk/family?acc=PF09455","0.013")</f>
        <v>0.013</v>
      </c>
      <c r="DH320" t="str">
        <f>HYPERLINK(".\links\PRK\TI_asb-521-PRK.txt","RNA polymerase beta'' subunit")</f>
        <v>RNA polymerase beta'' subunit</v>
      </c>
      <c r="DI320" s="6">
        <v>8.9999999999999993E-3</v>
      </c>
      <c r="DJ320" s="6" t="s">
        <v>56</v>
      </c>
      <c r="DN320" t="s">
        <v>56</v>
      </c>
      <c r="DO320" t="s">
        <v>56</v>
      </c>
      <c r="DP320" s="3" t="s">
        <v>56</v>
      </c>
      <c r="ED320" s="3" t="s">
        <v>56</v>
      </c>
    </row>
    <row r="321" spans="1:147">
      <c r="A321" t="str">
        <f>HYPERLINK(".\links\seq\TI_asb-522-seq.txt","TI_asb-522")</f>
        <v>TI_asb-522</v>
      </c>
      <c r="B321">
        <v>522</v>
      </c>
      <c r="C321" t="str">
        <f>HYPERLINK(".\links\tsa\TI_asb-522-tsa.txt","1")</f>
        <v>1</v>
      </c>
      <c r="D321">
        <v>1</v>
      </c>
      <c r="E321">
        <v>800</v>
      </c>
      <c r="F321">
        <v>776</v>
      </c>
      <c r="G321" t="str">
        <f>HYPERLINK(".\links\qual\TI_asb-522-qual.txt","22")</f>
        <v>22</v>
      </c>
      <c r="H321">
        <v>1</v>
      </c>
      <c r="I321">
        <v>0</v>
      </c>
      <c r="J321">
        <f t="shared" si="16"/>
        <v>1</v>
      </c>
      <c r="K321" s="6">
        <f t="shared" si="17"/>
        <v>1</v>
      </c>
      <c r="L321" s="6" t="s">
        <v>3868</v>
      </c>
      <c r="M321" s="6" t="s">
        <v>3869</v>
      </c>
      <c r="N321" s="6"/>
      <c r="O321" s="6"/>
      <c r="P321" s="6"/>
      <c r="Q321" s="3">
        <v>800</v>
      </c>
      <c r="R321" s="3">
        <v>204</v>
      </c>
      <c r="S321" s="3" t="s">
        <v>3800</v>
      </c>
      <c r="T321" s="3">
        <v>4</v>
      </c>
      <c r="U321" t="str">
        <f>HYPERLINK(".\links\NR-LIGHT\TI_asb-522-NR-LIGHT.txt","UNCoordinated family member (unc-93)")</f>
        <v>UNCoordinated family member (unc-93)</v>
      </c>
      <c r="V321" t="str">
        <f>HYPERLINK("http://www.ncbi.nlm.nih.gov/sutils/blink.cgi?pid=71983415","7.6")</f>
        <v>7.6</v>
      </c>
      <c r="W321" t="str">
        <f>HYPERLINK(".\links\NR-LIGHT\TI_asb-522-NR-LIGHT.txt"," 3")</f>
        <v xml:space="preserve"> 3</v>
      </c>
      <c r="X321" t="str">
        <f>HYPERLINK("http://www.ncbi.nlm.nih.gov/protein/71983415","gi|71983415")</f>
        <v>gi|71983415</v>
      </c>
      <c r="Y321">
        <v>33.5</v>
      </c>
      <c r="Z321">
        <v>56</v>
      </c>
      <c r="AA321">
        <v>700</v>
      </c>
      <c r="AB321">
        <v>37</v>
      </c>
      <c r="AC321">
        <v>8</v>
      </c>
      <c r="AD321">
        <v>35</v>
      </c>
      <c r="AE321">
        <v>7</v>
      </c>
      <c r="AF321">
        <v>278</v>
      </c>
      <c r="AG321">
        <v>558</v>
      </c>
      <c r="AH321">
        <v>1</v>
      </c>
      <c r="AI321">
        <v>-1</v>
      </c>
      <c r="AJ321" t="s">
        <v>53</v>
      </c>
      <c r="AK321" t="s">
        <v>64</v>
      </c>
      <c r="AL321" t="s">
        <v>385</v>
      </c>
      <c r="AM321" t="str">
        <f>HYPERLINK(".\links\SWISSP\TI_asb-522-SWISSP.txt","Putative potassium channel regulatory protein unc-93 OS=Caenorhabditis elegans")</f>
        <v>Putative potassium channel regulatory protein unc-93 OS=Caenorhabditis elegans</v>
      </c>
      <c r="AN321" s="19" t="str">
        <f>HYPERLINK("http://www.uniprot.org/uniprot/Q93380","1.7")</f>
        <v>1.7</v>
      </c>
      <c r="AO321" t="str">
        <f>HYPERLINK(".\links\SWISSP\TI_asb-522-SWISSP.txt"," 3")</f>
        <v xml:space="preserve"> 3</v>
      </c>
      <c r="AP321" t="s">
        <v>3074</v>
      </c>
      <c r="AQ321">
        <v>33.5</v>
      </c>
      <c r="AR321">
        <v>56</v>
      </c>
      <c r="AS321">
        <v>705</v>
      </c>
      <c r="AT321">
        <v>37</v>
      </c>
      <c r="AU321">
        <v>8</v>
      </c>
      <c r="AV321">
        <v>35</v>
      </c>
      <c r="AW321">
        <v>7</v>
      </c>
      <c r="AX321">
        <v>283</v>
      </c>
      <c r="AY321">
        <v>558</v>
      </c>
      <c r="AZ321">
        <v>1</v>
      </c>
      <c r="BA321">
        <v>-1</v>
      </c>
      <c r="BB321" t="s">
        <v>53</v>
      </c>
      <c r="BC321" t="s">
        <v>64</v>
      </c>
      <c r="BD321" t="s">
        <v>385</v>
      </c>
      <c r="BE321" t="s">
        <v>3075</v>
      </c>
      <c r="BF321" t="s">
        <v>3076</v>
      </c>
      <c r="BG321" t="str">
        <f>HYPERLINK(".\links\PREV-RHOD-PEP\TI_asb-522-PREV-RHOD-PEP.txt","Contig17664_69")</f>
        <v>Contig17664_69</v>
      </c>
      <c r="BH321" s="6">
        <v>5.6</v>
      </c>
      <c r="BI321" t="str">
        <f>HYPERLINK(".\links\PREV-RHOD-PEP\TI_asb-522-PREV-RHOD-PEP.txt"," 2")</f>
        <v xml:space="preserve"> 2</v>
      </c>
      <c r="BJ321" t="s">
        <v>3077</v>
      </c>
      <c r="BK321">
        <v>27.7</v>
      </c>
      <c r="BL321">
        <v>37</v>
      </c>
      <c r="BM321">
        <v>1337</v>
      </c>
      <c r="BN321">
        <v>40</v>
      </c>
      <c r="BO321">
        <v>3</v>
      </c>
      <c r="BP321">
        <v>22</v>
      </c>
      <c r="BQ321">
        <v>0</v>
      </c>
      <c r="BR321">
        <v>408</v>
      </c>
      <c r="BS321">
        <v>55</v>
      </c>
      <c r="BT321">
        <v>1</v>
      </c>
      <c r="BU321" t="s">
        <v>64</v>
      </c>
      <c r="BV321" t="s">
        <v>3078</v>
      </c>
      <c r="BW321" t="s">
        <v>56</v>
      </c>
      <c r="BX321" t="str">
        <f>HYPERLINK(".\links\PREV-RHOD-CDS\TI_asb-522-PREV-RHOD-CDS.txt","Contig18045_52")</f>
        <v>Contig18045_52</v>
      </c>
      <c r="BY321" s="6">
        <v>0.1</v>
      </c>
      <c r="BZ321" t="s">
        <v>3079</v>
      </c>
      <c r="CA321">
        <v>38.200000000000003</v>
      </c>
      <c r="CB321">
        <v>22</v>
      </c>
      <c r="CC321">
        <v>750</v>
      </c>
      <c r="CD321">
        <v>95</v>
      </c>
      <c r="CE321">
        <v>3</v>
      </c>
      <c r="CF321">
        <v>1</v>
      </c>
      <c r="CG321">
        <v>0</v>
      </c>
      <c r="CH321">
        <v>703</v>
      </c>
      <c r="CI321">
        <v>640</v>
      </c>
      <c r="CJ321">
        <v>1</v>
      </c>
      <c r="CK321" t="s">
        <v>54</v>
      </c>
      <c r="CL321" t="s">
        <v>3080</v>
      </c>
      <c r="CM321">
        <f>HYPERLINK(".\links\GO\TI_asb-522-GO.txt",0.49)</f>
        <v>0.49</v>
      </c>
      <c r="CN321" t="s">
        <v>208</v>
      </c>
      <c r="CO321" t="s">
        <v>185</v>
      </c>
      <c r="CP321" t="s">
        <v>186</v>
      </c>
      <c r="CQ321" t="s">
        <v>209</v>
      </c>
      <c r="CR321">
        <v>0.49</v>
      </c>
      <c r="CS321" t="s">
        <v>277</v>
      </c>
      <c r="CT321" t="s">
        <v>75</v>
      </c>
      <c r="CU321" t="s">
        <v>92</v>
      </c>
      <c r="CV321" t="s">
        <v>278</v>
      </c>
      <c r="CW321">
        <v>0.49</v>
      </c>
      <c r="CX321" t="s">
        <v>3081</v>
      </c>
      <c r="CY321" t="s">
        <v>185</v>
      </c>
      <c r="CZ321" t="s">
        <v>186</v>
      </c>
      <c r="DA321" t="s">
        <v>3082</v>
      </c>
      <c r="DB321">
        <v>0.49</v>
      </c>
      <c r="DC321" t="str">
        <f>HYPERLINK(".\links\CDD\TI_asb-522-CDD.txt","ND5")</f>
        <v>ND5</v>
      </c>
      <c r="DD321" t="str">
        <f>HYPERLINK("http://www.ncbi.nlm.nih.gov/Structure/cdd/cddsrv.cgi?uid=MTH00095&amp;version=v4.0","2E-004")</f>
        <v>2E-004</v>
      </c>
      <c r="DE321" t="s">
        <v>3083</v>
      </c>
      <c r="DF321" t="str">
        <f>HYPERLINK(".\links\PFAM\TI_asb-522-PFAM.txt","7TMR-DISM_7TM")</f>
        <v>7TMR-DISM_7TM</v>
      </c>
      <c r="DG321" t="str">
        <f>HYPERLINK("http://pfam.sanger.ac.uk/family?acc=PF07695","0.007")</f>
        <v>0.007</v>
      </c>
      <c r="DH321" t="str">
        <f>HYPERLINK(".\links\PRK\TI_asb-522-PRK.txt","NADH dehydrogenase subunit 5")</f>
        <v>NADH dehydrogenase subunit 5</v>
      </c>
      <c r="DI321" s="7">
        <v>5.9999999999999995E-4</v>
      </c>
      <c r="DJ321" s="6" t="s">
        <v>56</v>
      </c>
      <c r="DN321" t="s">
        <v>56</v>
      </c>
      <c r="DO321" t="s">
        <v>56</v>
      </c>
      <c r="DP321" s="3" t="str">
        <f>HYPERLINK(".\links\RRNA\TI_asb-522-RRNA.txt","Periplaneta australasiae mitochondrion 16S ribosomal RNA, partial sequence")</f>
        <v>Periplaneta australasiae mitochondrion 16S ribosomal RNA, partial sequence</v>
      </c>
      <c r="DQ321" s="3" t="str">
        <f>HYPERLINK("http://www.ncbi.nlm.nih.gov/entrez/viewer.fcgi?db=nucleotide&amp;val=623306","8E-013")</f>
        <v>8E-013</v>
      </c>
      <c r="DR321" s="3" t="str">
        <f>HYPERLINK("http://www.ncbi.nlm.nih.gov/entrez/viewer.fcgi?db=nucleotide&amp;val=623306","gi|623306")</f>
        <v>gi|623306</v>
      </c>
      <c r="DS321" s="3">
        <v>71.900000000000006</v>
      </c>
      <c r="DT321" s="3">
        <v>50</v>
      </c>
      <c r="DU321" s="3">
        <v>421</v>
      </c>
      <c r="DV321" s="3">
        <v>92</v>
      </c>
      <c r="DW321" s="3">
        <v>12</v>
      </c>
      <c r="DX321" s="3">
        <v>4</v>
      </c>
      <c r="DY321" s="3">
        <v>0</v>
      </c>
      <c r="DZ321" s="3">
        <v>189</v>
      </c>
      <c r="EA321" s="3">
        <v>303</v>
      </c>
      <c r="EB321" s="3">
        <v>1</v>
      </c>
      <c r="EC321" s="3" t="s">
        <v>64</v>
      </c>
      <c r="ED321" s="3" t="str">
        <f>HYPERLINK(".\links\MIT-PLA\TI_asb-522-MIT-PLA.txt","Triatoma dimidiata mitochondrial DNA, complete genome")</f>
        <v>Triatoma dimidiata mitochondrial DNA, complete genome</v>
      </c>
      <c r="EE321" s="3" t="str">
        <f>HYPERLINK("http://www.ncbi.nlm.nih.gov/entrez/viewer.fcgi?db=nucleotide&amp;val=11139100","7E-073")</f>
        <v>7E-073</v>
      </c>
      <c r="EF321" s="3" t="str">
        <f>HYPERLINK("http://www.ncbi.nlm.nih.gov/entrez/viewer.fcgi?db=nucleotide&amp;val=11139100","gi|11139100")</f>
        <v>gi|11139100</v>
      </c>
      <c r="EG321" s="3">
        <v>274</v>
      </c>
      <c r="EH321" s="3">
        <v>338</v>
      </c>
      <c r="EI321" s="3">
        <v>17019</v>
      </c>
      <c r="EJ321" s="3">
        <v>83</v>
      </c>
      <c r="EK321" s="3">
        <v>2</v>
      </c>
      <c r="EL321" s="3">
        <v>55</v>
      </c>
      <c r="EM321" s="3">
        <v>1</v>
      </c>
      <c r="EN321" s="3">
        <v>13076</v>
      </c>
      <c r="EO321" s="3">
        <v>104</v>
      </c>
      <c r="EP321" s="3">
        <v>1</v>
      </c>
      <c r="EQ321" s="3" t="s">
        <v>64</v>
      </c>
    </row>
    <row r="322" spans="1:147">
      <c r="A322" t="str">
        <f>HYPERLINK(".\links\seq\TI_asb-524-seq.txt","TI_asb-524")</f>
        <v>TI_asb-524</v>
      </c>
      <c r="B322">
        <v>524</v>
      </c>
      <c r="C322" t="str">
        <f>HYPERLINK(".\links\tsa\TI_asb-524-tsa.txt","3")</f>
        <v>3</v>
      </c>
      <c r="D322">
        <v>3</v>
      </c>
      <c r="E322">
        <v>787</v>
      </c>
      <c r="G322" t="str">
        <f>HYPERLINK(".\links\qual\TI_asb-524-qual.txt","79")</f>
        <v>79</v>
      </c>
      <c r="H322">
        <v>0</v>
      </c>
      <c r="I322">
        <v>3</v>
      </c>
      <c r="J322">
        <f t="shared" si="16"/>
        <v>3</v>
      </c>
      <c r="K322" s="6">
        <f t="shared" si="17"/>
        <v>-3</v>
      </c>
      <c r="L322" s="6" t="s">
        <v>3868</v>
      </c>
      <c r="M322" s="6" t="s">
        <v>3869</v>
      </c>
      <c r="N322" s="6"/>
      <c r="O322" s="6"/>
      <c r="P322" s="6"/>
      <c r="Q322" s="3">
        <v>787</v>
      </c>
      <c r="R322" s="3">
        <v>633</v>
      </c>
      <c r="S322" s="3" t="s">
        <v>3801</v>
      </c>
      <c r="T322" s="3">
        <v>3</v>
      </c>
      <c r="U322" t="str">
        <f>HYPERLINK(".\links\NR-LIGHT\TI_asb-524-NR-LIGHT.txt","hypothetical protein")</f>
        <v>hypothetical protein</v>
      </c>
      <c r="V322" t="str">
        <f>HYPERLINK("http://www.ncbi.nlm.nih.gov/sutils/blink.cgi?pid=156544907","6E-008")</f>
        <v>6E-008</v>
      </c>
      <c r="W322" t="str">
        <f>HYPERLINK(".\links\NR-LIGHT\TI_asb-524-NR-LIGHT.txt"," 8")</f>
        <v xml:space="preserve"> 8</v>
      </c>
      <c r="X322" t="str">
        <f>HYPERLINK("http://www.ncbi.nlm.nih.gov/protein/156544907","gi|156544907")</f>
        <v>gi|156544907</v>
      </c>
      <c r="Y322">
        <v>60.5</v>
      </c>
      <c r="Z322">
        <v>192</v>
      </c>
      <c r="AA322">
        <v>1493</v>
      </c>
      <c r="AB322">
        <v>23</v>
      </c>
      <c r="AC322">
        <v>13</v>
      </c>
      <c r="AD322">
        <v>146</v>
      </c>
      <c r="AE322">
        <v>3</v>
      </c>
      <c r="AF322">
        <v>899</v>
      </c>
      <c r="AG322">
        <v>42</v>
      </c>
      <c r="AH322">
        <v>2</v>
      </c>
      <c r="AI322">
        <v>3</v>
      </c>
      <c r="AJ322" t="s">
        <v>53</v>
      </c>
      <c r="AK322" t="s">
        <v>54</v>
      </c>
      <c r="AL322" t="s">
        <v>66</v>
      </c>
      <c r="AM322" t="str">
        <f>HYPERLINK(".\links\SWISSP\TI_asb-524-SWISSP.txt","Mite allergen Der f 7 OS=Dermatophagoides farinae GN=DERF7 PE=1 SV=1")</f>
        <v>Mite allergen Der f 7 OS=Dermatophagoides farinae GN=DERF7 PE=1 SV=1</v>
      </c>
      <c r="AN322" s="19" t="str">
        <f>HYPERLINK("http://www.uniprot.org/uniprot/Q26456","1.7")</f>
        <v>1.7</v>
      </c>
      <c r="AO322" t="str">
        <f>HYPERLINK(".\links\SWISSP\TI_asb-524-SWISSP.txt"," 5")</f>
        <v xml:space="preserve"> 5</v>
      </c>
      <c r="AP322" t="s">
        <v>3084</v>
      </c>
      <c r="AQ322">
        <v>33.5</v>
      </c>
      <c r="AR322">
        <v>86</v>
      </c>
      <c r="AS322">
        <v>213</v>
      </c>
      <c r="AT322">
        <v>23</v>
      </c>
      <c r="AU322">
        <v>40</v>
      </c>
      <c r="AV322">
        <v>66</v>
      </c>
      <c r="AW322">
        <v>0</v>
      </c>
      <c r="AX322">
        <v>26</v>
      </c>
      <c r="AY322">
        <v>33</v>
      </c>
      <c r="AZ322">
        <v>1</v>
      </c>
      <c r="BA322">
        <v>3</v>
      </c>
      <c r="BB322" t="s">
        <v>53</v>
      </c>
      <c r="BC322" t="s">
        <v>54</v>
      </c>
      <c r="BD322" t="s">
        <v>3085</v>
      </c>
      <c r="BE322" t="s">
        <v>3086</v>
      </c>
      <c r="BF322" t="s">
        <v>3087</v>
      </c>
      <c r="BG322" t="str">
        <f>HYPERLINK(".\links\PREV-RHOD-PEP\TI_asb-524-PREV-RHOD-PEP.txt","Contig17849_53")</f>
        <v>Contig17849_53</v>
      </c>
      <c r="BH322" s="7">
        <v>1.0000000000000001E-68</v>
      </c>
      <c r="BI322" t="str">
        <f>HYPERLINK(".\links\PREV-RHOD-PEP\TI_asb-524-PREV-RHOD-PEP.txt"," 10")</f>
        <v xml:space="preserve"> 10</v>
      </c>
      <c r="BJ322" t="s">
        <v>437</v>
      </c>
      <c r="BK322">
        <v>255</v>
      </c>
      <c r="BL322">
        <v>203</v>
      </c>
      <c r="BM322">
        <v>424</v>
      </c>
      <c r="BN322">
        <v>58</v>
      </c>
      <c r="BO322">
        <v>48</v>
      </c>
      <c r="BP322">
        <v>85</v>
      </c>
      <c r="BQ322">
        <v>0</v>
      </c>
      <c r="BR322">
        <v>49</v>
      </c>
      <c r="BS322">
        <v>27</v>
      </c>
      <c r="BT322">
        <v>2</v>
      </c>
      <c r="BU322" t="s">
        <v>54</v>
      </c>
      <c r="BV322" t="s">
        <v>3088</v>
      </c>
      <c r="BW322" t="s">
        <v>439</v>
      </c>
      <c r="BX322" t="str">
        <f>HYPERLINK(".\links\PREV-RHOD-CDS\TI_asb-524-PREV-RHOD-CDS.txt","Contig17849_51")</f>
        <v>Contig17849_51</v>
      </c>
      <c r="BY322" s="7">
        <v>3.0000000000000001E-17</v>
      </c>
      <c r="BZ322" t="s">
        <v>3089</v>
      </c>
      <c r="CA322">
        <v>89.7</v>
      </c>
      <c r="CB322">
        <v>336</v>
      </c>
      <c r="CC322">
        <v>624</v>
      </c>
      <c r="CD322">
        <v>84</v>
      </c>
      <c r="CE322">
        <v>54</v>
      </c>
      <c r="CF322">
        <v>19</v>
      </c>
      <c r="CG322">
        <v>0</v>
      </c>
      <c r="CH322">
        <v>38</v>
      </c>
      <c r="CI322">
        <v>13</v>
      </c>
      <c r="CJ322">
        <v>2</v>
      </c>
      <c r="CK322" t="s">
        <v>54</v>
      </c>
      <c r="CL322" t="s">
        <v>3090</v>
      </c>
      <c r="CM322">
        <f>HYPERLINK(".\links\GO\TI_asb-524-GO.txt",0.81)</f>
        <v>0.81</v>
      </c>
      <c r="CN322" t="s">
        <v>208</v>
      </c>
      <c r="CO322" t="s">
        <v>185</v>
      </c>
      <c r="CP322" t="s">
        <v>186</v>
      </c>
      <c r="CQ322" t="s">
        <v>209</v>
      </c>
      <c r="CR322" s="6">
        <v>0.81</v>
      </c>
      <c r="CS322" t="s">
        <v>74</v>
      </c>
      <c r="CT322" t="s">
        <v>75</v>
      </c>
      <c r="CU322" t="s">
        <v>76</v>
      </c>
      <c r="CV322" t="s">
        <v>77</v>
      </c>
      <c r="CW322" s="6">
        <v>0.81</v>
      </c>
      <c r="CX322" t="s">
        <v>3091</v>
      </c>
      <c r="CY322" t="s">
        <v>185</v>
      </c>
      <c r="CZ322" t="s">
        <v>186</v>
      </c>
      <c r="DA322" t="s">
        <v>3092</v>
      </c>
      <c r="DB322" s="6">
        <v>0.81</v>
      </c>
      <c r="DC322" t="s">
        <v>56</v>
      </c>
      <c r="DD322" t="s">
        <v>56</v>
      </c>
      <c r="DE322" t="s">
        <v>56</v>
      </c>
      <c r="DF322" t="s">
        <v>56</v>
      </c>
      <c r="DG322" t="s">
        <v>56</v>
      </c>
      <c r="DH322" t="s">
        <v>56</v>
      </c>
      <c r="DI322" s="6" t="s">
        <v>56</v>
      </c>
      <c r="DJ322" s="6" t="str">
        <f>HYPERLINK(".\links\KOG\TI_asb-524-KOG.txt","FERM domain protein FRM-8")</f>
        <v>FERM domain protein FRM-8</v>
      </c>
      <c r="DK322" s="6" t="str">
        <f>HYPERLINK("http://www.ncbi.nlm.nih.gov/COG/grace/shokog.cgi?KOG3552","0.041")</f>
        <v>0.041</v>
      </c>
      <c r="DL322" s="6" t="s">
        <v>4337</v>
      </c>
      <c r="DM322" s="6" t="str">
        <f>HYPERLINK(".\links\KOG\TI_asb-524-KOG.txt","KOG3552")</f>
        <v>KOG3552</v>
      </c>
      <c r="DN322" t="str">
        <f>HYPERLINK(".\links\SMART\TI_asb-524-SMART.txt","AgrB")</f>
        <v>AgrB</v>
      </c>
      <c r="DO322" t="str">
        <f>HYPERLINK("http://smart.embl-heidelberg.de/smart/do_annotation.pl?DOMAIN=AgrB&amp;BLAST=DUMMY","0.009")</f>
        <v>0.009</v>
      </c>
      <c r="DP322" s="3" t="s">
        <v>56</v>
      </c>
      <c r="ED322" s="3" t="s">
        <v>56</v>
      </c>
    </row>
    <row r="323" spans="1:147">
      <c r="A323" t="str">
        <f>HYPERLINK(".\links\seq\TI_asb-525-seq.txt","TI_asb-525")</f>
        <v>TI_asb-525</v>
      </c>
      <c r="B323">
        <v>525</v>
      </c>
      <c r="C323" t="str">
        <f>HYPERLINK(".\links\tsa\TI_asb-525-tsa.txt","7")</f>
        <v>7</v>
      </c>
      <c r="D323">
        <v>7</v>
      </c>
      <c r="E323">
        <v>875</v>
      </c>
      <c r="F323">
        <v>839</v>
      </c>
      <c r="G323" t="str">
        <f>HYPERLINK(".\links\qual\TI_asb-525-qual.txt","77")</f>
        <v>77</v>
      </c>
      <c r="H323">
        <v>3</v>
      </c>
      <c r="I323">
        <v>4</v>
      </c>
      <c r="J323">
        <f t="shared" si="16"/>
        <v>1</v>
      </c>
      <c r="K323" s="6">
        <f t="shared" si="17"/>
        <v>-1</v>
      </c>
      <c r="L323" s="6" t="s">
        <v>3968</v>
      </c>
      <c r="M323" s="6" t="s">
        <v>3886</v>
      </c>
      <c r="N323" s="6" t="s">
        <v>3864</v>
      </c>
      <c r="O323" s="6">
        <v>5.0000000000000002E-11</v>
      </c>
      <c r="P323" s="6">
        <v>12.8</v>
      </c>
      <c r="Q323" s="3">
        <v>875</v>
      </c>
      <c r="R323" s="3">
        <v>651</v>
      </c>
      <c r="S323" s="6" t="s">
        <v>3802</v>
      </c>
      <c r="T323" s="3">
        <v>2</v>
      </c>
      <c r="U323" t="str">
        <f>HYPERLINK(".\links\NR-LIGHT\TI_asb-525-NR-LIGHT.txt","hypothetical protein")</f>
        <v>hypothetical protein</v>
      </c>
      <c r="V323" t="str">
        <f>HYPERLINK("http://www.ncbi.nlm.nih.gov/sutils/blink.cgi?pid=156544907","5E-011")</f>
        <v>5E-011</v>
      </c>
      <c r="W323" t="str">
        <f>HYPERLINK(".\links\NR-LIGHT\TI_asb-525-NR-LIGHT.txt"," 9")</f>
        <v xml:space="preserve"> 9</v>
      </c>
      <c r="X323" t="str">
        <f>HYPERLINK("http://www.ncbi.nlm.nih.gov/protein/156544907","gi|156544907")</f>
        <v>gi|156544907</v>
      </c>
      <c r="Y323">
        <v>70.900000000000006</v>
      </c>
      <c r="Z323">
        <v>192</v>
      </c>
      <c r="AA323">
        <v>1493</v>
      </c>
      <c r="AB323">
        <v>25</v>
      </c>
      <c r="AC323">
        <v>13</v>
      </c>
      <c r="AD323">
        <v>143</v>
      </c>
      <c r="AE323">
        <v>3</v>
      </c>
      <c r="AF323">
        <v>254</v>
      </c>
      <c r="AG323">
        <v>59</v>
      </c>
      <c r="AH323">
        <v>3</v>
      </c>
      <c r="AI323">
        <v>2</v>
      </c>
      <c r="AJ323" t="s">
        <v>53</v>
      </c>
      <c r="AK323" t="s">
        <v>54</v>
      </c>
      <c r="AL323" t="s">
        <v>66</v>
      </c>
      <c r="AM323" t="str">
        <f>HYPERLINK(".\links\SWISSP\TI_asb-525-SWISSP.txt","Mite allergen Der f 7 OS=Dermatophagoides farinae GN=DERF7 PE=1 SV=1")</f>
        <v>Mite allergen Der f 7 OS=Dermatophagoides farinae GN=DERF7 PE=1 SV=1</v>
      </c>
      <c r="AN323" s="19" t="str">
        <f>HYPERLINK("http://www.uniprot.org/uniprot/Q26456","0.028")</f>
        <v>0.028</v>
      </c>
      <c r="AO323" t="str">
        <f>HYPERLINK(".\links\SWISSP\TI_asb-525-SWISSP.txt"," 10")</f>
        <v xml:space="preserve"> 10</v>
      </c>
      <c r="AP323" t="s">
        <v>3084</v>
      </c>
      <c r="AQ323">
        <v>39.700000000000003</v>
      </c>
      <c r="AR323">
        <v>203</v>
      </c>
      <c r="AS323">
        <v>213</v>
      </c>
      <c r="AT323">
        <v>21</v>
      </c>
      <c r="AU323">
        <v>95</v>
      </c>
      <c r="AV323">
        <v>159</v>
      </c>
      <c r="AW323">
        <v>11</v>
      </c>
      <c r="AX323">
        <v>26</v>
      </c>
      <c r="AY323">
        <v>50</v>
      </c>
      <c r="AZ323">
        <v>1</v>
      </c>
      <c r="BA323">
        <v>2</v>
      </c>
      <c r="BB323" t="s">
        <v>53</v>
      </c>
      <c r="BC323" t="s">
        <v>54</v>
      </c>
      <c r="BD323" t="s">
        <v>3085</v>
      </c>
      <c r="BE323" t="s">
        <v>3093</v>
      </c>
      <c r="BF323" t="s">
        <v>3094</v>
      </c>
      <c r="BG323" t="str">
        <f>HYPERLINK(".\links\PREV-RHOD-PEP\TI_asb-525-PREV-RHOD-PEP.txt","Contig17849_53")</f>
        <v>Contig17849_53</v>
      </c>
      <c r="BH323" s="7">
        <v>2E-73</v>
      </c>
      <c r="BI323" t="str">
        <f>HYPERLINK(".\links\PREV-RHOD-PEP\TI_asb-525-PREV-RHOD-PEP.txt"," 10")</f>
        <v xml:space="preserve"> 10</v>
      </c>
      <c r="BJ323" t="s">
        <v>437</v>
      </c>
      <c r="BK323">
        <v>271</v>
      </c>
      <c r="BL323">
        <v>203</v>
      </c>
      <c r="BM323">
        <v>424</v>
      </c>
      <c r="BN323">
        <v>60</v>
      </c>
      <c r="BO323">
        <v>48</v>
      </c>
      <c r="BP323">
        <v>80</v>
      </c>
      <c r="BQ323">
        <v>0</v>
      </c>
      <c r="BR323">
        <v>49</v>
      </c>
      <c r="BS323">
        <v>44</v>
      </c>
      <c r="BT323">
        <v>2</v>
      </c>
      <c r="BU323" t="s">
        <v>54</v>
      </c>
      <c r="BV323" t="s">
        <v>3095</v>
      </c>
      <c r="BW323" t="s">
        <v>439</v>
      </c>
      <c r="BX323" t="str">
        <f>HYPERLINK(".\links\PREV-RHOD-CDS\TI_asb-525-PREV-RHOD-CDS.txt","Contig17849_51")</f>
        <v>Contig17849_51</v>
      </c>
      <c r="BY323" s="7">
        <v>2.0000000000000001E-18</v>
      </c>
      <c r="BZ323" t="s">
        <v>3089</v>
      </c>
      <c r="CA323">
        <v>93.7</v>
      </c>
      <c r="CB323">
        <v>322</v>
      </c>
      <c r="CC323">
        <v>624</v>
      </c>
      <c r="CD323">
        <v>85</v>
      </c>
      <c r="CE323">
        <v>52</v>
      </c>
      <c r="CF323">
        <v>15</v>
      </c>
      <c r="CG323">
        <v>0</v>
      </c>
      <c r="CH323">
        <v>52</v>
      </c>
      <c r="CI323">
        <v>44</v>
      </c>
      <c r="CJ323">
        <v>2</v>
      </c>
      <c r="CK323" t="s">
        <v>54</v>
      </c>
      <c r="CL323" t="s">
        <v>3090</v>
      </c>
      <c r="CM323">
        <f>HYPERLINK(".\links\GO\TI_asb-525-GO.txt",1.2)</f>
        <v>1.2</v>
      </c>
      <c r="CN323" t="s">
        <v>208</v>
      </c>
      <c r="CO323" t="s">
        <v>185</v>
      </c>
      <c r="CP323" t="s">
        <v>186</v>
      </c>
      <c r="CQ323" t="s">
        <v>209</v>
      </c>
      <c r="CR323">
        <v>1.2</v>
      </c>
      <c r="CS323" t="s">
        <v>74</v>
      </c>
      <c r="CT323" t="s">
        <v>75</v>
      </c>
      <c r="CU323" t="s">
        <v>76</v>
      </c>
      <c r="CV323" t="s">
        <v>77</v>
      </c>
      <c r="CW323">
        <v>1.2</v>
      </c>
      <c r="CX323" t="s">
        <v>3091</v>
      </c>
      <c r="CY323" t="s">
        <v>185</v>
      </c>
      <c r="CZ323" t="s">
        <v>186</v>
      </c>
      <c r="DA323" t="s">
        <v>3092</v>
      </c>
      <c r="DB323">
        <v>1.2</v>
      </c>
      <c r="DC323" t="s">
        <v>56</v>
      </c>
      <c r="DD323" t="s">
        <v>56</v>
      </c>
      <c r="DE323" t="s">
        <v>56</v>
      </c>
      <c r="DF323" t="str">
        <f>HYPERLINK(".\links\PFAM\TI_asb-525-PFAM.txt","AgrB")</f>
        <v>AgrB</v>
      </c>
      <c r="DG323" t="str">
        <f>HYPERLINK("http://pfam.sanger.ac.uk/family?acc=PF04647","0.056")</f>
        <v>0.056</v>
      </c>
      <c r="DH323" t="str">
        <f>HYPERLINK(".\links\PRK\TI_asb-525-PRK.txt","predicted protein")</f>
        <v>predicted protein</v>
      </c>
      <c r="DI323" s="6">
        <v>2.8000000000000001E-2</v>
      </c>
      <c r="DJ323" s="6" t="str">
        <f>HYPERLINK(".\links\KOG\TI_asb-525-KOG.txt","Long chain fatty acid elongase")</f>
        <v>Long chain fatty acid elongase</v>
      </c>
      <c r="DK323" s="6" t="str">
        <f>HYPERLINK("http://www.ncbi.nlm.nih.gov/COG/grace/shokog.cgi?KOG3072","0.016")</f>
        <v>0.016</v>
      </c>
      <c r="DL323" s="6" t="s">
        <v>4334</v>
      </c>
      <c r="DM323" s="6" t="str">
        <f>HYPERLINK(".\links\KOG\TI_asb-525-KOG.txt","KOG3072")</f>
        <v>KOG3072</v>
      </c>
      <c r="DN323" t="str">
        <f>HYPERLINK(".\links\SMART\TI_asb-525-SMART.txt","AgrB")</f>
        <v>AgrB</v>
      </c>
      <c r="DO323" t="str">
        <f>HYPERLINK("http://smart.embl-heidelberg.de/smart/do_annotation.pl?DOMAIN=AgrB&amp;BLAST=DUMMY","5E-004")</f>
        <v>5E-004</v>
      </c>
      <c r="DP323" s="3" t="s">
        <v>56</v>
      </c>
      <c r="ED323" s="3" t="s">
        <v>56</v>
      </c>
    </row>
    <row r="324" spans="1:147" s="26" customFormat="1">
      <c r="A324" s="26" t="str">
        <f>HYPERLINK(".\links\seq\TI_asb-526-seq.txt","TI_asb-526")</f>
        <v>TI_asb-526</v>
      </c>
      <c r="B324" s="26">
        <v>526</v>
      </c>
      <c r="C324" s="27" t="str">
        <f>HYPERLINK(".\links\tsa\TI_asb-526-tsa.txt","27")</f>
        <v>27</v>
      </c>
      <c r="D324" s="26">
        <v>27</v>
      </c>
      <c r="E324" s="26">
        <v>1240</v>
      </c>
      <c r="F324" s="26">
        <v>888</v>
      </c>
      <c r="G324" s="26" t="str">
        <f>HYPERLINK(".\links\qual\TI_asb-526-qual.txt","78")</f>
        <v>78</v>
      </c>
      <c r="H324" s="26">
        <v>15</v>
      </c>
      <c r="I324" s="26">
        <v>12</v>
      </c>
      <c r="J324" s="26">
        <f t="shared" si="16"/>
        <v>3</v>
      </c>
      <c r="K324" s="26">
        <f t="shared" si="17"/>
        <v>3</v>
      </c>
      <c r="L324" s="26" t="s">
        <v>4025</v>
      </c>
      <c r="M324" s="26" t="s">
        <v>3934</v>
      </c>
      <c r="N324" s="26" t="s">
        <v>3864</v>
      </c>
      <c r="O324" s="26">
        <v>0</v>
      </c>
      <c r="P324" s="26">
        <v>21.5</v>
      </c>
      <c r="Q324" s="26">
        <v>1240</v>
      </c>
      <c r="R324" s="26">
        <v>588</v>
      </c>
      <c r="S324" s="26" t="s">
        <v>3803</v>
      </c>
      <c r="T324" s="26">
        <v>2</v>
      </c>
      <c r="U324" s="26" t="str">
        <f>HYPERLINK(".\links\NR-LIGHT\TI_asb-526-NR-LIGHT.txt","capsid protein precursor")</f>
        <v>capsid protein precursor</v>
      </c>
      <c r="V324" s="26" t="str">
        <f>HYPERLINK("http://www.ncbi.nlm.nih.gov/sutils/blink.cgi?pid=20451030","1E-102")</f>
        <v>1E-102</v>
      </c>
      <c r="W324" s="26" t="str">
        <f>HYPERLINK(".\links\NR-LIGHT\TI_asb-526-NR-LIGHT.txt"," 10")</f>
        <v xml:space="preserve"> 10</v>
      </c>
      <c r="X324" s="26" t="str">
        <f>HYPERLINK("http://www.ncbi.nlm.nih.gov/protein/20451030","gi|20451030")</f>
        <v>gi|20451030</v>
      </c>
      <c r="Y324" s="26">
        <v>374</v>
      </c>
      <c r="Z324" s="26">
        <v>187</v>
      </c>
      <c r="AA324" s="26">
        <v>868</v>
      </c>
      <c r="AB324" s="26">
        <v>99</v>
      </c>
      <c r="AC324" s="26">
        <v>22</v>
      </c>
      <c r="AD324" s="26">
        <v>1</v>
      </c>
      <c r="AE324" s="26">
        <v>0</v>
      </c>
      <c r="AF324" s="26">
        <v>673</v>
      </c>
      <c r="AG324" s="26">
        <v>2</v>
      </c>
      <c r="AH324" s="26">
        <v>1</v>
      </c>
      <c r="AI324" s="26">
        <v>2</v>
      </c>
      <c r="AJ324" s="26" t="s">
        <v>53</v>
      </c>
      <c r="AK324" s="26" t="s">
        <v>54</v>
      </c>
      <c r="AL324" s="26" t="s">
        <v>137</v>
      </c>
      <c r="AM324" s="26" t="str">
        <f>HYPERLINK(".\links\SWISSP\TI_asb-526-SWISSP.txt","Proline-rich proteoglycan 2 OS=Rattus norvegicus GN=Prpg2 PE=1 SV=2")</f>
        <v>Proline-rich proteoglycan 2 OS=Rattus norvegicus GN=Prpg2 PE=1 SV=2</v>
      </c>
      <c r="AN324" s="29" t="str">
        <f>HYPERLINK("http://www.uniprot.org/uniprot/P10165","0.004")</f>
        <v>0.004</v>
      </c>
      <c r="AO324" s="26" t="str">
        <f>HYPERLINK(".\links\SWISSP\TI_asb-526-SWISSP.txt"," 10")</f>
        <v xml:space="preserve"> 10</v>
      </c>
      <c r="AP324" s="26" t="s">
        <v>3096</v>
      </c>
      <c r="AQ324" s="26">
        <v>43.1</v>
      </c>
      <c r="AR324" s="26">
        <v>77</v>
      </c>
      <c r="AS324" s="26">
        <v>295</v>
      </c>
      <c r="AT324" s="26">
        <v>38</v>
      </c>
      <c r="AU324" s="26">
        <v>26</v>
      </c>
      <c r="AV324" s="26">
        <v>47</v>
      </c>
      <c r="AW324" s="26">
        <v>0</v>
      </c>
      <c r="AX324" s="26">
        <v>117</v>
      </c>
      <c r="AY324" s="26">
        <v>1010</v>
      </c>
      <c r="AZ324" s="26">
        <v>3</v>
      </c>
      <c r="BA324" s="26">
        <v>2</v>
      </c>
      <c r="BB324" s="26" t="s">
        <v>53</v>
      </c>
      <c r="BC324" s="26" t="s">
        <v>54</v>
      </c>
      <c r="BD324" s="26" t="s">
        <v>122</v>
      </c>
      <c r="BE324" s="26" t="s">
        <v>3097</v>
      </c>
      <c r="BF324" s="26" t="s">
        <v>3098</v>
      </c>
      <c r="BG324" s="26" t="str">
        <f>HYPERLINK(".\links\PREV-RHOD-PEP\TI_asb-526-PREV-RHOD-PEP.txt","Contig17967_89")</f>
        <v>Contig17967_89</v>
      </c>
      <c r="BH324" s="26">
        <v>0.3</v>
      </c>
      <c r="BI324" s="26" t="str">
        <f>HYPERLINK(".\links\PREV-RHOD-PEP\TI_asb-526-PREV-RHOD-PEP.txt"," 10")</f>
        <v xml:space="preserve"> 10</v>
      </c>
      <c r="BJ324" s="26" t="s">
        <v>3099</v>
      </c>
      <c r="BK324" s="26">
        <v>32.700000000000003</v>
      </c>
      <c r="BL324" s="26">
        <v>76</v>
      </c>
      <c r="BM324" s="26">
        <v>852</v>
      </c>
      <c r="BN324" s="26">
        <v>31</v>
      </c>
      <c r="BO324" s="26">
        <v>9</v>
      </c>
      <c r="BP324" s="26">
        <v>52</v>
      </c>
      <c r="BQ324" s="26">
        <v>1</v>
      </c>
      <c r="BR324" s="26">
        <v>258</v>
      </c>
      <c r="BS324" s="26">
        <v>1007</v>
      </c>
      <c r="BT324" s="26">
        <v>1</v>
      </c>
      <c r="BU324" s="26" t="s">
        <v>54</v>
      </c>
      <c r="BV324" s="26" t="s">
        <v>3100</v>
      </c>
      <c r="BW324" s="26" t="s">
        <v>56</v>
      </c>
      <c r="BX324" s="26" t="str">
        <f>HYPERLINK(".\links\PREV-RHOD-CDS\TI_asb-526-PREV-RHOD-CDS.txt","Contig17769_5")</f>
        <v>Contig17769_5</v>
      </c>
      <c r="BY324" s="26">
        <v>0.62</v>
      </c>
      <c r="BZ324" s="26" t="s">
        <v>3101</v>
      </c>
      <c r="CA324" s="26">
        <v>36.200000000000003</v>
      </c>
      <c r="CB324" s="26">
        <v>17</v>
      </c>
      <c r="CC324" s="26">
        <v>2277</v>
      </c>
      <c r="CD324" s="26">
        <v>100</v>
      </c>
      <c r="CE324" s="26">
        <v>1</v>
      </c>
      <c r="CF324" s="26">
        <v>0</v>
      </c>
      <c r="CG324" s="26">
        <v>0</v>
      </c>
      <c r="CH324" s="26">
        <v>34</v>
      </c>
      <c r="CI324" s="26">
        <v>406</v>
      </c>
      <c r="CJ324" s="26">
        <v>1</v>
      </c>
      <c r="CK324" s="26" t="s">
        <v>64</v>
      </c>
      <c r="CL324" s="26" t="s">
        <v>3102</v>
      </c>
      <c r="CM324" s="26">
        <f>HYPERLINK(".\links\GO\TI_asb-526-GO.txt",0.013)</f>
        <v>1.2999999999999999E-2</v>
      </c>
      <c r="CN324" s="26" t="s">
        <v>208</v>
      </c>
      <c r="CO324" s="26" t="s">
        <v>185</v>
      </c>
      <c r="CP324" s="26" t="s">
        <v>186</v>
      </c>
      <c r="CQ324" s="26" t="s">
        <v>209</v>
      </c>
      <c r="CR324" s="26">
        <v>4.8000000000000001E-2</v>
      </c>
      <c r="CS324" s="26" t="s">
        <v>2864</v>
      </c>
      <c r="CT324" s="26" t="s">
        <v>75</v>
      </c>
      <c r="CU324" s="26" t="s">
        <v>378</v>
      </c>
      <c r="CV324" s="26" t="s">
        <v>2865</v>
      </c>
      <c r="CW324" s="26">
        <v>4.8000000000000001E-2</v>
      </c>
      <c r="CX324" s="26" t="s">
        <v>2854</v>
      </c>
      <c r="CY324" s="26" t="s">
        <v>185</v>
      </c>
      <c r="CZ324" s="26" t="s">
        <v>186</v>
      </c>
      <c r="DA324" s="26" t="s">
        <v>2855</v>
      </c>
      <c r="DB324" s="26">
        <v>4.8000000000000001E-2</v>
      </c>
      <c r="DC324" s="26" t="str">
        <f>HYPERLINK(".\links\CDD\TI_asb-526-CDD.txt","CRPV_capsid")</f>
        <v>CRPV_capsid</v>
      </c>
      <c r="DD324" s="26" t="str">
        <f>HYPERLINK("http://www.ncbi.nlm.nih.gov/Structure/cdd/cddsrv.cgi?uid=pfam08762&amp;version=v4.0","2E-012")</f>
        <v>2E-012</v>
      </c>
      <c r="DE324" s="26" t="s">
        <v>3103</v>
      </c>
      <c r="DF324" s="26" t="str">
        <f>HYPERLINK(".\links\PFAM\TI_asb-526-PFAM.txt","CRPV_capsid")</f>
        <v>CRPV_capsid</v>
      </c>
      <c r="DG324" s="26" t="str">
        <f>HYPERLINK("http://pfam.sanger.ac.uk/family?acc=PF08762","3E-013")</f>
        <v>3E-013</v>
      </c>
      <c r="DH324" s="26" t="str">
        <f>HYPERLINK(".\links\PRK\TI_asb-526-PRK.txt","ATP-dependent RNA helicase SrmB")</f>
        <v>ATP-dependent RNA helicase SrmB</v>
      </c>
      <c r="DI324" s="28">
        <v>3E-11</v>
      </c>
      <c r="DJ324" s="26" t="str">
        <f>HYPERLINK(".\links\KOG\TI_asb-526-KOG.txt","Ribosome biogenesis protein - Nop58p/Nop5p")</f>
        <v>Ribosome biogenesis protein - Nop58p/Nop5p</v>
      </c>
      <c r="DK324" s="26" t="str">
        <f>HYPERLINK("http://www.ncbi.nlm.nih.gov/COG/grace/shokog.cgi?KOG2572","9E-009")</f>
        <v>9E-009</v>
      </c>
      <c r="DL324" s="26" t="s">
        <v>4351</v>
      </c>
      <c r="DM324" s="26" t="str">
        <f>HYPERLINK(".\links\KOG\TI_asb-526-KOG.txt","KOG2572")</f>
        <v>KOG2572</v>
      </c>
      <c r="DN324" s="26" t="str">
        <f>HYPERLINK(".\links\SMART\TI_asb-526-SMART.txt","TOPEUc")</f>
        <v>TOPEUc</v>
      </c>
      <c r="DO324" s="26" t="str">
        <f>HYPERLINK("http://smart.embl-heidelberg.de/smart/do_annotation.pl?DOMAIN=TOPEUc&amp;BLAST=DUMMY","3E-006")</f>
        <v>3E-006</v>
      </c>
      <c r="DP324" s="26" t="s">
        <v>56</v>
      </c>
      <c r="ED324" s="26" t="s">
        <v>56</v>
      </c>
    </row>
    <row r="325" spans="1:147">
      <c r="A325" t="str">
        <f>HYPERLINK(".\links\seq\TI_asb-528-seq.txt","TI_asb-528")</f>
        <v>TI_asb-528</v>
      </c>
      <c r="B325">
        <v>528</v>
      </c>
      <c r="C325" t="str">
        <f>HYPERLINK(".\links\tsa\TI_asb-528-tsa.txt","1")</f>
        <v>1</v>
      </c>
      <c r="D325">
        <v>1</v>
      </c>
      <c r="E325">
        <v>688</v>
      </c>
      <c r="G325" t="str">
        <f>HYPERLINK(".\links\qual\TI_asb-528-qual.txt","60")</f>
        <v>60</v>
      </c>
      <c r="H325">
        <v>1</v>
      </c>
      <c r="I325">
        <v>0</v>
      </c>
      <c r="J325">
        <f t="shared" si="16"/>
        <v>1</v>
      </c>
      <c r="K325" s="6">
        <f t="shared" si="17"/>
        <v>1</v>
      </c>
      <c r="L325" s="6" t="s">
        <v>3868</v>
      </c>
      <c r="M325" s="6" t="s">
        <v>3869</v>
      </c>
      <c r="N325" s="6"/>
      <c r="O325" s="6"/>
      <c r="P325" s="6"/>
      <c r="Q325" s="3">
        <v>688</v>
      </c>
      <c r="R325" s="3">
        <v>174</v>
      </c>
      <c r="S325" s="3" t="s">
        <v>3804</v>
      </c>
      <c r="T325" s="3">
        <v>4</v>
      </c>
      <c r="U325" t="str">
        <f>HYPERLINK(".\links\NR-LIGHT\TI_asb-528-NR-LIGHT.txt","stearoyl-CoA Delta 9 desaturase, putative")</f>
        <v>stearoyl-CoA Delta 9 desaturase, putative</v>
      </c>
      <c r="V325" t="str">
        <f>HYPERLINK("http://www.ncbi.nlm.nih.gov/sutils/blink.cgi?pid=124506143","2.6")</f>
        <v>2.6</v>
      </c>
      <c r="W325" t="str">
        <f>HYPERLINK(".\links\NR-LIGHT\TI_asb-528-NR-LIGHT.txt"," 3")</f>
        <v xml:space="preserve"> 3</v>
      </c>
      <c r="X325" t="str">
        <f>HYPERLINK("http://www.ncbi.nlm.nih.gov/protein/124506143","gi|124506143")</f>
        <v>gi|124506143</v>
      </c>
      <c r="Y325">
        <v>34.700000000000003</v>
      </c>
      <c r="Z325">
        <v>63</v>
      </c>
      <c r="AA325">
        <v>949</v>
      </c>
      <c r="AB325">
        <v>31</v>
      </c>
      <c r="AC325">
        <v>7</v>
      </c>
      <c r="AD325">
        <v>43</v>
      </c>
      <c r="AE325">
        <v>0</v>
      </c>
      <c r="AF325">
        <v>279</v>
      </c>
      <c r="AG325">
        <v>41</v>
      </c>
      <c r="AH325">
        <v>1</v>
      </c>
      <c r="AI325">
        <v>2</v>
      </c>
      <c r="AJ325" t="s">
        <v>53</v>
      </c>
      <c r="AK325" t="s">
        <v>54</v>
      </c>
      <c r="AL325" t="s">
        <v>294</v>
      </c>
      <c r="AM325" t="str">
        <f>HYPERLINK(".\links\SWISSP\TI_asb-528-SWISSP.txt","Segregation and condensation protein A OS=Mycoplasma genitalium GN=scpA PE=3")</f>
        <v>Segregation and condensation protein A OS=Mycoplasma genitalium GN=scpA PE=3</v>
      </c>
      <c r="AN325" s="19" t="str">
        <f>HYPERLINK("http://www.uniprot.org/uniprot/P47455","2.3")</f>
        <v>2.3</v>
      </c>
      <c r="AO325" t="str">
        <f>HYPERLINK(".\links\SWISSP\TI_asb-528-SWISSP.txt"," 3")</f>
        <v xml:space="preserve"> 3</v>
      </c>
      <c r="AP325" t="s">
        <v>3104</v>
      </c>
      <c r="AQ325">
        <v>32.700000000000003</v>
      </c>
      <c r="AR325">
        <v>83</v>
      </c>
      <c r="AS325">
        <v>471</v>
      </c>
      <c r="AT325">
        <v>31</v>
      </c>
      <c r="AU325">
        <v>18</v>
      </c>
      <c r="AV325">
        <v>57</v>
      </c>
      <c r="AW325">
        <v>0</v>
      </c>
      <c r="AX325">
        <v>335</v>
      </c>
      <c r="AY325">
        <v>144</v>
      </c>
      <c r="AZ325">
        <v>1</v>
      </c>
      <c r="BA325">
        <v>-3</v>
      </c>
      <c r="BB325" t="s">
        <v>53</v>
      </c>
      <c r="BC325" t="s">
        <v>64</v>
      </c>
      <c r="BD325" t="s">
        <v>3105</v>
      </c>
      <c r="BE325" t="s">
        <v>3106</v>
      </c>
      <c r="BF325" t="s">
        <v>3107</v>
      </c>
      <c r="BG325" t="str">
        <f>HYPERLINK(".\links\PREV-RHOD-PEP\TI_asb-528-PREV-RHOD-PEP.txt","Contig18051_122")</f>
        <v>Contig18051_122</v>
      </c>
      <c r="BH325" s="6">
        <v>1.5</v>
      </c>
      <c r="BI325" t="str">
        <f>HYPERLINK(".\links\PREV-RHOD-PEP\TI_asb-528-PREV-RHOD-PEP.txt"," 7")</f>
        <v xml:space="preserve"> 7</v>
      </c>
      <c r="BJ325" t="s">
        <v>3108</v>
      </c>
      <c r="BK325">
        <v>29.3</v>
      </c>
      <c r="BL325">
        <v>45</v>
      </c>
      <c r="BM325">
        <v>1002</v>
      </c>
      <c r="BN325">
        <v>40</v>
      </c>
      <c r="BO325">
        <v>4</v>
      </c>
      <c r="BP325">
        <v>27</v>
      </c>
      <c r="BQ325">
        <v>0</v>
      </c>
      <c r="BR325">
        <v>448</v>
      </c>
      <c r="BS325">
        <v>423</v>
      </c>
      <c r="BT325">
        <v>1</v>
      </c>
      <c r="BU325" t="s">
        <v>54</v>
      </c>
      <c r="BV325" t="s">
        <v>3109</v>
      </c>
      <c r="BW325" t="s">
        <v>56</v>
      </c>
      <c r="BX325" t="str">
        <f>HYPERLINK(".\links\PREV-RHOD-CDS\TI_asb-528-PREV-RHOD-CDS.txt","Contig17479_6")</f>
        <v>Contig17479_6</v>
      </c>
      <c r="BY325" s="6">
        <v>0.34</v>
      </c>
      <c r="BZ325" t="s">
        <v>3110</v>
      </c>
      <c r="CA325">
        <v>36.200000000000003</v>
      </c>
      <c r="CB325">
        <v>17</v>
      </c>
      <c r="CC325">
        <v>1152</v>
      </c>
      <c r="CD325">
        <v>100</v>
      </c>
      <c r="CE325">
        <v>2</v>
      </c>
      <c r="CF325">
        <v>0</v>
      </c>
      <c r="CG325">
        <v>0</v>
      </c>
      <c r="CH325">
        <v>275</v>
      </c>
      <c r="CI325">
        <v>567</v>
      </c>
      <c r="CJ325">
        <v>1</v>
      </c>
      <c r="CK325" t="s">
        <v>54</v>
      </c>
      <c r="CL325" t="s">
        <v>56</v>
      </c>
      <c r="CM325" t="s">
        <v>56</v>
      </c>
      <c r="CN325" t="s">
        <v>56</v>
      </c>
      <c r="CO325" t="s">
        <v>56</v>
      </c>
      <c r="CP325" t="s">
        <v>56</v>
      </c>
      <c r="CQ325" t="s">
        <v>56</v>
      </c>
      <c r="CR325" s="6" t="s">
        <v>56</v>
      </c>
      <c r="CS325" t="s">
        <v>56</v>
      </c>
      <c r="CT325" t="s">
        <v>56</v>
      </c>
      <c r="CU325" t="s">
        <v>56</v>
      </c>
      <c r="CV325" t="s">
        <v>56</v>
      </c>
      <c r="CW325" s="6" t="s">
        <v>56</v>
      </c>
      <c r="CX325" t="s">
        <v>56</v>
      </c>
      <c r="CY325" t="s">
        <v>56</v>
      </c>
      <c r="CZ325" t="s">
        <v>56</v>
      </c>
      <c r="DA325" t="s">
        <v>56</v>
      </c>
      <c r="DB325" s="6" t="s">
        <v>56</v>
      </c>
      <c r="DC325" t="s">
        <v>56</v>
      </c>
      <c r="DD325" t="s">
        <v>56</v>
      </c>
      <c r="DE325" t="s">
        <v>56</v>
      </c>
      <c r="DF325" t="str">
        <f>HYPERLINK(".\links\PFAM\TI_asb-528-PFAM.txt","7TMR-DISM_7TM")</f>
        <v>7TMR-DISM_7TM</v>
      </c>
      <c r="DG325" t="str">
        <f>HYPERLINK("http://pfam.sanger.ac.uk/family?acc=PF07695","0.063")</f>
        <v>0.063</v>
      </c>
      <c r="DH325" t="str">
        <f>HYPERLINK(".\links\PRK\TI_asb-528-PRK.txt","NADH dehydrogenase subunit 5")</f>
        <v>NADH dehydrogenase subunit 5</v>
      </c>
      <c r="DI325" s="6">
        <v>2E-3</v>
      </c>
      <c r="DJ325" s="6" t="s">
        <v>56</v>
      </c>
      <c r="DN325" t="s">
        <v>56</v>
      </c>
      <c r="DO325" t="s">
        <v>56</v>
      </c>
      <c r="DP325" s="3" t="s">
        <v>56</v>
      </c>
      <c r="ED325" s="3" t="s">
        <v>56</v>
      </c>
    </row>
    <row r="326" spans="1:147">
      <c r="A326" t="str">
        <f>HYPERLINK(".\links\seq\TI_asb-529-seq.txt","TI_asb-529")</f>
        <v>TI_asb-529</v>
      </c>
      <c r="B326">
        <v>529</v>
      </c>
      <c r="C326" t="str">
        <f>HYPERLINK(".\links\tsa\TI_asb-529-tsa.txt","1")</f>
        <v>1</v>
      </c>
      <c r="D326">
        <v>1</v>
      </c>
      <c r="E326">
        <v>1034</v>
      </c>
      <c r="G326" t="str">
        <f>HYPERLINK(".\links\qual\TI_asb-529-qual.txt","24")</f>
        <v>24</v>
      </c>
      <c r="H326">
        <v>0</v>
      </c>
      <c r="I326">
        <v>1</v>
      </c>
      <c r="J326">
        <f t="shared" si="16"/>
        <v>1</v>
      </c>
      <c r="K326" s="6">
        <f t="shared" si="17"/>
        <v>-1</v>
      </c>
      <c r="L326" s="6" t="s">
        <v>3868</v>
      </c>
      <c r="M326" s="6" t="s">
        <v>3869</v>
      </c>
      <c r="N326" s="6"/>
      <c r="O326" s="6"/>
      <c r="P326" s="6"/>
      <c r="Q326" s="3">
        <v>1034</v>
      </c>
      <c r="R326" s="3">
        <v>282</v>
      </c>
      <c r="S326" s="3" t="s">
        <v>3805</v>
      </c>
      <c r="T326" s="3">
        <v>3</v>
      </c>
      <c r="U326" t="str">
        <f>HYPERLINK(".\links\NR-LIGHT\TI_asb-529-NR-LIGHT.txt","stearoyl-CoA Delta 9 desaturase, putative")</f>
        <v>stearoyl-CoA Delta 9 desaturase, putative</v>
      </c>
      <c r="V326" t="str">
        <f>HYPERLINK("http://www.ncbi.nlm.nih.gov/sutils/blink.cgi?pid=124506143","3.0")</f>
        <v>3.0</v>
      </c>
      <c r="W326" t="str">
        <f>HYPERLINK(".\links\NR-LIGHT\TI_asb-529-NR-LIGHT.txt"," 1")</f>
        <v xml:space="preserve"> 1</v>
      </c>
      <c r="X326" t="str">
        <f>HYPERLINK("http://www.ncbi.nlm.nih.gov/protein/124506143","gi|124506143")</f>
        <v>gi|124506143</v>
      </c>
      <c r="Y326">
        <v>35.4</v>
      </c>
      <c r="Z326">
        <v>49</v>
      </c>
      <c r="AA326">
        <v>949</v>
      </c>
      <c r="AB326">
        <v>36</v>
      </c>
      <c r="AC326">
        <v>5</v>
      </c>
      <c r="AD326">
        <v>31</v>
      </c>
      <c r="AE326">
        <v>1</v>
      </c>
      <c r="AF326">
        <v>290</v>
      </c>
      <c r="AG326">
        <v>77</v>
      </c>
      <c r="AH326">
        <v>1</v>
      </c>
      <c r="AI326">
        <v>2</v>
      </c>
      <c r="AJ326" t="s">
        <v>53</v>
      </c>
      <c r="AK326" t="s">
        <v>54</v>
      </c>
      <c r="AL326" t="s">
        <v>294</v>
      </c>
      <c r="AM326" t="s">
        <v>56</v>
      </c>
      <c r="AN326" s="19" t="s">
        <v>56</v>
      </c>
      <c r="AO326" t="s">
        <v>56</v>
      </c>
      <c r="AP326" t="s">
        <v>56</v>
      </c>
      <c r="AQ326" t="s">
        <v>56</v>
      </c>
      <c r="AR326" t="s">
        <v>56</v>
      </c>
      <c r="AS326" t="s">
        <v>56</v>
      </c>
      <c r="AT326" t="s">
        <v>56</v>
      </c>
      <c r="AU326" t="s">
        <v>56</v>
      </c>
      <c r="AV326" t="s">
        <v>56</v>
      </c>
      <c r="AW326" t="s">
        <v>56</v>
      </c>
      <c r="AX326" t="s">
        <v>56</v>
      </c>
      <c r="AY326" t="s">
        <v>56</v>
      </c>
      <c r="AZ326" t="s">
        <v>56</v>
      </c>
      <c r="BA326" t="s">
        <v>56</v>
      </c>
      <c r="BB326" t="s">
        <v>56</v>
      </c>
      <c r="BC326" t="s">
        <v>56</v>
      </c>
      <c r="BD326" t="s">
        <v>56</v>
      </c>
      <c r="BE326" t="s">
        <v>56</v>
      </c>
      <c r="BF326" t="s">
        <v>56</v>
      </c>
      <c r="BG326" t="str">
        <f>HYPERLINK(".\links\PREV-RHOD-PEP\TI_asb-529-PREV-RHOD-PEP.txt","Contig17917_46")</f>
        <v>Contig17917_46</v>
      </c>
      <c r="BH326" s="6">
        <v>6</v>
      </c>
      <c r="BI326" t="str">
        <f>HYPERLINK(".\links\PREV-RHOD-PEP\TI_asb-529-PREV-RHOD-PEP.txt"," 1")</f>
        <v xml:space="preserve"> 1</v>
      </c>
      <c r="BJ326" t="s">
        <v>3111</v>
      </c>
      <c r="BK326">
        <v>28.1</v>
      </c>
      <c r="BL326">
        <v>31</v>
      </c>
      <c r="BM326">
        <v>397</v>
      </c>
      <c r="BN326">
        <v>35</v>
      </c>
      <c r="BO326">
        <v>8</v>
      </c>
      <c r="BP326">
        <v>20</v>
      </c>
      <c r="BQ326">
        <v>0</v>
      </c>
      <c r="BR326">
        <v>88</v>
      </c>
      <c r="BS326">
        <v>723</v>
      </c>
      <c r="BT326">
        <v>1</v>
      </c>
      <c r="BU326" t="s">
        <v>54</v>
      </c>
      <c r="BV326" t="s">
        <v>3112</v>
      </c>
      <c r="BW326" t="s">
        <v>56</v>
      </c>
      <c r="BX326" t="str">
        <f>HYPERLINK(".\links\PREV-RHOD-CDS\TI_asb-529-PREV-RHOD-CDS.txt","Contig17712_23")</f>
        <v>Contig17712_23</v>
      </c>
      <c r="BY326" s="6">
        <v>3.3000000000000002E-2</v>
      </c>
      <c r="BZ326" t="s">
        <v>3113</v>
      </c>
      <c r="CA326">
        <v>40.1</v>
      </c>
      <c r="CB326">
        <v>23</v>
      </c>
      <c r="CC326">
        <v>1527</v>
      </c>
      <c r="CD326">
        <v>95</v>
      </c>
      <c r="CE326">
        <v>2</v>
      </c>
      <c r="CF326">
        <v>1</v>
      </c>
      <c r="CG326">
        <v>0</v>
      </c>
      <c r="CH326">
        <v>1000</v>
      </c>
      <c r="CI326">
        <v>785</v>
      </c>
      <c r="CJ326">
        <v>1</v>
      </c>
      <c r="CK326" t="s">
        <v>64</v>
      </c>
      <c r="CL326" t="s">
        <v>56</v>
      </c>
      <c r="CM326" t="s">
        <v>56</v>
      </c>
      <c r="CN326" t="s">
        <v>56</v>
      </c>
      <c r="CO326" t="s">
        <v>56</v>
      </c>
      <c r="CP326" t="s">
        <v>56</v>
      </c>
      <c r="CQ326" t="s">
        <v>56</v>
      </c>
      <c r="CR326" t="s">
        <v>56</v>
      </c>
      <c r="CS326" t="s">
        <v>56</v>
      </c>
      <c r="CT326" t="s">
        <v>56</v>
      </c>
      <c r="CU326" t="s">
        <v>56</v>
      </c>
      <c r="CV326" t="s">
        <v>56</v>
      </c>
      <c r="CW326" s="6" t="s">
        <v>56</v>
      </c>
      <c r="CX326" t="s">
        <v>56</v>
      </c>
      <c r="CY326" t="s">
        <v>56</v>
      </c>
      <c r="CZ326" t="s">
        <v>56</v>
      </c>
      <c r="DA326" t="s">
        <v>56</v>
      </c>
      <c r="DB326" t="s">
        <v>56</v>
      </c>
      <c r="DC326" t="str">
        <f>HYPERLINK(".\links\CDD\TI_asb-529-CDD.txt","PRK02975")</f>
        <v>PRK02975</v>
      </c>
      <c r="DD326" t="str">
        <f>HYPERLINK("http://www.ncbi.nlm.nih.gov/Structure/cdd/cddsrv.cgi?uid=PRK02975&amp;version=v4.0","0.001")</f>
        <v>0.001</v>
      </c>
      <c r="DE326" t="s">
        <v>3114</v>
      </c>
      <c r="DF326" t="str">
        <f>HYPERLINK(".\links\PFAM\TI_asb-529-PFAM.txt","7TM_GPCR_Srz")</f>
        <v>7TM_GPCR_Srz</v>
      </c>
      <c r="DG326" t="str">
        <f>HYPERLINK("http://pfam.sanger.ac.uk/family?acc=PF10325","3E-004")</f>
        <v>3E-004</v>
      </c>
      <c r="DH326" t="str">
        <f>HYPERLINK(".\links\PRK\TI_asb-529-PRK.txt","NADH dehydrogenase subunit 5")</f>
        <v>NADH dehydrogenase subunit 5</v>
      </c>
      <c r="DI326" s="7">
        <v>6.0000000000000002E-6</v>
      </c>
      <c r="DJ326" s="6" t="str">
        <f>HYPERLINK(".\links\KOG\TI_asb-529-KOG.txt","Ferric reductase-like proteins")</f>
        <v>Ferric reductase-like proteins</v>
      </c>
      <c r="DK326" s="6" t="str">
        <f>HYPERLINK("http://www.ncbi.nlm.nih.gov/COG/grace/shokog.cgi?KOG1743","0.004")</f>
        <v>0.004</v>
      </c>
      <c r="DL326" s="6" t="s">
        <v>4361</v>
      </c>
      <c r="DM326" s="6" t="str">
        <f>HYPERLINK(".\links\KOG\TI_asb-529-KOG.txt","KOG1743")</f>
        <v>KOG1743</v>
      </c>
      <c r="DN326" t="str">
        <f>HYPERLINK(".\links\SMART\TI_asb-529-SMART.txt","TOP2c")</f>
        <v>TOP2c</v>
      </c>
      <c r="DO326" t="str">
        <f>HYPERLINK("http://smart.embl-heidelberg.de/smart/do_annotation.pl?DOMAIN=TOP2c&amp;BLAST=DUMMY","0.036")</f>
        <v>0.036</v>
      </c>
      <c r="DP326" s="3" t="s">
        <v>56</v>
      </c>
      <c r="ED326" s="3" t="s">
        <v>56</v>
      </c>
    </row>
    <row r="327" spans="1:147">
      <c r="A327" t="str">
        <f>HYPERLINK(".\links\seq\TI_asb-530-seq.txt","TI_asb-530")</f>
        <v>TI_asb-530</v>
      </c>
      <c r="B327">
        <v>530</v>
      </c>
      <c r="C327" t="str">
        <f>HYPERLINK(".\links\tsa\TI_asb-530-tsa.txt","5")</f>
        <v>5</v>
      </c>
      <c r="D327">
        <v>5</v>
      </c>
      <c r="E327">
        <v>865</v>
      </c>
      <c r="F327">
        <v>834</v>
      </c>
      <c r="G327" t="str">
        <f>HYPERLINK(".\links\qual\TI_asb-530-qual.txt","73")</f>
        <v>73</v>
      </c>
      <c r="H327">
        <v>4</v>
      </c>
      <c r="I327">
        <v>1</v>
      </c>
      <c r="J327">
        <f t="shared" si="16"/>
        <v>3</v>
      </c>
      <c r="K327" s="6">
        <f t="shared" si="17"/>
        <v>3</v>
      </c>
      <c r="L327" s="6" t="s">
        <v>3952</v>
      </c>
      <c r="M327" s="6" t="s">
        <v>3863</v>
      </c>
      <c r="N327" s="6" t="s">
        <v>3909</v>
      </c>
      <c r="O327" s="6">
        <v>6E-11</v>
      </c>
      <c r="P327" s="6">
        <v>92.8</v>
      </c>
      <c r="Q327" s="3">
        <v>865</v>
      </c>
      <c r="R327" s="3">
        <v>732</v>
      </c>
      <c r="S327" s="3" t="s">
        <v>3806</v>
      </c>
      <c r="T327" s="3">
        <v>3</v>
      </c>
      <c r="U327" t="str">
        <f>HYPERLINK(".\links\NR-LIGHT\TI_asb-530-NR-LIGHT.txt","similar to CG14661 CG14661-PA")</f>
        <v>similar to CG14661 CG14661-PA</v>
      </c>
      <c r="V327" t="str">
        <f>HYPERLINK("http://www.ncbi.nlm.nih.gov/sutils/blink.cgi?pid=91082781","8E-004")</f>
        <v>8E-004</v>
      </c>
      <c r="W327" t="str">
        <f>HYPERLINK(".\links\NR-LIGHT\TI_asb-530-NR-LIGHT.txt"," 10")</f>
        <v xml:space="preserve"> 10</v>
      </c>
      <c r="X327" t="str">
        <f>HYPERLINK("http://www.ncbi.nlm.nih.gov/protein/91082781","gi|91082781")</f>
        <v>gi|91082781</v>
      </c>
      <c r="Y327">
        <v>47</v>
      </c>
      <c r="Z327">
        <v>213</v>
      </c>
      <c r="AA327">
        <v>249</v>
      </c>
      <c r="AB327">
        <v>21</v>
      </c>
      <c r="AC327">
        <v>86</v>
      </c>
      <c r="AD327">
        <v>168</v>
      </c>
      <c r="AE327">
        <v>10</v>
      </c>
      <c r="AF327">
        <v>37</v>
      </c>
      <c r="AG327">
        <v>117</v>
      </c>
      <c r="AH327">
        <v>1</v>
      </c>
      <c r="AI327">
        <v>3</v>
      </c>
      <c r="AJ327" t="s">
        <v>53</v>
      </c>
      <c r="AK327" t="s">
        <v>54</v>
      </c>
      <c r="AL327" t="s">
        <v>79</v>
      </c>
      <c r="AM327" t="str">
        <f>HYPERLINK(".\links\SWISSP\TI_asb-530-SWISSP.txt","Putative potassium channel regulatory protein unc-93 OS=Caenorhabditis elegans")</f>
        <v>Putative potassium channel regulatory protein unc-93 OS=Caenorhabditis elegans</v>
      </c>
      <c r="AN327" s="19" t="str">
        <f>HYPERLINK("http://www.uniprot.org/uniprot/Q93380","1.5")</f>
        <v>1.5</v>
      </c>
      <c r="AO327" t="str">
        <f>HYPERLINK(".\links\SWISSP\TI_asb-530-SWISSP.txt"," 10")</f>
        <v xml:space="preserve"> 10</v>
      </c>
      <c r="AP327" t="s">
        <v>3074</v>
      </c>
      <c r="AQ327">
        <v>33.9</v>
      </c>
      <c r="AR327">
        <v>59</v>
      </c>
      <c r="AS327">
        <v>705</v>
      </c>
      <c r="AT327">
        <v>35</v>
      </c>
      <c r="AU327">
        <v>8</v>
      </c>
      <c r="AV327">
        <v>38</v>
      </c>
      <c r="AW327">
        <v>0</v>
      </c>
      <c r="AX327">
        <v>220</v>
      </c>
      <c r="AY327">
        <v>645</v>
      </c>
      <c r="AZ327">
        <v>1</v>
      </c>
      <c r="BA327">
        <v>3</v>
      </c>
      <c r="BB327" t="s">
        <v>53</v>
      </c>
      <c r="BC327" t="s">
        <v>54</v>
      </c>
      <c r="BD327" t="s">
        <v>385</v>
      </c>
      <c r="BE327" t="s">
        <v>3115</v>
      </c>
      <c r="BF327" t="s">
        <v>3116</v>
      </c>
      <c r="BG327" t="str">
        <f>HYPERLINK(".\links\PREV-RHOD-PEP\TI_asb-530-PREV-RHOD-PEP.txt","Contig17963_39")</f>
        <v>Contig17963_39</v>
      </c>
      <c r="BH327" s="7">
        <v>2.0000000000000001E-53</v>
      </c>
      <c r="BI327" t="str">
        <f>HYPERLINK(".\links\PREV-RHOD-PEP\TI_asb-530-PREV-RHOD-PEP.txt"," 10")</f>
        <v xml:space="preserve"> 10</v>
      </c>
      <c r="BJ327" t="s">
        <v>384</v>
      </c>
      <c r="BK327">
        <v>205</v>
      </c>
      <c r="BL327">
        <v>134</v>
      </c>
      <c r="BM327">
        <v>225</v>
      </c>
      <c r="BN327">
        <v>75</v>
      </c>
      <c r="BO327">
        <v>60</v>
      </c>
      <c r="BP327">
        <v>33</v>
      </c>
      <c r="BQ327">
        <v>0</v>
      </c>
      <c r="BR327">
        <v>1</v>
      </c>
      <c r="BS327">
        <v>15</v>
      </c>
      <c r="BT327">
        <v>1</v>
      </c>
      <c r="BU327" t="s">
        <v>54</v>
      </c>
      <c r="BV327" t="s">
        <v>3117</v>
      </c>
      <c r="BW327" t="s">
        <v>56</v>
      </c>
      <c r="BX327" t="str">
        <f>HYPERLINK(".\links\PREV-RHOD-CDS\TI_asb-530-PREV-RHOD-CDS.txt","Contig17963_39")</f>
        <v>Contig17963_39</v>
      </c>
      <c r="BY327" s="7">
        <v>1E-62</v>
      </c>
      <c r="BZ327" t="s">
        <v>384</v>
      </c>
      <c r="CA327">
        <v>240</v>
      </c>
      <c r="CB327">
        <v>292</v>
      </c>
      <c r="CC327">
        <v>678</v>
      </c>
      <c r="CD327">
        <v>85</v>
      </c>
      <c r="CE327">
        <v>43</v>
      </c>
      <c r="CF327">
        <v>43</v>
      </c>
      <c r="CG327">
        <v>0</v>
      </c>
      <c r="CH327">
        <v>94</v>
      </c>
      <c r="CI327">
        <v>111</v>
      </c>
      <c r="CJ327">
        <v>1</v>
      </c>
      <c r="CK327" t="s">
        <v>54</v>
      </c>
      <c r="CL327" t="s">
        <v>3080</v>
      </c>
      <c r="CM327">
        <f>HYPERLINK(".\links\GO\TI_asb-530-GO.txt",0.42)</f>
        <v>0.42</v>
      </c>
      <c r="CN327" t="s">
        <v>208</v>
      </c>
      <c r="CO327" t="s">
        <v>185</v>
      </c>
      <c r="CP327" t="s">
        <v>186</v>
      </c>
      <c r="CQ327" t="s">
        <v>209</v>
      </c>
      <c r="CR327" s="6">
        <v>0.42</v>
      </c>
      <c r="CS327" t="s">
        <v>277</v>
      </c>
      <c r="CT327" t="s">
        <v>75</v>
      </c>
      <c r="CU327" t="s">
        <v>92</v>
      </c>
      <c r="CV327" t="s">
        <v>278</v>
      </c>
      <c r="CW327" s="6">
        <v>0.42</v>
      </c>
      <c r="CX327" t="s">
        <v>3081</v>
      </c>
      <c r="CY327" t="s">
        <v>185</v>
      </c>
      <c r="CZ327" t="s">
        <v>186</v>
      </c>
      <c r="DA327" t="s">
        <v>3082</v>
      </c>
      <c r="DB327" s="6">
        <v>0.42</v>
      </c>
      <c r="DC327" t="str">
        <f>HYPERLINK(".\links\CDD\TI_asb-530-CDD.txt","JHBP")</f>
        <v>JHBP</v>
      </c>
      <c r="DD327" t="str">
        <f>HYPERLINK("http://www.ncbi.nlm.nih.gov/Structure/cdd/cddsrv.cgi?uid=smart00700&amp;version=v4.0","6E-011")</f>
        <v>6E-011</v>
      </c>
      <c r="DE327" t="s">
        <v>3118</v>
      </c>
      <c r="DF327" t="str">
        <f>HYPERLINK(".\links\PFAM\TI_asb-530-PFAM.txt","DUF233")</f>
        <v>DUF233</v>
      </c>
      <c r="DG327" t="str">
        <f>HYPERLINK("http://pfam.sanger.ac.uk/family?acc=PF03027","2E-006")</f>
        <v>2E-006</v>
      </c>
      <c r="DH327" t="str">
        <f>HYPERLINK(".\links\PRK\TI_asb-530-PRK.txt","translation initiation factor IF-3")</f>
        <v>translation initiation factor IF-3</v>
      </c>
      <c r="DI327" s="6">
        <v>2.7E-2</v>
      </c>
      <c r="DJ327" s="6" t="s">
        <v>56</v>
      </c>
      <c r="DN327" t="str">
        <f>HYPERLINK(".\links\SMART\TI_asb-530-SMART.txt","JHBP")</f>
        <v>JHBP</v>
      </c>
      <c r="DO327" t="str">
        <f>HYPERLINK("http://smart.embl-heidelberg.de/smart/do_annotation.pl?DOMAIN=JHBP&amp;BLAST=DUMMY","2E-010")</f>
        <v>2E-010</v>
      </c>
      <c r="DP327" s="3" t="s">
        <v>56</v>
      </c>
      <c r="ED327" s="3" t="s">
        <v>56</v>
      </c>
    </row>
    <row r="328" spans="1:147">
      <c r="A328" t="str">
        <f>HYPERLINK(".\links\seq\TI_asb-531-seq.txt","TI_asb-531")</f>
        <v>TI_asb-531</v>
      </c>
      <c r="B328">
        <v>531</v>
      </c>
      <c r="C328" s="27" t="str">
        <f>HYPERLINK(".\links\tsa\TI_asb-531-tsa.txt","6")</f>
        <v>6</v>
      </c>
      <c r="D328">
        <v>4</v>
      </c>
      <c r="E328">
        <v>875</v>
      </c>
      <c r="F328">
        <v>840</v>
      </c>
      <c r="G328" t="str">
        <f>HYPERLINK(".\links\qual\TI_asb-531-qual.txt","65")</f>
        <v>65</v>
      </c>
      <c r="H328">
        <v>3</v>
      </c>
      <c r="I328">
        <v>3</v>
      </c>
      <c r="J328">
        <f t="shared" si="16"/>
        <v>0</v>
      </c>
      <c r="K328" s="6">
        <f t="shared" si="17"/>
        <v>0</v>
      </c>
      <c r="L328" s="6" t="s">
        <v>3952</v>
      </c>
      <c r="M328" s="6" t="s">
        <v>3863</v>
      </c>
      <c r="N328" s="6" t="s">
        <v>3902</v>
      </c>
      <c r="O328" s="6">
        <v>1.9999999999999999E-11</v>
      </c>
      <c r="P328" s="6">
        <v>85.7</v>
      </c>
      <c r="Q328" s="3">
        <v>875</v>
      </c>
      <c r="R328" s="3">
        <v>765</v>
      </c>
      <c r="S328" s="6" t="s">
        <v>3807</v>
      </c>
      <c r="T328" s="3">
        <v>2</v>
      </c>
      <c r="U328" t="str">
        <f>HYPERLINK(".\links\NR-LIGHT\TI_asb-531-NR-LIGHT.txt","similar to CG14661 CG14661-PA")</f>
        <v>similar to CG14661 CG14661-PA</v>
      </c>
      <c r="V328" t="str">
        <f>HYPERLINK("http://www.ncbi.nlm.nih.gov/sutils/blink.cgi?pid=91082781","3E-004")</f>
        <v>3E-004</v>
      </c>
      <c r="W328" t="str">
        <f>HYPERLINK(".\links\NR-LIGHT\TI_asb-531-NR-LIGHT.txt"," 10")</f>
        <v xml:space="preserve"> 10</v>
      </c>
      <c r="X328" t="str">
        <f>HYPERLINK("http://www.ncbi.nlm.nih.gov/protein/91082781","gi|91082781")</f>
        <v>gi|91082781</v>
      </c>
      <c r="Y328">
        <v>48.5</v>
      </c>
      <c r="Z328">
        <v>122</v>
      </c>
      <c r="AA328">
        <v>249</v>
      </c>
      <c r="AB328">
        <v>27</v>
      </c>
      <c r="AC328">
        <v>49</v>
      </c>
      <c r="AD328">
        <v>89</v>
      </c>
      <c r="AE328">
        <v>8</v>
      </c>
      <c r="AF328">
        <v>37</v>
      </c>
      <c r="AG328">
        <v>119</v>
      </c>
      <c r="AH328">
        <v>1</v>
      </c>
      <c r="AI328">
        <v>2</v>
      </c>
      <c r="AJ328" t="s">
        <v>53</v>
      </c>
      <c r="AK328" t="s">
        <v>54</v>
      </c>
      <c r="AL328" t="s">
        <v>79</v>
      </c>
      <c r="AM328" t="str">
        <f>HYPERLINK(".\links\SWISSP\TI_asb-531-SWISSP.txt","UPF0182 protein alr1037 OS=Nostoc sp. (strain PCC 7120 / UTEX 2576) GN=alr1037")</f>
        <v>UPF0182 protein alr1037 OS=Nostoc sp. (strain PCC 7120 / UTEX 2576) GN=alr1037</v>
      </c>
      <c r="AN328" s="19" t="str">
        <f>HYPERLINK("http://www.uniprot.org/uniprot/P58612","3.4")</f>
        <v>3.4</v>
      </c>
      <c r="AO328" t="str">
        <f>HYPERLINK(".\links\SWISSP\TI_asb-531-SWISSP.txt"," 10")</f>
        <v xml:space="preserve"> 10</v>
      </c>
      <c r="AP328" t="s">
        <v>3119</v>
      </c>
      <c r="AQ328">
        <v>32.700000000000003</v>
      </c>
      <c r="AR328">
        <v>59</v>
      </c>
      <c r="AS328">
        <v>1002</v>
      </c>
      <c r="AT328">
        <v>30</v>
      </c>
      <c r="AU328">
        <v>6</v>
      </c>
      <c r="AV328">
        <v>41</v>
      </c>
      <c r="AW328">
        <v>0</v>
      </c>
      <c r="AX328">
        <v>338</v>
      </c>
      <c r="AY328">
        <v>65</v>
      </c>
      <c r="AZ328">
        <v>1</v>
      </c>
      <c r="BA328">
        <v>-2</v>
      </c>
      <c r="BB328" t="s">
        <v>53</v>
      </c>
      <c r="BC328" t="s">
        <v>64</v>
      </c>
      <c r="BD328" t="s">
        <v>3120</v>
      </c>
      <c r="BE328" t="s">
        <v>3121</v>
      </c>
      <c r="BF328" t="s">
        <v>3122</v>
      </c>
      <c r="BG328" t="str">
        <f>HYPERLINK(".\links\PREV-RHOD-PEP\TI_asb-531-PREV-RHOD-PEP.txt","Contig17963_39")</f>
        <v>Contig17963_39</v>
      </c>
      <c r="BH328" s="7">
        <v>6.0000000000000004E-53</v>
      </c>
      <c r="BI328" t="str">
        <f>HYPERLINK(".\links\PREV-RHOD-PEP\TI_asb-531-PREV-RHOD-PEP.txt"," 10")</f>
        <v xml:space="preserve"> 10</v>
      </c>
      <c r="BJ328" t="s">
        <v>384</v>
      </c>
      <c r="BK328">
        <v>203</v>
      </c>
      <c r="BL328">
        <v>134</v>
      </c>
      <c r="BM328">
        <v>225</v>
      </c>
      <c r="BN328">
        <v>74</v>
      </c>
      <c r="BO328">
        <v>60</v>
      </c>
      <c r="BP328">
        <v>34</v>
      </c>
      <c r="BQ328">
        <v>0</v>
      </c>
      <c r="BR328">
        <v>1</v>
      </c>
      <c r="BS328">
        <v>17</v>
      </c>
      <c r="BT328">
        <v>1</v>
      </c>
      <c r="BU328" t="s">
        <v>54</v>
      </c>
      <c r="BV328" t="s">
        <v>3123</v>
      </c>
      <c r="BW328" t="s">
        <v>56</v>
      </c>
      <c r="BX328" t="str">
        <f>HYPERLINK(".\links\PREV-RHOD-CDS\TI_asb-531-PREV-RHOD-CDS.txt","Contig17963_39")</f>
        <v>Contig17963_39</v>
      </c>
      <c r="BY328" s="7">
        <v>9.0000000000000006E-58</v>
      </c>
      <c r="BZ328" t="s">
        <v>384</v>
      </c>
      <c r="CA328">
        <v>224</v>
      </c>
      <c r="CB328">
        <v>292</v>
      </c>
      <c r="CC328">
        <v>678</v>
      </c>
      <c r="CD328">
        <v>84</v>
      </c>
      <c r="CE328">
        <v>43</v>
      </c>
      <c r="CF328">
        <v>45</v>
      </c>
      <c r="CG328">
        <v>0</v>
      </c>
      <c r="CH328">
        <v>94</v>
      </c>
      <c r="CI328">
        <v>113</v>
      </c>
      <c r="CJ328">
        <v>1</v>
      </c>
      <c r="CK328" t="s">
        <v>54</v>
      </c>
      <c r="CL328" t="s">
        <v>3124</v>
      </c>
      <c r="CM328">
        <f>HYPERLINK(".\links\GO\TI_asb-531-GO.txt",0.95)</f>
        <v>0.95</v>
      </c>
      <c r="CN328" t="s">
        <v>221</v>
      </c>
      <c r="CO328" t="s">
        <v>185</v>
      </c>
      <c r="CP328" t="s">
        <v>222</v>
      </c>
      <c r="CQ328" t="s">
        <v>223</v>
      </c>
      <c r="CR328">
        <v>2.8</v>
      </c>
      <c r="CS328" t="s">
        <v>224</v>
      </c>
      <c r="CT328" t="s">
        <v>75</v>
      </c>
      <c r="CU328" t="s">
        <v>76</v>
      </c>
      <c r="CV328" t="s">
        <v>225</v>
      </c>
      <c r="CW328">
        <v>2.8</v>
      </c>
      <c r="CX328" t="s">
        <v>62</v>
      </c>
      <c r="CY328" t="s">
        <v>185</v>
      </c>
      <c r="CZ328" t="s">
        <v>222</v>
      </c>
      <c r="DA328" t="s">
        <v>63</v>
      </c>
      <c r="DB328">
        <v>2.8</v>
      </c>
      <c r="DC328" t="str">
        <f>HYPERLINK(".\links\CDD\TI_asb-531-CDD.txt","JHBP")</f>
        <v>JHBP</v>
      </c>
      <c r="DD328" t="str">
        <f>HYPERLINK("http://www.ncbi.nlm.nih.gov/Structure/cdd/cddsrv.cgi?uid=smart00700&amp;version=v4.0","2E-009")</f>
        <v>2E-009</v>
      </c>
      <c r="DE328" t="s">
        <v>3125</v>
      </c>
      <c r="DF328" t="str">
        <f>HYPERLINK(".\links\PFAM\TI_asb-531-PFAM.txt","DUF233")</f>
        <v>DUF233</v>
      </c>
      <c r="DG328" t="str">
        <f>HYPERLINK("http://pfam.sanger.ac.uk/family?acc=PF03027","3E-004")</f>
        <v>3E-004</v>
      </c>
      <c r="DH328" t="str">
        <f>HYPERLINK(".\links\PRK\TI_asb-531-PRK.txt","NADH dehydrogenase subunit 5")</f>
        <v>NADH dehydrogenase subunit 5</v>
      </c>
      <c r="DI328" s="7">
        <v>4.0000000000000002E-4</v>
      </c>
      <c r="DJ328" s="6" t="str">
        <f>HYPERLINK(".\links\KOG\TI_asb-531-KOG.txt","Predicted small molecule transporter")</f>
        <v>Predicted small molecule transporter</v>
      </c>
      <c r="DK328" s="6" t="str">
        <f>HYPERLINK("http://www.ncbi.nlm.nih.gov/COG/grace/shokog.cgi?KOG1162","0.004")</f>
        <v>0.004</v>
      </c>
      <c r="DL328" s="6" t="s">
        <v>4352</v>
      </c>
      <c r="DM328" s="6" t="str">
        <f>HYPERLINK(".\links\KOG\TI_asb-531-KOG.txt","KOG1162")</f>
        <v>KOG1162</v>
      </c>
      <c r="DN328" t="str">
        <f>HYPERLINK(".\links\SMART\TI_asb-531-SMART.txt","JHBP")</f>
        <v>JHBP</v>
      </c>
      <c r="DO328" t="str">
        <f>HYPERLINK("http://smart.embl-heidelberg.de/smart/do_annotation.pl?DOMAIN=JHBP&amp;BLAST=DUMMY","2E-011")</f>
        <v>2E-011</v>
      </c>
      <c r="DP328" s="3" t="s">
        <v>56</v>
      </c>
      <c r="ED328" s="3" t="s">
        <v>56</v>
      </c>
    </row>
    <row r="329" spans="1:147" s="26" customFormat="1">
      <c r="A329" s="26" t="str">
        <f>HYPERLINK(".\links\seq\TI_asb-532-seq.txt","TI_asb-532")</f>
        <v>TI_asb-532</v>
      </c>
      <c r="B329" s="26">
        <v>532</v>
      </c>
      <c r="C329" s="27" t="str">
        <f>HYPERLINK(".\links\tsa\TI_asb-532-tsa.txt","2")</f>
        <v>2</v>
      </c>
      <c r="D329" s="26">
        <v>2</v>
      </c>
      <c r="E329" s="26">
        <v>835</v>
      </c>
      <c r="G329" s="26" t="str">
        <f>HYPERLINK(".\links\qual\TI_asb-532-qual.txt","67")</f>
        <v>67</v>
      </c>
      <c r="H329" s="26">
        <v>0</v>
      </c>
      <c r="I329" s="26">
        <v>2</v>
      </c>
      <c r="J329" s="26">
        <f t="shared" si="16"/>
        <v>2</v>
      </c>
      <c r="K329" s="26">
        <f t="shared" si="17"/>
        <v>-2</v>
      </c>
      <c r="L329" s="26" t="s">
        <v>4029</v>
      </c>
      <c r="M329" s="26" t="s">
        <v>3978</v>
      </c>
      <c r="N329" s="26" t="s">
        <v>3902</v>
      </c>
      <c r="O329" s="26">
        <v>3.0000000000000001E-12</v>
      </c>
      <c r="P329" s="26">
        <v>94.3</v>
      </c>
      <c r="Q329" s="26">
        <v>835</v>
      </c>
      <c r="R329" s="26">
        <v>372</v>
      </c>
      <c r="S329" s="26" t="s">
        <v>3808</v>
      </c>
      <c r="T329" s="26">
        <v>1</v>
      </c>
      <c r="U329" s="26" t="str">
        <f>HYPERLINK(".\links\NR-LIGHT\TI_asb-532-NR-LIGHT.txt","kininogen-1 isoform 3")</f>
        <v>kininogen-1 isoform 3</v>
      </c>
      <c r="V329" s="26" t="str">
        <f>HYPERLINK("http://www.ncbi.nlm.nih.gov/sutils/blink.cgi?pid=156231023","0.006")</f>
        <v>0.006</v>
      </c>
      <c r="W329" s="26" t="str">
        <f>HYPERLINK(".\links\NR-LIGHT\TI_asb-532-NR-LIGHT.txt"," 10")</f>
        <v xml:space="preserve"> 10</v>
      </c>
      <c r="X329" s="26" t="str">
        <f>HYPERLINK("http://www.ncbi.nlm.nih.gov/protein/156231023","gi|156231023")</f>
        <v>gi|156231023</v>
      </c>
      <c r="Y329" s="26">
        <v>43.9</v>
      </c>
      <c r="Z329" s="26">
        <v>113</v>
      </c>
      <c r="AA329" s="26">
        <v>480</v>
      </c>
      <c r="AB329" s="26">
        <v>30</v>
      </c>
      <c r="AC329" s="26">
        <v>24</v>
      </c>
      <c r="AD329" s="26">
        <v>79</v>
      </c>
      <c r="AE329" s="26">
        <v>6</v>
      </c>
      <c r="AF329" s="26">
        <v>261</v>
      </c>
      <c r="AG329" s="26">
        <v>139</v>
      </c>
      <c r="AH329" s="26">
        <v>1</v>
      </c>
      <c r="AI329" s="26">
        <v>1</v>
      </c>
      <c r="AJ329" s="26" t="s">
        <v>53</v>
      </c>
      <c r="AK329" s="26" t="s">
        <v>54</v>
      </c>
      <c r="AL329" s="26" t="s">
        <v>214</v>
      </c>
      <c r="AM329" s="26" t="str">
        <f>HYPERLINK(".\links\SWISSP\TI_asb-532-SWISSP.txt","Sarcocystatin-A OS=Sarcophaga peregrina PE=1 SV=1")</f>
        <v>Sarcocystatin-A OS=Sarcophaga peregrina PE=1 SV=1</v>
      </c>
      <c r="AN329" s="29" t="str">
        <f>HYPERLINK("http://www.uniprot.org/uniprot/P31727","3E-005")</f>
        <v>3E-005</v>
      </c>
      <c r="AO329" s="26" t="str">
        <f>HYPERLINK(".\links\SWISSP\TI_asb-532-SWISSP.txt"," 10")</f>
        <v xml:space="preserve"> 10</v>
      </c>
      <c r="AP329" s="26" t="s">
        <v>3126</v>
      </c>
      <c r="AQ329" s="26">
        <v>49.3</v>
      </c>
      <c r="AR329" s="26">
        <v>99</v>
      </c>
      <c r="AS329" s="26">
        <v>122</v>
      </c>
      <c r="AT329" s="26">
        <v>29</v>
      </c>
      <c r="AU329" s="26">
        <v>81</v>
      </c>
      <c r="AV329" s="26">
        <v>70</v>
      </c>
      <c r="AW329" s="26">
        <v>5</v>
      </c>
      <c r="AX329" s="26">
        <v>3</v>
      </c>
      <c r="AY329" s="26">
        <v>85</v>
      </c>
      <c r="AZ329" s="26">
        <v>1</v>
      </c>
      <c r="BA329" s="26">
        <v>1</v>
      </c>
      <c r="BB329" s="26" t="s">
        <v>53</v>
      </c>
      <c r="BC329" s="26" t="s">
        <v>54</v>
      </c>
      <c r="BD329" s="26" t="s">
        <v>3127</v>
      </c>
      <c r="BE329" s="26" t="s">
        <v>3128</v>
      </c>
      <c r="BF329" s="26" t="s">
        <v>3129</v>
      </c>
      <c r="BG329" s="26" t="str">
        <f>HYPERLINK(".\links\PREV-RHOD-PEP\TI_asb-532-PREV-RHOD-PEP.txt","Contig18034_95")</f>
        <v>Contig18034_95</v>
      </c>
      <c r="BH329" s="28">
        <v>2.0000000000000001E-33</v>
      </c>
      <c r="BI329" s="26" t="str">
        <f>HYPERLINK(".\links\PREV-RHOD-PEP\TI_asb-532-PREV-RHOD-PEP.txt"," 7")</f>
        <v xml:space="preserve"> 7</v>
      </c>
      <c r="BJ329" s="26" t="s">
        <v>2364</v>
      </c>
      <c r="BK329" s="26">
        <v>138</v>
      </c>
      <c r="BL329" s="26">
        <v>112</v>
      </c>
      <c r="BM329" s="26">
        <v>470</v>
      </c>
      <c r="BN329" s="26">
        <v>58</v>
      </c>
      <c r="BO329" s="26">
        <v>24</v>
      </c>
      <c r="BP329" s="26">
        <v>47</v>
      </c>
      <c r="BQ329" s="26">
        <v>0</v>
      </c>
      <c r="BR329" s="26">
        <v>1</v>
      </c>
      <c r="BS329" s="26">
        <v>67</v>
      </c>
      <c r="BT329" s="26">
        <v>1</v>
      </c>
      <c r="BU329" s="26" t="s">
        <v>54</v>
      </c>
      <c r="BV329" s="26" t="s">
        <v>3130</v>
      </c>
      <c r="BW329" s="26" t="s">
        <v>56</v>
      </c>
      <c r="BX329" s="26" t="str">
        <f>HYPERLINK(".\links\PREV-RHOD-CDS\TI_asb-532-PREV-RHOD-CDS.txt","Contig18035_48")</f>
        <v>Contig18035_48</v>
      </c>
      <c r="BY329" s="26">
        <v>0.1</v>
      </c>
      <c r="BZ329" s="26" t="s">
        <v>3131</v>
      </c>
      <c r="CA329" s="26">
        <v>38.200000000000003</v>
      </c>
      <c r="CB329" s="26">
        <v>22</v>
      </c>
      <c r="CC329" s="26">
        <v>1158</v>
      </c>
      <c r="CD329" s="26">
        <v>95</v>
      </c>
      <c r="CE329" s="26">
        <v>2</v>
      </c>
      <c r="CF329" s="26">
        <v>1</v>
      </c>
      <c r="CG329" s="26">
        <v>0</v>
      </c>
      <c r="CH329" s="26">
        <v>348</v>
      </c>
      <c r="CI329" s="26">
        <v>784</v>
      </c>
      <c r="CJ329" s="26">
        <v>1</v>
      </c>
      <c r="CK329" s="26" t="s">
        <v>54</v>
      </c>
      <c r="CL329" s="26" t="s">
        <v>2366</v>
      </c>
      <c r="CM329" s="26">
        <f>HYPERLINK(".\links\GO\TI_asb-532-GO.txt",0.002)</f>
        <v>2E-3</v>
      </c>
      <c r="CN329" s="26" t="s">
        <v>2367</v>
      </c>
      <c r="CO329" s="26" t="s">
        <v>185</v>
      </c>
      <c r="CP329" s="26" t="s">
        <v>186</v>
      </c>
      <c r="CQ329" s="26" t="s">
        <v>2368</v>
      </c>
      <c r="CR329" s="26">
        <v>2E-3</v>
      </c>
      <c r="CS329" s="26" t="s">
        <v>1136</v>
      </c>
      <c r="CT329" s="26" t="s">
        <v>540</v>
      </c>
      <c r="CU329" s="26" t="s">
        <v>1137</v>
      </c>
      <c r="CV329" s="26" t="s">
        <v>1138</v>
      </c>
      <c r="CW329" s="26">
        <v>2E-3</v>
      </c>
      <c r="CX329" s="26" t="s">
        <v>2369</v>
      </c>
      <c r="CY329" s="26" t="s">
        <v>185</v>
      </c>
      <c r="CZ329" s="26" t="s">
        <v>186</v>
      </c>
      <c r="DA329" s="26" t="s">
        <v>2370</v>
      </c>
      <c r="DB329" s="26">
        <v>2E-3</v>
      </c>
      <c r="DC329" s="26" t="str">
        <f>HYPERLINK(".\links\CDD\TI_asb-532-CDD.txt","CY")</f>
        <v>CY</v>
      </c>
      <c r="DD329" s="26" t="str">
        <f>HYPERLINK("http://www.ncbi.nlm.nih.gov/Structure/cdd/cddsrv.cgi?uid=smart00043&amp;version=v4.0","3E-010")</f>
        <v>3E-010</v>
      </c>
      <c r="DE329" s="26" t="s">
        <v>3132</v>
      </c>
      <c r="DF329" s="26" t="str">
        <f>HYPERLINK(".\links\PFAM\TI_asb-532-PFAM.txt","Cystatin")</f>
        <v>Cystatin</v>
      </c>
      <c r="DG329" s="26" t="str">
        <f>HYPERLINK("http://pfam.sanger.ac.uk/family?acc=PF00031","2E-007")</f>
        <v>2E-007</v>
      </c>
      <c r="DH329" s="26" t="str">
        <f>HYPERLINK(".\links\PRK\TI_asb-532-PRK.txt","DNA polymerase III subunit delta'")</f>
        <v>DNA polymerase III subunit delta'</v>
      </c>
      <c r="DI329" s="26">
        <v>7.0000000000000001E-3</v>
      </c>
      <c r="DJ329" s="26" t="s">
        <v>56</v>
      </c>
      <c r="DN329" s="26" t="str">
        <f>HYPERLINK(".\links\SMART\TI_asb-532-SMART.txt","CY")</f>
        <v>CY</v>
      </c>
      <c r="DO329" s="26" t="str">
        <f>HYPERLINK("http://smart.embl-heidelberg.de/smart/do_annotation.pl?DOMAIN=CY&amp;BLAST=DUMMY","3E-012")</f>
        <v>3E-012</v>
      </c>
      <c r="DP329" s="26" t="s">
        <v>56</v>
      </c>
      <c r="ED329" s="26" t="s">
        <v>56</v>
      </c>
    </row>
    <row r="330" spans="1:147">
      <c r="A330" t="str">
        <f>HYPERLINK(".\links\seq\TI_asb-533-seq.txt","TI_asb-533")</f>
        <v>TI_asb-533</v>
      </c>
      <c r="B330">
        <v>533</v>
      </c>
      <c r="C330" t="str">
        <f>HYPERLINK(".\links\tsa\TI_asb-533-tsa.txt","1")</f>
        <v>1</v>
      </c>
      <c r="D330">
        <v>1</v>
      </c>
      <c r="E330">
        <v>952</v>
      </c>
      <c r="F330">
        <v>870</v>
      </c>
      <c r="G330" t="str">
        <f>HYPERLINK(".\links\qual\TI_asb-533-qual.txt","31")</f>
        <v>31</v>
      </c>
      <c r="H330">
        <v>1</v>
      </c>
      <c r="I330">
        <v>0</v>
      </c>
      <c r="J330">
        <f t="shared" si="16"/>
        <v>1</v>
      </c>
      <c r="K330" s="6">
        <f t="shared" si="17"/>
        <v>1</v>
      </c>
      <c r="L330" s="6" t="s">
        <v>4029</v>
      </c>
      <c r="M330" s="6" t="s">
        <v>3978</v>
      </c>
      <c r="N330" s="6" t="s">
        <v>3902</v>
      </c>
      <c r="O330" s="6">
        <v>2.0000000000000001E-13</v>
      </c>
      <c r="P330" s="6">
        <v>94.3</v>
      </c>
      <c r="Q330" s="3">
        <v>952</v>
      </c>
      <c r="R330" s="3">
        <v>396</v>
      </c>
      <c r="S330" s="3" t="s">
        <v>3809</v>
      </c>
      <c r="T330" s="3">
        <v>1</v>
      </c>
      <c r="U330" t="str">
        <f>HYPERLINK(".\links\NR-LIGHT\TI_asb-533-NR-LIGHT.txt","kininogen-1 isoform 3")</f>
        <v>kininogen-1 isoform 3</v>
      </c>
      <c r="V330" t="str">
        <f>HYPERLINK("http://www.ncbi.nlm.nih.gov/sutils/blink.cgi?pid=156231023","0.001")</f>
        <v>0.001</v>
      </c>
      <c r="W330" t="str">
        <f>HYPERLINK(".\links\NR-LIGHT\TI_asb-533-NR-LIGHT.txt"," 10")</f>
        <v xml:space="preserve"> 10</v>
      </c>
      <c r="X330" t="str">
        <f>HYPERLINK("http://www.ncbi.nlm.nih.gov/protein/156231023","gi|156231023")</f>
        <v>gi|156231023</v>
      </c>
      <c r="Y330">
        <v>46.6</v>
      </c>
      <c r="Z330">
        <v>113</v>
      </c>
      <c r="AA330">
        <v>480</v>
      </c>
      <c r="AB330">
        <v>30</v>
      </c>
      <c r="AC330">
        <v>24</v>
      </c>
      <c r="AD330">
        <v>79</v>
      </c>
      <c r="AE330">
        <v>6</v>
      </c>
      <c r="AF330">
        <v>261</v>
      </c>
      <c r="AG330">
        <v>139</v>
      </c>
      <c r="AH330">
        <v>1</v>
      </c>
      <c r="AI330">
        <v>1</v>
      </c>
      <c r="AJ330" t="s">
        <v>53</v>
      </c>
      <c r="AK330" t="s">
        <v>54</v>
      </c>
      <c r="AL330" t="s">
        <v>214</v>
      </c>
      <c r="AM330" t="str">
        <f>HYPERLINK(".\links\SWISSP\TI_asb-533-SWISSP.txt","Sarcocystatin-A OS=Sarcophaga peregrina PE=1 SV=1")</f>
        <v>Sarcocystatin-A OS=Sarcophaga peregrina PE=1 SV=1</v>
      </c>
      <c r="AN330" s="19" t="str">
        <f>HYPERLINK("http://www.uniprot.org/uniprot/P31727","1E-004")</f>
        <v>1E-004</v>
      </c>
      <c r="AO330" t="str">
        <f>HYPERLINK(".\links\SWISSP\TI_asb-533-SWISSP.txt"," 10")</f>
        <v xml:space="preserve"> 10</v>
      </c>
      <c r="AP330" t="s">
        <v>3126</v>
      </c>
      <c r="AQ330">
        <v>47.8</v>
      </c>
      <c r="AR330">
        <v>98</v>
      </c>
      <c r="AS330">
        <v>122</v>
      </c>
      <c r="AT330">
        <v>29</v>
      </c>
      <c r="AU330">
        <v>80</v>
      </c>
      <c r="AV330">
        <v>69</v>
      </c>
      <c r="AW330">
        <v>5</v>
      </c>
      <c r="AX330">
        <v>4</v>
      </c>
      <c r="AY330">
        <v>88</v>
      </c>
      <c r="AZ330">
        <v>1</v>
      </c>
      <c r="BA330">
        <v>1</v>
      </c>
      <c r="BB330" t="s">
        <v>53</v>
      </c>
      <c r="BC330" t="s">
        <v>54</v>
      </c>
      <c r="BD330" t="s">
        <v>3127</v>
      </c>
      <c r="BE330" t="s">
        <v>3133</v>
      </c>
      <c r="BF330" t="s">
        <v>3134</v>
      </c>
      <c r="BG330" t="str">
        <f>HYPERLINK(".\links\PREV-RHOD-PEP\TI_asb-533-PREV-RHOD-PEP.txt","Contig18034_95")</f>
        <v>Contig18034_95</v>
      </c>
      <c r="BH330" s="7">
        <v>2.0000000000000001E-32</v>
      </c>
      <c r="BI330" t="str">
        <f>HYPERLINK(".\links\PREV-RHOD-PEP\TI_asb-533-PREV-RHOD-PEP.txt"," 4")</f>
        <v xml:space="preserve"> 4</v>
      </c>
      <c r="BJ330" t="s">
        <v>2364</v>
      </c>
      <c r="BK330">
        <v>135</v>
      </c>
      <c r="BL330">
        <v>113</v>
      </c>
      <c r="BM330">
        <v>470</v>
      </c>
      <c r="BN330">
        <v>59</v>
      </c>
      <c r="BO330">
        <v>24</v>
      </c>
      <c r="BP330">
        <v>46</v>
      </c>
      <c r="BQ330">
        <v>0</v>
      </c>
      <c r="BR330">
        <v>1</v>
      </c>
      <c r="BS330">
        <v>64</v>
      </c>
      <c r="BT330">
        <v>1</v>
      </c>
      <c r="BU330" t="s">
        <v>54</v>
      </c>
      <c r="BV330" t="s">
        <v>3135</v>
      </c>
      <c r="BW330" t="s">
        <v>56</v>
      </c>
      <c r="BX330" t="str">
        <f>HYPERLINK(".\links\PREV-RHOD-CDS\TI_asb-533-PREV-RHOD-CDS.txt","Contig18034_95")</f>
        <v>Contig18034_95</v>
      </c>
      <c r="BY330" s="7">
        <v>5.0000000000000001E-4</v>
      </c>
      <c r="BZ330" t="s">
        <v>2364</v>
      </c>
      <c r="CA330">
        <v>46.1</v>
      </c>
      <c r="CB330">
        <v>98</v>
      </c>
      <c r="CC330">
        <v>1413</v>
      </c>
      <c r="CD330">
        <v>80</v>
      </c>
      <c r="CE330">
        <v>7</v>
      </c>
      <c r="CF330">
        <v>19</v>
      </c>
      <c r="CG330">
        <v>0</v>
      </c>
      <c r="CH330">
        <v>115</v>
      </c>
      <c r="CI330">
        <v>181</v>
      </c>
      <c r="CJ330">
        <v>1</v>
      </c>
      <c r="CK330" t="s">
        <v>54</v>
      </c>
      <c r="CL330" t="s">
        <v>2366</v>
      </c>
      <c r="CM330">
        <f>HYPERLINK(".\links\GO\TI_asb-533-GO.txt",0.002)</f>
        <v>2E-3</v>
      </c>
      <c r="CN330" t="s">
        <v>2367</v>
      </c>
      <c r="CO330" t="s">
        <v>185</v>
      </c>
      <c r="CP330" t="s">
        <v>186</v>
      </c>
      <c r="CQ330" t="s">
        <v>2368</v>
      </c>
      <c r="CR330" s="6">
        <v>2E-3</v>
      </c>
      <c r="CS330" t="s">
        <v>1136</v>
      </c>
      <c r="CT330" t="s">
        <v>540</v>
      </c>
      <c r="CU330" t="s">
        <v>1137</v>
      </c>
      <c r="CV330" t="s">
        <v>1138</v>
      </c>
      <c r="CW330" s="6">
        <v>2E-3</v>
      </c>
      <c r="CX330" t="s">
        <v>2369</v>
      </c>
      <c r="CY330" t="s">
        <v>185</v>
      </c>
      <c r="CZ330" t="s">
        <v>186</v>
      </c>
      <c r="DA330" t="s">
        <v>2370</v>
      </c>
      <c r="DB330" s="6">
        <v>2E-3</v>
      </c>
      <c r="DC330" t="str">
        <f>HYPERLINK(".\links\CDD\TI_asb-533-CDD.txt","CY")</f>
        <v>CY</v>
      </c>
      <c r="DD330" t="str">
        <f>HYPERLINK("http://www.ncbi.nlm.nih.gov/Structure/cdd/cddsrv.cgi?uid=smart00043&amp;version=v4.0","2E-011")</f>
        <v>2E-011</v>
      </c>
      <c r="DE330" t="s">
        <v>3136</v>
      </c>
      <c r="DF330" t="str">
        <f>HYPERLINK(".\links\PFAM\TI_asb-533-PFAM.txt","Cystatin")</f>
        <v>Cystatin</v>
      </c>
      <c r="DG330" t="str">
        <f>HYPERLINK("http://pfam.sanger.ac.uk/family?acc=PF00031","7E-010")</f>
        <v>7E-010</v>
      </c>
      <c r="DH330" t="str">
        <f>HYPERLINK(".\links\PRK\TI_asb-533-PRK.txt","NADH dehydrogenase subunit 5")</f>
        <v>NADH dehydrogenase subunit 5</v>
      </c>
      <c r="DI330" s="7">
        <v>1E-8</v>
      </c>
      <c r="DJ330" s="6" t="str">
        <f>HYPERLINK(".\links\KOG\TI_asb-533-KOG.txt","NADH dehydrogenase, subunit 4")</f>
        <v>NADH dehydrogenase, subunit 4</v>
      </c>
      <c r="DK330" s="6" t="str">
        <f>HYPERLINK("http://www.ncbi.nlm.nih.gov/COG/grace/shokog.cgi?KOG4845","0.013")</f>
        <v>0.013</v>
      </c>
      <c r="DL330" s="6" t="s">
        <v>4349</v>
      </c>
      <c r="DM330" s="6" t="str">
        <f>HYPERLINK(".\links\KOG\TI_asb-533-KOG.txt","KOG4845")</f>
        <v>KOG4845</v>
      </c>
      <c r="DN330" t="str">
        <f>HYPERLINK(".\links\SMART\TI_asb-533-SMART.txt","CY")</f>
        <v>CY</v>
      </c>
      <c r="DO330" t="str">
        <f>HYPERLINK("http://smart.embl-heidelberg.de/smart/do_annotation.pl?DOMAIN=CY&amp;BLAST=DUMMY","2E-013")</f>
        <v>2E-013</v>
      </c>
      <c r="DP330" s="3" t="s">
        <v>56</v>
      </c>
      <c r="ED330" s="3" t="s">
        <v>56</v>
      </c>
    </row>
    <row r="331" spans="1:147">
      <c r="A331" t="str">
        <f>HYPERLINK(".\links\seq\TI_asb-534-seq.txt","TI_asb-534")</f>
        <v>TI_asb-534</v>
      </c>
      <c r="B331">
        <v>534</v>
      </c>
      <c r="C331" t="str">
        <f>HYPERLINK(".\links\tsa\TI_asb-534-tsa.txt","1")</f>
        <v>1</v>
      </c>
      <c r="D331">
        <v>1</v>
      </c>
      <c r="E331">
        <v>258</v>
      </c>
      <c r="F331">
        <v>223</v>
      </c>
      <c r="G331" t="str">
        <f>HYPERLINK(".\links\qual\TI_asb-534-qual.txt","46")</f>
        <v>46</v>
      </c>
      <c r="H331">
        <v>0</v>
      </c>
      <c r="I331">
        <v>1</v>
      </c>
      <c r="J331">
        <f t="shared" si="16"/>
        <v>1</v>
      </c>
      <c r="K331" s="6">
        <f t="shared" si="17"/>
        <v>-1</v>
      </c>
      <c r="L331" s="6" t="s">
        <v>4064</v>
      </c>
      <c r="M331" s="6" t="s">
        <v>3886</v>
      </c>
      <c r="N331" s="6" t="s">
        <v>3864</v>
      </c>
      <c r="O331" s="6">
        <v>2.9999999999999998E-13</v>
      </c>
      <c r="P331" s="6">
        <v>90.3</v>
      </c>
      <c r="Q331" s="3">
        <v>258</v>
      </c>
      <c r="R331" s="3">
        <v>195</v>
      </c>
      <c r="S331" s="3" t="s">
        <v>3810</v>
      </c>
      <c r="T331" s="3">
        <v>2</v>
      </c>
      <c r="U331" t="str">
        <f>HYPERLINK(".\links\NR-LIGHT\TI_asb-534-NR-LIGHT.txt","hypothetical protein Bm1_17870")</f>
        <v>hypothetical protein Bm1_17870</v>
      </c>
      <c r="V331" t="str">
        <f>HYPERLINK("http://www.ncbi.nlm.nih.gov/sutils/blink.cgi?pid=170579899","3E-013")</f>
        <v>3E-013</v>
      </c>
      <c r="W331" t="str">
        <f>HYPERLINK(".\links\NR-LIGHT\TI_asb-534-NR-LIGHT.txt"," 10")</f>
        <v xml:space="preserve"> 10</v>
      </c>
      <c r="X331" t="str">
        <f>HYPERLINK("http://www.ncbi.nlm.nih.gov/protein/170579899","gi|170579899")</f>
        <v>gi|170579899</v>
      </c>
      <c r="Y331">
        <v>76.3</v>
      </c>
      <c r="Z331">
        <v>56</v>
      </c>
      <c r="AA331">
        <v>62</v>
      </c>
      <c r="AB331">
        <v>67</v>
      </c>
      <c r="AC331">
        <v>90</v>
      </c>
      <c r="AD331">
        <v>18</v>
      </c>
      <c r="AE331">
        <v>0</v>
      </c>
      <c r="AF331">
        <v>1</v>
      </c>
      <c r="AG331">
        <v>31</v>
      </c>
      <c r="AH331">
        <v>1</v>
      </c>
      <c r="AI331">
        <v>-1</v>
      </c>
      <c r="AJ331" t="s">
        <v>53</v>
      </c>
      <c r="AK331" t="s">
        <v>64</v>
      </c>
      <c r="AL331" t="s">
        <v>304</v>
      </c>
      <c r="AM331" t="str">
        <f>HYPERLINK(".\links\SWISSP\TI_asb-534-SWISSP.txt","Mucin-16 OS=Homo sapiens GN=MUC16 PE=1 SV=2")</f>
        <v>Mucin-16 OS=Homo sapiens GN=MUC16 PE=1 SV=2</v>
      </c>
      <c r="AN331" s="19" t="str">
        <f>HYPERLINK("http://www.uniprot.org/uniprot/Q8WXI7","2.0")</f>
        <v>2.0</v>
      </c>
      <c r="AO331" t="str">
        <f>HYPERLINK(".\links\SWISSP\TI_asb-534-SWISSP.txt"," 4")</f>
        <v xml:space="preserve"> 4</v>
      </c>
      <c r="AP331" t="s">
        <v>3137</v>
      </c>
      <c r="AQ331">
        <v>31.2</v>
      </c>
      <c r="AR331">
        <v>41</v>
      </c>
      <c r="AS331">
        <v>22152</v>
      </c>
      <c r="AT331">
        <v>39</v>
      </c>
      <c r="AV331">
        <v>25</v>
      </c>
      <c r="AW331">
        <v>0</v>
      </c>
      <c r="AX331">
        <v>5626</v>
      </c>
      <c r="AY331">
        <v>93</v>
      </c>
      <c r="AZ331">
        <v>1</v>
      </c>
      <c r="BA331">
        <v>-2</v>
      </c>
      <c r="BB331" t="s">
        <v>53</v>
      </c>
      <c r="BC331" t="s">
        <v>64</v>
      </c>
      <c r="BD331" t="s">
        <v>330</v>
      </c>
      <c r="BE331" t="s">
        <v>3138</v>
      </c>
      <c r="BF331" t="s">
        <v>3139</v>
      </c>
      <c r="BG331" t="str">
        <f>HYPERLINK(".\links\PREV-RHOD-PEP\TI_asb-534-PREV-RHOD-PEP.txt","Contig17901_71")</f>
        <v>Contig17901_71</v>
      </c>
      <c r="BH331" s="6">
        <v>0.98</v>
      </c>
      <c r="BI331" t="str">
        <f>HYPERLINK(".\links\PREV-RHOD-PEP\TI_asb-534-PREV-RHOD-PEP.txt"," 2")</f>
        <v xml:space="preserve"> 2</v>
      </c>
      <c r="BJ331" t="s">
        <v>3140</v>
      </c>
      <c r="BK331">
        <v>28.5</v>
      </c>
      <c r="BL331">
        <v>55</v>
      </c>
      <c r="BM331">
        <v>83</v>
      </c>
      <c r="BN331">
        <v>29</v>
      </c>
      <c r="BO331">
        <v>66</v>
      </c>
      <c r="BP331">
        <v>39</v>
      </c>
      <c r="BQ331">
        <v>6</v>
      </c>
      <c r="BR331">
        <v>6</v>
      </c>
      <c r="BS331">
        <v>35</v>
      </c>
      <c r="BT331">
        <v>1</v>
      </c>
      <c r="BU331" t="s">
        <v>54</v>
      </c>
      <c r="BV331" t="s">
        <v>3141</v>
      </c>
      <c r="BW331" t="s">
        <v>56</v>
      </c>
      <c r="BX331" t="str">
        <f>HYPERLINK(".\links\PREV-RHOD-CDS\TI_asb-534-PREV-RHOD-CDS.txt","Contig8007_1")</f>
        <v>Contig8007_1</v>
      </c>
      <c r="BY331" s="7">
        <v>2.0000000000000001E-9</v>
      </c>
      <c r="BZ331" t="s">
        <v>2232</v>
      </c>
      <c r="CA331">
        <v>61.9</v>
      </c>
      <c r="CB331">
        <v>30</v>
      </c>
      <c r="CC331">
        <v>246</v>
      </c>
      <c r="CD331">
        <v>100</v>
      </c>
      <c r="CE331">
        <v>13</v>
      </c>
      <c r="CF331">
        <v>0</v>
      </c>
      <c r="CG331">
        <v>0</v>
      </c>
      <c r="CH331">
        <v>216</v>
      </c>
      <c r="CI331">
        <v>192</v>
      </c>
      <c r="CJ331">
        <v>1</v>
      </c>
      <c r="CK331" t="s">
        <v>64</v>
      </c>
      <c r="CL331" t="s">
        <v>3142</v>
      </c>
      <c r="CM331">
        <f>HYPERLINK(".\links\GO\TI_asb-534-GO.txt",1.8)</f>
        <v>1.8</v>
      </c>
      <c r="CN331" t="s">
        <v>3143</v>
      </c>
      <c r="CO331" t="s">
        <v>185</v>
      </c>
      <c r="CP331" t="s">
        <v>569</v>
      </c>
      <c r="CQ331" t="s">
        <v>3144</v>
      </c>
      <c r="CR331" s="6">
        <v>5.3</v>
      </c>
      <c r="CS331" t="s">
        <v>3145</v>
      </c>
      <c r="CT331" t="s">
        <v>75</v>
      </c>
      <c r="CU331" t="s">
        <v>92</v>
      </c>
      <c r="CV331" t="s">
        <v>3146</v>
      </c>
      <c r="CW331" s="6">
        <v>5.3</v>
      </c>
      <c r="CX331" t="s">
        <v>758</v>
      </c>
      <c r="CY331" t="s">
        <v>185</v>
      </c>
      <c r="CZ331" t="s">
        <v>569</v>
      </c>
      <c r="DA331" t="s">
        <v>759</v>
      </c>
      <c r="DB331" s="6">
        <v>5.3</v>
      </c>
      <c r="DC331" t="str">
        <f>HYPERLINK(".\links\CDD\TI_asb-534-CDD.txt","ND6")</f>
        <v>ND6</v>
      </c>
      <c r="DD331" t="str">
        <f>HYPERLINK("http://www.ncbi.nlm.nih.gov/Structure/cdd/cddsrv.cgi?uid=MTH00115&amp;version=v4.0","0.016")</f>
        <v>0.016</v>
      </c>
      <c r="DE331" t="s">
        <v>3147</v>
      </c>
      <c r="DF331" t="str">
        <f>HYPERLINK(".\links\PFAM\TI_asb-534-PFAM.txt","DUF1754")</f>
        <v>DUF1754</v>
      </c>
      <c r="DG331" t="str">
        <f>HYPERLINK("http://pfam.sanger.ac.uk/family?acc=PF08555","0.028")</f>
        <v>0.028</v>
      </c>
      <c r="DH331" t="str">
        <f>HYPERLINK(".\links\PRK\TI_asb-534-PRK.txt","NADH dehydrogenase subunit 6")</f>
        <v>NADH dehydrogenase subunit 6</v>
      </c>
      <c r="DI331" s="6">
        <v>4.0000000000000001E-3</v>
      </c>
      <c r="DJ331" s="6" t="s">
        <v>56</v>
      </c>
      <c r="DN331" t="str">
        <f>HYPERLINK(".\links\SMART\TI_asb-534-SMART.txt","LITAF")</f>
        <v>LITAF</v>
      </c>
      <c r="DO331" t="str">
        <f>HYPERLINK("http://smart.embl-heidelberg.de/smart/do_annotation.pl?DOMAIN=LITAF&amp;BLAST=DUMMY","0.059")</f>
        <v>0.059</v>
      </c>
      <c r="DP331" s="3" t="str">
        <f>HYPERLINK(".\links\RRNA\TI_asb-534-RRNA.txt","Berndtia purpurea 18S ribosomal RNA (18S rRNA)")</f>
        <v>Berndtia purpurea 18S ribosomal RNA (18S rRNA)</v>
      </c>
      <c r="DQ331" s="3" t="str">
        <f>HYPERLINK("http://www.ncbi.nlm.nih.gov/entrez/viewer.fcgi?db=nucleotide&amp;val=603438","7E-060")</f>
        <v>7E-060</v>
      </c>
      <c r="DR331" s="3" t="str">
        <f>HYPERLINK("http://www.ncbi.nlm.nih.gov/entrez/viewer.fcgi?db=nucleotide&amp;val=603438","gi|603438")</f>
        <v>gi|603438</v>
      </c>
      <c r="DS331" s="3">
        <v>226</v>
      </c>
      <c r="DT331" s="3">
        <v>129</v>
      </c>
      <c r="DU331" s="3">
        <v>1830</v>
      </c>
      <c r="DV331" s="3">
        <v>96</v>
      </c>
      <c r="DW331" s="3">
        <v>7</v>
      </c>
      <c r="DX331" s="3">
        <v>4</v>
      </c>
      <c r="DY331" s="3">
        <v>0</v>
      </c>
      <c r="DZ331" s="3">
        <v>364</v>
      </c>
      <c r="EA331" s="3">
        <v>93</v>
      </c>
      <c r="EB331" s="3">
        <v>1</v>
      </c>
      <c r="EC331" s="3" t="s">
        <v>54</v>
      </c>
      <c r="ED331" s="3" t="s">
        <v>56</v>
      </c>
    </row>
    <row r="332" spans="1:147">
      <c r="A332" t="str">
        <f>HYPERLINK(".\links\seq\TI_asb-535-seq.txt","TI_asb-535")</f>
        <v>TI_asb-535</v>
      </c>
      <c r="B332">
        <v>535</v>
      </c>
      <c r="C332" t="str">
        <f>HYPERLINK(".\links\tsa\TI_asb-535-tsa.txt","2")</f>
        <v>2</v>
      </c>
      <c r="D332">
        <v>2</v>
      </c>
      <c r="E332">
        <v>1034</v>
      </c>
      <c r="F332">
        <v>210</v>
      </c>
      <c r="G332" t="str">
        <f>HYPERLINK(".\links\qual\TI_asb-535-qual.txt","42")</f>
        <v>42</v>
      </c>
      <c r="H332">
        <v>0</v>
      </c>
      <c r="I332">
        <v>2</v>
      </c>
      <c r="J332">
        <f t="shared" si="16"/>
        <v>2</v>
      </c>
      <c r="K332" s="6">
        <f t="shared" si="17"/>
        <v>-2</v>
      </c>
      <c r="L332" s="6" t="s">
        <v>4064</v>
      </c>
      <c r="M332" s="6" t="s">
        <v>3886</v>
      </c>
      <c r="N332" s="6" t="s">
        <v>3864</v>
      </c>
      <c r="O332" s="6">
        <v>4.0000000000000003E-15</v>
      </c>
      <c r="P332" s="6">
        <v>95.1</v>
      </c>
      <c r="Q332" s="3">
        <v>1034</v>
      </c>
      <c r="R332" s="3">
        <v>201</v>
      </c>
      <c r="S332" s="6" t="s">
        <v>3811</v>
      </c>
      <c r="T332" s="3">
        <v>1</v>
      </c>
      <c r="U332" t="str">
        <f>HYPERLINK(".\links\NR-LIGHT\TI_asb-535-NR-LIGHT.txt","hypothetical protein Bm1_17870")</f>
        <v>hypothetical protein Bm1_17870</v>
      </c>
      <c r="V332" t="str">
        <f>HYPERLINK("http://www.ncbi.nlm.nih.gov/sutils/blink.cgi?pid=170579899","4E-015")</f>
        <v>4E-015</v>
      </c>
      <c r="W332" t="str">
        <f>HYPERLINK(".\links\NR-LIGHT\TI_asb-535-NR-LIGHT.txt"," 10")</f>
        <v xml:space="preserve"> 10</v>
      </c>
      <c r="X332" t="str">
        <f>HYPERLINK("http://www.ncbi.nlm.nih.gov/protein/170579899","gi|170579899")</f>
        <v>gi|170579899</v>
      </c>
      <c r="Y332">
        <v>84.7</v>
      </c>
      <c r="Z332">
        <v>59</v>
      </c>
      <c r="AA332">
        <v>62</v>
      </c>
      <c r="AB332">
        <v>66</v>
      </c>
      <c r="AC332">
        <v>95</v>
      </c>
      <c r="AD332">
        <v>20</v>
      </c>
      <c r="AE332">
        <v>0</v>
      </c>
      <c r="AF332">
        <v>1</v>
      </c>
      <c r="AG332">
        <v>9</v>
      </c>
      <c r="AH332">
        <v>1</v>
      </c>
      <c r="AI332">
        <v>-1</v>
      </c>
      <c r="AJ332" t="s">
        <v>53</v>
      </c>
      <c r="AK332" t="s">
        <v>64</v>
      </c>
      <c r="AL332" t="s">
        <v>304</v>
      </c>
      <c r="AM332" t="str">
        <f>HYPERLINK(".\links\SWISSP\TI_asb-535-SWISSP.txt","Ribosomal large subunit pseudouridine synthase D OS=Buchnera aphidicola subsp.")</f>
        <v>Ribosomal large subunit pseudouridine synthase D OS=Buchnera aphidicola subsp.</v>
      </c>
      <c r="AN332" s="19" t="str">
        <f>HYPERLINK("http://www.uniprot.org/uniprot/Q89AD9","5.7")</f>
        <v>5.7</v>
      </c>
      <c r="AO332" t="str">
        <f>HYPERLINK(".\links\SWISSP\TI_asb-535-SWISSP.txt"," 1")</f>
        <v xml:space="preserve"> 1</v>
      </c>
      <c r="AP332" t="s">
        <v>3148</v>
      </c>
      <c r="AQ332">
        <v>32.299999999999997</v>
      </c>
      <c r="AR332">
        <v>104</v>
      </c>
      <c r="AS332">
        <v>317</v>
      </c>
      <c r="AT332">
        <v>29</v>
      </c>
      <c r="AU332">
        <v>33</v>
      </c>
      <c r="AV332">
        <v>73</v>
      </c>
      <c r="AW332">
        <v>7</v>
      </c>
      <c r="AX332">
        <v>214</v>
      </c>
      <c r="AY332">
        <v>383</v>
      </c>
      <c r="AZ332">
        <v>1</v>
      </c>
      <c r="BA332">
        <v>-2</v>
      </c>
      <c r="BB332" t="s">
        <v>53</v>
      </c>
      <c r="BC332" t="s">
        <v>64</v>
      </c>
      <c r="BD332" t="s">
        <v>3149</v>
      </c>
      <c r="BE332" t="s">
        <v>3150</v>
      </c>
      <c r="BF332" t="s">
        <v>3151</v>
      </c>
      <c r="BG332" t="str">
        <f>HYPERLINK(".\links\PREV-RHOD-PEP\TI_asb-535-PREV-RHOD-PEP.txt","Contig17879_57")</f>
        <v>Contig17879_57</v>
      </c>
      <c r="BH332" s="6">
        <v>0.42</v>
      </c>
      <c r="BI332" t="str">
        <f>HYPERLINK(".\links\PREV-RHOD-PEP\TI_asb-535-PREV-RHOD-PEP.txt"," 1")</f>
        <v xml:space="preserve"> 1</v>
      </c>
      <c r="BJ332" t="s">
        <v>3152</v>
      </c>
      <c r="BK332">
        <v>32</v>
      </c>
      <c r="BL332">
        <v>46</v>
      </c>
      <c r="BM332">
        <v>444</v>
      </c>
      <c r="BN332">
        <v>39</v>
      </c>
      <c r="BO332">
        <v>10</v>
      </c>
      <c r="BP332">
        <v>28</v>
      </c>
      <c r="BQ332">
        <v>0</v>
      </c>
      <c r="BR332">
        <v>183</v>
      </c>
      <c r="BS332">
        <v>383</v>
      </c>
      <c r="BT332">
        <v>1</v>
      </c>
      <c r="BU332" t="s">
        <v>64</v>
      </c>
      <c r="BV332" t="s">
        <v>3153</v>
      </c>
      <c r="BW332" t="s">
        <v>56</v>
      </c>
      <c r="BX332" t="str">
        <f>HYPERLINK(".\links\PREV-RHOD-CDS\TI_asb-535-PREV-RHOD-CDS.txt","Contig8197_1")</f>
        <v>Contig8197_1</v>
      </c>
      <c r="BY332" s="7">
        <v>6E-10</v>
      </c>
      <c r="BZ332" t="s">
        <v>3154</v>
      </c>
      <c r="CA332">
        <v>65.900000000000006</v>
      </c>
      <c r="CB332">
        <v>56</v>
      </c>
      <c r="CC332">
        <v>75</v>
      </c>
      <c r="CD332">
        <v>89</v>
      </c>
      <c r="CE332">
        <v>76</v>
      </c>
      <c r="CF332">
        <v>6</v>
      </c>
      <c r="CG332">
        <v>0</v>
      </c>
      <c r="CH332">
        <v>1</v>
      </c>
      <c r="CI332">
        <v>536</v>
      </c>
      <c r="CJ332">
        <v>1</v>
      </c>
      <c r="CK332" t="s">
        <v>54</v>
      </c>
      <c r="CL332" t="s">
        <v>56</v>
      </c>
      <c r="CM332" t="s">
        <v>56</v>
      </c>
      <c r="CN332" t="s">
        <v>56</v>
      </c>
      <c r="CO332" t="s">
        <v>56</v>
      </c>
      <c r="CP332" t="s">
        <v>56</v>
      </c>
      <c r="CQ332" t="s">
        <v>56</v>
      </c>
      <c r="CR332" s="6" t="s">
        <v>56</v>
      </c>
      <c r="CS332" t="s">
        <v>56</v>
      </c>
      <c r="CT332" t="s">
        <v>56</v>
      </c>
      <c r="CU332" t="s">
        <v>56</v>
      </c>
      <c r="CV332" t="s">
        <v>56</v>
      </c>
      <c r="CW332" s="6" t="s">
        <v>56</v>
      </c>
      <c r="CX332" t="s">
        <v>56</v>
      </c>
      <c r="CY332" t="s">
        <v>56</v>
      </c>
      <c r="CZ332" t="s">
        <v>56</v>
      </c>
      <c r="DA332" t="s">
        <v>56</v>
      </c>
      <c r="DB332" s="6" t="s">
        <v>56</v>
      </c>
      <c r="DC332" t="s">
        <v>56</v>
      </c>
      <c r="DD332" t="s">
        <v>56</v>
      </c>
      <c r="DE332" t="s">
        <v>56</v>
      </c>
      <c r="DF332" t="str">
        <f>HYPERLINK(".\links\PFAM\TI_asb-535-PFAM.txt","LacY_symp")</f>
        <v>LacY_symp</v>
      </c>
      <c r="DG332" t="str">
        <f>HYPERLINK("http://pfam.sanger.ac.uk/family?acc=PF01306","0.049")</f>
        <v>0.049</v>
      </c>
      <c r="DH332" t="s">
        <v>56</v>
      </c>
      <c r="DI332" s="6" t="s">
        <v>56</v>
      </c>
      <c r="DJ332" s="6" t="s">
        <v>56</v>
      </c>
      <c r="DN332" t="s">
        <v>56</v>
      </c>
      <c r="DO332" t="s">
        <v>56</v>
      </c>
      <c r="DP332" s="3" t="str">
        <f>HYPERLINK(".\links\RRNA\TI_asb-535-RRNA.txt","Myrmeleon sp. 18S ribosomal RNA")</f>
        <v>Myrmeleon sp. 18S ribosomal RNA</v>
      </c>
      <c r="DQ332" s="3" t="str">
        <f>HYPERLINK("http://www.ncbi.nlm.nih.gov/entrez/viewer.fcgi?db=nucleotide&amp;val=293880","8E-066")</f>
        <v>8E-066</v>
      </c>
      <c r="DR332" s="3" t="str">
        <f>HYPERLINK("http://www.ncbi.nlm.nih.gov/entrez/viewer.fcgi?db=nucleotide&amp;val=293880","gi|293880")</f>
        <v>gi|293880</v>
      </c>
      <c r="DS332" s="3">
        <v>248</v>
      </c>
      <c r="DT332" s="3">
        <v>176</v>
      </c>
      <c r="DU332" s="3">
        <v>1379</v>
      </c>
      <c r="DV332" s="3">
        <v>92</v>
      </c>
      <c r="DW332" s="3">
        <v>13</v>
      </c>
      <c r="DX332" s="3">
        <v>13</v>
      </c>
      <c r="DY332" s="3">
        <v>0</v>
      </c>
      <c r="DZ332" s="3">
        <v>319</v>
      </c>
      <c r="EA332" s="3">
        <v>33</v>
      </c>
      <c r="EB332" s="3">
        <v>1</v>
      </c>
      <c r="EC332" s="3" t="s">
        <v>54</v>
      </c>
      <c r="ED332" s="3" t="str">
        <f>HYPERLINK(".\links\MIT-PLA\TI_asb-535-MIT-PLA.txt","Triatoma dimidiata mitochondrial DNA, complete genome")</f>
        <v>Triatoma dimidiata mitochondrial DNA, complete genome</v>
      </c>
      <c r="EE332" s="3" t="str">
        <f>HYPERLINK("http://www.ncbi.nlm.nih.gov/entrez/viewer.fcgi?db=nucleotide&amp;val=11139100","0.0")</f>
        <v>0.0</v>
      </c>
      <c r="EF332" s="3" t="str">
        <f>HYPERLINK("http://www.ncbi.nlm.nih.gov/entrez/viewer.fcgi?db=nucleotide&amp;val=11139100","gi|11139100")</f>
        <v>gi|11139100</v>
      </c>
      <c r="EG332" s="3">
        <v>654</v>
      </c>
      <c r="EH332" s="3">
        <v>526</v>
      </c>
      <c r="EI332" s="3">
        <v>17019</v>
      </c>
      <c r="EJ332" s="3">
        <v>91</v>
      </c>
      <c r="EK332" s="3">
        <v>3</v>
      </c>
      <c r="EL332" s="3">
        <v>46</v>
      </c>
      <c r="EM332" s="3">
        <v>4</v>
      </c>
      <c r="EN332" s="3">
        <v>12902</v>
      </c>
      <c r="EO332" s="3">
        <v>308</v>
      </c>
      <c r="EP332" s="3">
        <v>1</v>
      </c>
      <c r="EQ332" s="3" t="s">
        <v>64</v>
      </c>
    </row>
    <row r="333" spans="1:147">
      <c r="A333" t="str">
        <f>HYPERLINK(".\links\seq\TI_asb-536-seq.txt","TI_asb-536")</f>
        <v>TI_asb-536</v>
      </c>
      <c r="B333">
        <v>536</v>
      </c>
      <c r="C333" t="str">
        <f>HYPERLINK(".\links\tsa\TI_asb-536-tsa.txt","4")</f>
        <v>4</v>
      </c>
      <c r="D333">
        <v>4</v>
      </c>
      <c r="E333">
        <v>910</v>
      </c>
      <c r="G333" t="str">
        <f>HYPERLINK(".\links\qual\TI_asb-536-qual.txt","78")</f>
        <v>78</v>
      </c>
      <c r="H333">
        <v>3</v>
      </c>
      <c r="I333">
        <v>1</v>
      </c>
      <c r="J333">
        <f t="shared" si="16"/>
        <v>2</v>
      </c>
      <c r="K333" s="6">
        <f t="shared" si="17"/>
        <v>2</v>
      </c>
      <c r="L333" s="6" t="s">
        <v>4065</v>
      </c>
      <c r="M333" s="6" t="s">
        <v>3886</v>
      </c>
      <c r="N333" s="6" t="s">
        <v>3864</v>
      </c>
      <c r="O333" s="7">
        <v>4.0000000000000002E-27</v>
      </c>
      <c r="P333" s="6">
        <v>50.3</v>
      </c>
      <c r="Q333" s="3">
        <v>910</v>
      </c>
      <c r="R333" s="3">
        <v>462</v>
      </c>
      <c r="S333" s="3" t="s">
        <v>3812</v>
      </c>
      <c r="T333" s="3">
        <v>4</v>
      </c>
      <c r="U333" t="str">
        <f>HYPERLINK(".\links\NR-LIGHT\TI_asb-536-NR-LIGHT.txt","similar to CG41536 CG41536-PA")</f>
        <v>similar to CG41536 CG41536-PA</v>
      </c>
      <c r="V333" t="str">
        <f>HYPERLINK("http://www.ncbi.nlm.nih.gov/sutils/blink.cgi?pid=189242281","4E-027")</f>
        <v>4E-027</v>
      </c>
      <c r="W333" t="str">
        <f>HYPERLINK(".\links\NR-LIGHT\TI_asb-536-NR-LIGHT.txt"," 10")</f>
        <v xml:space="preserve"> 10</v>
      </c>
      <c r="X333" t="str">
        <f>HYPERLINK("http://www.ncbi.nlm.nih.gov/protein/189242281","gi|189242281")</f>
        <v>gi|189242281</v>
      </c>
      <c r="Y333">
        <v>124</v>
      </c>
      <c r="Z333">
        <v>80</v>
      </c>
      <c r="AA333">
        <v>159</v>
      </c>
      <c r="AB333">
        <v>77</v>
      </c>
      <c r="AC333">
        <v>50</v>
      </c>
      <c r="AD333">
        <v>18</v>
      </c>
      <c r="AE333">
        <v>0</v>
      </c>
      <c r="AF333">
        <v>79</v>
      </c>
      <c r="AG333">
        <v>636</v>
      </c>
      <c r="AH333">
        <v>1</v>
      </c>
      <c r="AI333">
        <v>-3</v>
      </c>
      <c r="AJ333" t="s">
        <v>53</v>
      </c>
      <c r="AK333" t="s">
        <v>64</v>
      </c>
      <c r="AL333" t="s">
        <v>79</v>
      </c>
      <c r="AM333" t="str">
        <f>HYPERLINK(".\links\SWISSP\TI_asb-536-SWISSP.txt","Uncharacterized protein ART2 OS=Saccharomyces cerevisiae GN=ART2 PE=4 SV=1")</f>
        <v>Uncharacterized protein ART2 OS=Saccharomyces cerevisiae GN=ART2 PE=4 SV=1</v>
      </c>
      <c r="AN333" s="19" t="str">
        <f>HYPERLINK("http://www.uniprot.org/uniprot/Q8TGM7","2E-009")</f>
        <v>2E-009</v>
      </c>
      <c r="AO333" t="str">
        <f>HYPERLINK(".\links\SWISSP\TI_asb-536-SWISSP.txt"," 8")</f>
        <v xml:space="preserve"> 8</v>
      </c>
      <c r="AP333" t="s">
        <v>3155</v>
      </c>
      <c r="AQ333">
        <v>63.5</v>
      </c>
      <c r="AR333">
        <v>53</v>
      </c>
      <c r="AS333">
        <v>61</v>
      </c>
      <c r="AT333">
        <v>58</v>
      </c>
      <c r="AU333">
        <v>87</v>
      </c>
      <c r="AV333">
        <v>22</v>
      </c>
      <c r="AW333">
        <v>0</v>
      </c>
      <c r="AX333">
        <v>6</v>
      </c>
      <c r="AY333">
        <v>675</v>
      </c>
      <c r="AZ333">
        <v>1</v>
      </c>
      <c r="BA333">
        <v>-3</v>
      </c>
      <c r="BB333" t="s">
        <v>53</v>
      </c>
      <c r="BC333" t="s">
        <v>64</v>
      </c>
      <c r="BD333" t="s">
        <v>275</v>
      </c>
      <c r="BE333" t="s">
        <v>3156</v>
      </c>
      <c r="BF333" t="s">
        <v>3157</v>
      </c>
      <c r="BG333" t="str">
        <f>HYPERLINK(".\links\PREV-RHOD-PEP\TI_asb-536-PREV-RHOD-PEP.txt","Contig8214_1")</f>
        <v>Contig8214_1</v>
      </c>
      <c r="BH333" s="7">
        <v>3E-28</v>
      </c>
      <c r="BI333" t="str">
        <f>HYPERLINK(".\links\PREV-RHOD-PEP\TI_asb-536-PREV-RHOD-PEP.txt"," 10")</f>
        <v xml:space="preserve"> 10</v>
      </c>
      <c r="BJ333" t="s">
        <v>3158</v>
      </c>
      <c r="BK333">
        <v>122</v>
      </c>
      <c r="BL333">
        <v>55</v>
      </c>
      <c r="BM333">
        <v>55</v>
      </c>
      <c r="BN333">
        <v>100</v>
      </c>
      <c r="BO333">
        <v>100</v>
      </c>
      <c r="BP333">
        <v>0</v>
      </c>
      <c r="BQ333">
        <v>0</v>
      </c>
      <c r="BR333">
        <v>1</v>
      </c>
      <c r="BS333">
        <v>235</v>
      </c>
      <c r="BT333">
        <v>1</v>
      </c>
      <c r="BU333" t="s">
        <v>54</v>
      </c>
      <c r="BV333" t="s">
        <v>3159</v>
      </c>
      <c r="BW333" t="s">
        <v>3160</v>
      </c>
      <c r="BX333" t="str">
        <f>HYPERLINK(".\links\PREV-RHOD-CDS\TI_asb-536-PREV-RHOD-CDS.txt","Contig8214_1")</f>
        <v>Contig8214_1</v>
      </c>
      <c r="BY333" s="7">
        <v>2.9999999999999999E-88</v>
      </c>
      <c r="BZ333" t="s">
        <v>3158</v>
      </c>
      <c r="CA333">
        <v>325</v>
      </c>
      <c r="CB333">
        <v>167</v>
      </c>
      <c r="CC333">
        <v>168</v>
      </c>
      <c r="CD333">
        <v>99</v>
      </c>
      <c r="CE333">
        <v>100</v>
      </c>
      <c r="CF333">
        <v>1</v>
      </c>
      <c r="CG333">
        <v>0</v>
      </c>
      <c r="CH333">
        <v>1</v>
      </c>
      <c r="CI333">
        <v>235</v>
      </c>
      <c r="CJ333">
        <v>1</v>
      </c>
      <c r="CK333" t="s">
        <v>54</v>
      </c>
      <c r="CL333" t="s">
        <v>3161</v>
      </c>
      <c r="CM333">
        <f>HYPERLINK(".\links\GO\TI_asb-536-GO.txt",0.00000009)</f>
        <v>8.9999999999999999E-8</v>
      </c>
      <c r="CN333" t="s">
        <v>58</v>
      </c>
      <c r="CO333" t="s">
        <v>58</v>
      </c>
      <c r="CQ333" t="s">
        <v>59</v>
      </c>
      <c r="CR333" s="6">
        <v>8.9999999999999999E-8</v>
      </c>
      <c r="CS333" t="s">
        <v>60</v>
      </c>
      <c r="CT333" t="s">
        <v>60</v>
      </c>
      <c r="CV333" t="s">
        <v>61</v>
      </c>
      <c r="CW333" s="6">
        <v>8.9999999999999999E-8</v>
      </c>
      <c r="CX333" t="s">
        <v>62</v>
      </c>
      <c r="CY333" t="s">
        <v>58</v>
      </c>
      <c r="DA333" t="s">
        <v>63</v>
      </c>
      <c r="DB333" s="6">
        <v>8.9999999999999999E-8</v>
      </c>
      <c r="DC333" t="s">
        <v>56</v>
      </c>
      <c r="DD333" t="s">
        <v>56</v>
      </c>
      <c r="DE333" t="s">
        <v>56</v>
      </c>
      <c r="DF333" t="s">
        <v>56</v>
      </c>
      <c r="DG333" t="s">
        <v>56</v>
      </c>
      <c r="DH333" t="s">
        <v>56</v>
      </c>
      <c r="DI333" s="6" t="s">
        <v>56</v>
      </c>
      <c r="DJ333" s="6" t="s">
        <v>56</v>
      </c>
      <c r="DN333" t="s">
        <v>56</v>
      </c>
      <c r="DO333" t="s">
        <v>56</v>
      </c>
      <c r="DP333" s="3" t="str">
        <f>HYPERLINK(".\links\RRNA\TI_asb-536-RRNA.txt","Trichoderma reesei 25S ribosomal RNA")</f>
        <v>Trichoderma reesei 25S ribosomal RNA</v>
      </c>
      <c r="DQ333" s="3" t="str">
        <f>HYPERLINK("http://www.ncbi.nlm.nih.gov/entrez/viewer.fcgi?db=nucleotide&amp;val=1220552","1E-144")</f>
        <v>1E-144</v>
      </c>
      <c r="DR333" s="3" t="str">
        <f>HYPERLINK("http://www.ncbi.nlm.nih.gov/entrez/viewer.fcgi?db=nucleotide&amp;val=1220552","gi|1220552")</f>
        <v>gi|1220552</v>
      </c>
      <c r="DS333" s="3">
        <v>509</v>
      </c>
      <c r="DT333" s="3">
        <v>599</v>
      </c>
      <c r="DU333" s="3">
        <v>817</v>
      </c>
      <c r="DV333" s="3">
        <v>92</v>
      </c>
      <c r="DW333" s="3">
        <v>73</v>
      </c>
      <c r="DX333" s="3">
        <v>27</v>
      </c>
      <c r="DY333" s="3">
        <v>2</v>
      </c>
      <c r="DZ333" s="3">
        <v>8</v>
      </c>
      <c r="EA333" s="3">
        <v>53</v>
      </c>
      <c r="EB333" s="3">
        <v>2</v>
      </c>
      <c r="EC333" s="3" t="s">
        <v>54</v>
      </c>
      <c r="ED333" s="3" t="str">
        <f>HYPERLINK(".\links\MIT-PLA\TI_asb-536-MIT-PLA.txt","Thermoplasma acidophilum, complete genome")</f>
        <v>Thermoplasma acidophilum, complete genome</v>
      </c>
      <c r="EE333" s="3" t="str">
        <f>HYPERLINK("http://www.ncbi.nlm.nih.gov/entrez/viewer.fcgi?db=nucleotide&amp;val=16081186","2E-008")</f>
        <v>2E-008</v>
      </c>
      <c r="EF333" s="3" t="str">
        <f>HYPERLINK("http://www.ncbi.nlm.nih.gov/entrez/viewer.fcgi?db=nucleotide&amp;val=16081186","gi|16081186")</f>
        <v>gi|16081186</v>
      </c>
      <c r="EG333" s="3">
        <v>60</v>
      </c>
      <c r="EH333" s="3">
        <v>37</v>
      </c>
      <c r="EI333" s="3">
        <v>1564906</v>
      </c>
      <c r="EJ333" s="3">
        <v>94</v>
      </c>
      <c r="EL333" s="3">
        <v>2</v>
      </c>
      <c r="EM333" s="3">
        <v>0</v>
      </c>
      <c r="EN333" s="3">
        <v>1530321</v>
      </c>
      <c r="EO333" s="3">
        <v>194</v>
      </c>
      <c r="EP333" s="3">
        <v>1</v>
      </c>
      <c r="EQ333" s="3" t="s">
        <v>64</v>
      </c>
    </row>
    <row r="334" spans="1:147">
      <c r="A334" t="str">
        <f>HYPERLINK(".\links\seq\TI_asb-537-seq.txt","TI_asb-537")</f>
        <v>TI_asb-537</v>
      </c>
      <c r="B334">
        <v>537</v>
      </c>
      <c r="C334" t="str">
        <f>HYPERLINK(".\links\tsa\TI_asb-537-tsa.txt","1")</f>
        <v>1</v>
      </c>
      <c r="D334">
        <v>1</v>
      </c>
      <c r="E334">
        <v>569</v>
      </c>
      <c r="F334">
        <v>537</v>
      </c>
      <c r="G334" t="str">
        <f>HYPERLINK(".\links\qual\TI_asb-537-qual.txt","46")</f>
        <v>46</v>
      </c>
      <c r="H334">
        <v>0</v>
      </c>
      <c r="I334">
        <v>1</v>
      </c>
      <c r="J334">
        <f t="shared" si="16"/>
        <v>1</v>
      </c>
      <c r="K334" s="6">
        <f t="shared" si="17"/>
        <v>-1</v>
      </c>
      <c r="L334" s="6" t="s">
        <v>4065</v>
      </c>
      <c r="M334" s="6" t="s">
        <v>3886</v>
      </c>
      <c r="N334" s="6" t="s">
        <v>3864</v>
      </c>
      <c r="O334" s="6">
        <v>5E-15</v>
      </c>
      <c r="P334" s="6">
        <v>33.9</v>
      </c>
      <c r="Q334" s="3">
        <v>569</v>
      </c>
      <c r="R334" s="3">
        <v>417</v>
      </c>
      <c r="S334" s="3" t="s">
        <v>3813</v>
      </c>
      <c r="T334" s="3">
        <v>6</v>
      </c>
      <c r="U334" t="str">
        <f>HYPERLINK(".\links\NR-LIGHT\TI_asb-537-NR-LIGHT.txt","similar to CG41536 CG41536-PA")</f>
        <v>similar to CG41536 CG41536-PA</v>
      </c>
      <c r="V334" t="str">
        <f>HYPERLINK("http://www.ncbi.nlm.nih.gov/sutils/blink.cgi?pid=189242281","5E-015")</f>
        <v>5E-015</v>
      </c>
      <c r="W334" t="str">
        <f>HYPERLINK(".\links\NR-LIGHT\TI_asb-537-NR-LIGHT.txt"," 10")</f>
        <v xml:space="preserve"> 10</v>
      </c>
      <c r="X334" t="str">
        <f>HYPERLINK("http://www.ncbi.nlm.nih.gov/protein/189242281","gi|189242281")</f>
        <v>gi|189242281</v>
      </c>
      <c r="Y334">
        <v>82.8</v>
      </c>
      <c r="Z334">
        <v>54</v>
      </c>
      <c r="AA334">
        <v>159</v>
      </c>
      <c r="AB334">
        <v>77</v>
      </c>
      <c r="AC334">
        <v>34</v>
      </c>
      <c r="AD334">
        <v>12</v>
      </c>
      <c r="AE334">
        <v>0</v>
      </c>
      <c r="AF334">
        <v>105</v>
      </c>
      <c r="AG334">
        <v>374</v>
      </c>
      <c r="AH334">
        <v>1</v>
      </c>
      <c r="AI334">
        <v>-2</v>
      </c>
      <c r="AJ334" t="s">
        <v>53</v>
      </c>
      <c r="AK334" t="s">
        <v>64</v>
      </c>
      <c r="AL334" t="s">
        <v>79</v>
      </c>
      <c r="AM334" t="str">
        <f>HYPERLINK(".\links\SWISSP\TI_asb-537-SWISSP.txt","Uncharacterized protein ART2 OS=Saccharomyces cerevisiae GN=ART2 PE=4 SV=1")</f>
        <v>Uncharacterized protein ART2 OS=Saccharomyces cerevisiae GN=ART2 PE=4 SV=1</v>
      </c>
      <c r="AN334" s="19" t="str">
        <f>HYPERLINK("http://www.uniprot.org/uniprot/Q8TGM7","1E-006")</f>
        <v>1E-006</v>
      </c>
      <c r="AO334" t="str">
        <f>HYPERLINK(".\links\SWISSP\TI_asb-537-SWISSP.txt"," 10")</f>
        <v xml:space="preserve"> 10</v>
      </c>
      <c r="AP334" t="s">
        <v>3155</v>
      </c>
      <c r="AQ334">
        <v>53.1</v>
      </c>
      <c r="AR334">
        <v>40</v>
      </c>
      <c r="AS334">
        <v>61</v>
      </c>
      <c r="AT334">
        <v>65</v>
      </c>
      <c r="AU334">
        <v>66</v>
      </c>
      <c r="AV334">
        <v>14</v>
      </c>
      <c r="AW334">
        <v>0</v>
      </c>
      <c r="AX334">
        <v>19</v>
      </c>
      <c r="AY334">
        <v>413</v>
      </c>
      <c r="AZ334">
        <v>1</v>
      </c>
      <c r="BA334">
        <v>-2</v>
      </c>
      <c r="BB334" t="s">
        <v>53</v>
      </c>
      <c r="BC334" t="s">
        <v>64</v>
      </c>
      <c r="BD334" t="s">
        <v>275</v>
      </c>
      <c r="BE334" t="s">
        <v>3162</v>
      </c>
      <c r="BF334" t="s">
        <v>3163</v>
      </c>
      <c r="BG334" t="str">
        <f>HYPERLINK(".\links\PREV-RHOD-PEP\TI_asb-537-PREV-RHOD-PEP.txt","Contig8228_1")</f>
        <v>Contig8228_1</v>
      </c>
      <c r="BH334" s="7">
        <v>9.9999999999999998E-20</v>
      </c>
      <c r="BI334" t="str">
        <f>HYPERLINK(".\links\PREV-RHOD-PEP\TI_asb-537-PREV-RHOD-PEP.txt"," 10")</f>
        <v xml:space="preserve"> 10</v>
      </c>
      <c r="BJ334" t="s">
        <v>3164</v>
      </c>
      <c r="BK334">
        <v>92.4</v>
      </c>
      <c r="BL334">
        <v>41</v>
      </c>
      <c r="BM334">
        <v>41</v>
      </c>
      <c r="BN334">
        <v>92</v>
      </c>
      <c r="BO334">
        <v>100</v>
      </c>
      <c r="BP334">
        <v>3</v>
      </c>
      <c r="BQ334">
        <v>0</v>
      </c>
      <c r="BR334">
        <v>1</v>
      </c>
      <c r="BS334">
        <v>220</v>
      </c>
      <c r="BT334">
        <v>1</v>
      </c>
      <c r="BU334" t="s">
        <v>64</v>
      </c>
      <c r="BV334" t="s">
        <v>3165</v>
      </c>
      <c r="BW334" t="s">
        <v>3160</v>
      </c>
      <c r="BX334" t="str">
        <f>HYPERLINK(".\links\PREV-RHOD-CDS\TI_asb-537-PREV-RHOD-CDS.txt","Contig8228_1")</f>
        <v>Contig8228_1</v>
      </c>
      <c r="BY334" s="7">
        <v>5E-52</v>
      </c>
      <c r="BZ334" t="s">
        <v>3164</v>
      </c>
      <c r="CA334">
        <v>204</v>
      </c>
      <c r="CB334">
        <v>122</v>
      </c>
      <c r="CC334">
        <v>123</v>
      </c>
      <c r="CD334">
        <v>95</v>
      </c>
      <c r="CE334">
        <v>100</v>
      </c>
      <c r="CF334">
        <v>5</v>
      </c>
      <c r="CG334">
        <v>0</v>
      </c>
      <c r="CH334">
        <v>1</v>
      </c>
      <c r="CI334">
        <v>220</v>
      </c>
      <c r="CJ334">
        <v>1</v>
      </c>
      <c r="CK334" t="s">
        <v>64</v>
      </c>
      <c r="CL334" t="s">
        <v>3161</v>
      </c>
      <c r="CM334">
        <f>HYPERLINK(".\links\GO\TI_asb-537-GO.txt",0.00005)</f>
        <v>5.0000000000000002E-5</v>
      </c>
      <c r="CN334" t="s">
        <v>58</v>
      </c>
      <c r="CO334" t="s">
        <v>58</v>
      </c>
      <c r="CQ334" t="s">
        <v>59</v>
      </c>
      <c r="CR334" s="6">
        <v>5.0000000000000002E-5</v>
      </c>
      <c r="CS334" t="s">
        <v>60</v>
      </c>
      <c r="CT334" t="s">
        <v>60</v>
      </c>
      <c r="CV334" t="s">
        <v>61</v>
      </c>
      <c r="CW334" s="6">
        <v>5.0000000000000002E-5</v>
      </c>
      <c r="CX334" t="s">
        <v>62</v>
      </c>
      <c r="CY334" t="s">
        <v>58</v>
      </c>
      <c r="DA334" t="s">
        <v>63</v>
      </c>
      <c r="DB334" s="6">
        <v>5.0000000000000002E-5</v>
      </c>
      <c r="DC334" t="s">
        <v>56</v>
      </c>
      <c r="DD334" t="s">
        <v>56</v>
      </c>
      <c r="DE334" t="s">
        <v>56</v>
      </c>
      <c r="DF334" t="str">
        <f>HYPERLINK(".\links\PFAM\TI_asb-537-PFAM.txt","Ribosomal_S30")</f>
        <v>Ribosomal_S30</v>
      </c>
      <c r="DG334" t="str">
        <f>HYPERLINK("http://pfam.sanger.ac.uk/family?acc=PF04758","0.061")</f>
        <v>0.061</v>
      </c>
      <c r="DH334" t="str">
        <f>HYPERLINK(".\links\PRK\TI_asb-537-PRK.txt","NADH dehydrogenase subunit 6")</f>
        <v>NADH dehydrogenase subunit 6</v>
      </c>
      <c r="DI334" s="6">
        <v>6.3E-2</v>
      </c>
      <c r="DJ334" s="6" t="s">
        <v>56</v>
      </c>
      <c r="DN334" t="s">
        <v>56</v>
      </c>
      <c r="DO334" t="s">
        <v>56</v>
      </c>
      <c r="DP334" s="3" t="str">
        <f>HYPERLINK(".\links\RRNA\TI_asb-537-RRNA.txt","Sus scrofa 28S rRNA, partial sequence")</f>
        <v>Sus scrofa 28S rRNA, partial sequence</v>
      </c>
      <c r="DQ334" s="3" t="str">
        <f>HYPERLINK("http://www.ncbi.nlm.nih.gov/entrez/viewer.fcgi?db=nucleotide&amp;val=38524494","1E-026")</f>
        <v>1E-026</v>
      </c>
      <c r="DR334" s="3" t="str">
        <f>HYPERLINK("http://www.ncbi.nlm.nih.gov/entrez/viewer.fcgi?db=nucleotide&amp;val=38524494","gi|38524494")</f>
        <v>gi|38524494</v>
      </c>
      <c r="DS334" s="3">
        <v>117</v>
      </c>
      <c r="DT334" s="3">
        <v>102</v>
      </c>
      <c r="DU334" s="3">
        <v>380</v>
      </c>
      <c r="DV334" s="3">
        <v>89</v>
      </c>
      <c r="DW334" s="3">
        <v>27</v>
      </c>
      <c r="DX334" s="3">
        <v>11</v>
      </c>
      <c r="DY334" s="3">
        <v>0</v>
      </c>
      <c r="DZ334" s="3">
        <v>24</v>
      </c>
      <c r="EA334" s="3">
        <v>433</v>
      </c>
      <c r="EB334" s="3">
        <v>1</v>
      </c>
      <c r="EC334" s="3" t="s">
        <v>54</v>
      </c>
      <c r="ED334" s="3" t="s">
        <v>56</v>
      </c>
    </row>
    <row r="335" spans="1:147" s="26" customFormat="1">
      <c r="A335" s="26" t="str">
        <f>HYPERLINK(".\links\seq\TI_asb-538-seq.txt","TI_asb-538")</f>
        <v>TI_asb-538</v>
      </c>
      <c r="B335" s="26">
        <v>538</v>
      </c>
      <c r="C335" s="27" t="str">
        <f>HYPERLINK(".\links\tsa\TI_asb-538-tsa.txt","24")</f>
        <v>24</v>
      </c>
      <c r="D335" s="26">
        <v>27</v>
      </c>
      <c r="E335" s="26">
        <v>669</v>
      </c>
      <c r="F335" s="26">
        <v>529</v>
      </c>
      <c r="G335" s="26" t="str">
        <f>HYPERLINK(".\links\qual\TI_asb-538-qual.txt","80")</f>
        <v>80</v>
      </c>
      <c r="H335" s="26">
        <v>17</v>
      </c>
      <c r="I335" s="26">
        <v>7</v>
      </c>
      <c r="J335" s="26">
        <f t="shared" si="16"/>
        <v>10</v>
      </c>
      <c r="K335" s="26">
        <f t="shared" si="17"/>
        <v>10</v>
      </c>
      <c r="L335" s="26" t="s">
        <v>3862</v>
      </c>
      <c r="M335" s="26" t="s">
        <v>3863</v>
      </c>
      <c r="N335" s="26" t="s">
        <v>3864</v>
      </c>
      <c r="O335" s="26">
        <v>2.9999999999999998E-15</v>
      </c>
      <c r="P335" s="26">
        <v>97</v>
      </c>
      <c r="Q335" s="26">
        <v>669</v>
      </c>
      <c r="R335" s="26">
        <v>432</v>
      </c>
      <c r="S335" s="26" t="s">
        <v>3814</v>
      </c>
      <c r="T335" s="26">
        <v>2</v>
      </c>
      <c r="U335" s="26" t="str">
        <f>HYPERLINK(".\links\NR-LIGHT\TI_asb-538-NR-LIGHT.txt","putative salivary secreted protein")</f>
        <v>putative salivary secreted protein</v>
      </c>
      <c r="V335" s="26" t="str">
        <f>HYPERLINK("http://www.ncbi.nlm.nih.gov/sutils/blink.cgi?pid=149898838","3E-015")</f>
        <v>3E-015</v>
      </c>
      <c r="W335" s="26" t="str">
        <f>HYPERLINK(".\links\NR-LIGHT\TI_asb-538-NR-LIGHT.txt"," 10")</f>
        <v xml:space="preserve"> 10</v>
      </c>
      <c r="X335" s="26" t="str">
        <f>HYPERLINK("http://www.ncbi.nlm.nih.gov/protein/149898838","gi|149898838")</f>
        <v>gi|149898838</v>
      </c>
      <c r="Y335" s="26">
        <v>84.3</v>
      </c>
      <c r="Z335" s="26">
        <v>132</v>
      </c>
      <c r="AA335" s="26">
        <v>136</v>
      </c>
      <c r="AB335" s="26">
        <v>36</v>
      </c>
      <c r="AC335" s="26">
        <v>97</v>
      </c>
      <c r="AD335" s="26">
        <v>84</v>
      </c>
      <c r="AE335" s="26">
        <v>0</v>
      </c>
      <c r="AF335" s="26">
        <v>6</v>
      </c>
      <c r="AG335" s="26">
        <v>47</v>
      </c>
      <c r="AH335" s="26">
        <v>1</v>
      </c>
      <c r="AI335" s="26">
        <v>2</v>
      </c>
      <c r="AJ335" s="26" t="s">
        <v>53</v>
      </c>
      <c r="AK335" s="26" t="s">
        <v>54</v>
      </c>
      <c r="AL335" s="26" t="s">
        <v>55</v>
      </c>
      <c r="AM335" s="26" t="str">
        <f>HYPERLINK(".\links\SWISSP\TI_asb-538-SWISSP.txt","Zonadhesin OS=Mus musculus GN=Zan PE=2 SV=1")</f>
        <v>Zonadhesin OS=Mus musculus GN=Zan PE=2 SV=1</v>
      </c>
      <c r="AN335" s="29" t="str">
        <f>HYPERLINK("http://www.uniprot.org/uniprot/O88799","1.3")</f>
        <v>1.3</v>
      </c>
      <c r="AO335" s="26" t="str">
        <f>HYPERLINK(".\links\SWISSP\TI_asb-538-SWISSP.txt"," 3")</f>
        <v xml:space="preserve"> 3</v>
      </c>
      <c r="AP335" s="26" t="s">
        <v>3166</v>
      </c>
      <c r="AQ335" s="26">
        <v>33.5</v>
      </c>
      <c r="AR335" s="26">
        <v>99</v>
      </c>
      <c r="AS335" s="26">
        <v>5376</v>
      </c>
      <c r="AT335" s="26">
        <v>27</v>
      </c>
      <c r="AU335" s="26">
        <v>2</v>
      </c>
      <c r="AV335" s="26">
        <v>72</v>
      </c>
      <c r="AW335" s="26">
        <v>8</v>
      </c>
      <c r="AX335" s="26">
        <v>3651</v>
      </c>
      <c r="AY335" s="26">
        <v>148</v>
      </c>
      <c r="AZ335" s="26">
        <v>1</v>
      </c>
      <c r="BA335" s="26">
        <v>-1</v>
      </c>
      <c r="BB335" s="26" t="s">
        <v>53</v>
      </c>
      <c r="BC335" s="26" t="s">
        <v>64</v>
      </c>
      <c r="BD335" s="26" t="s">
        <v>214</v>
      </c>
      <c r="BE335" s="26" t="s">
        <v>3167</v>
      </c>
      <c r="BF335" s="26" t="s">
        <v>3168</v>
      </c>
      <c r="BG335" s="26" t="str">
        <f>HYPERLINK(".\links\PREV-RHOD-PEP\TI_asb-538-PREV-RHOD-PEP.txt","Contig17940_72")</f>
        <v>Contig17940_72</v>
      </c>
      <c r="BH335" s="28">
        <v>3.0000000000000001E-45</v>
      </c>
      <c r="BI335" s="26" t="str">
        <f>HYPERLINK(".\links\PREV-RHOD-PEP\TI_asb-538-PREV-RHOD-PEP.txt"," 10")</f>
        <v xml:space="preserve"> 10</v>
      </c>
      <c r="BJ335" s="26" t="s">
        <v>280</v>
      </c>
      <c r="BK335" s="26">
        <v>177</v>
      </c>
      <c r="BL335" s="26">
        <v>127</v>
      </c>
      <c r="BM335" s="26">
        <v>126</v>
      </c>
      <c r="BN335" s="26">
        <v>67</v>
      </c>
      <c r="BO335" s="26">
        <v>101</v>
      </c>
      <c r="BP335" s="26">
        <v>41</v>
      </c>
      <c r="BQ335" s="26">
        <v>0</v>
      </c>
      <c r="BR335" s="26">
        <v>1</v>
      </c>
      <c r="BS335" s="26">
        <v>65</v>
      </c>
      <c r="BT335" s="26">
        <v>1</v>
      </c>
      <c r="BU335" s="26" t="s">
        <v>54</v>
      </c>
      <c r="BV335" s="26" t="s">
        <v>3169</v>
      </c>
      <c r="BW335" s="26" t="s">
        <v>56</v>
      </c>
      <c r="BX335" s="26" t="str">
        <f>HYPERLINK(".\links\PREV-RHOD-CDS\TI_asb-538-PREV-RHOD-CDS.txt","Contig17940_67")</f>
        <v>Contig17940_67</v>
      </c>
      <c r="BY335" s="28">
        <v>1.9999999999999999E-11</v>
      </c>
      <c r="BZ335" s="26" t="s">
        <v>3170</v>
      </c>
      <c r="CA335" s="26">
        <v>69.900000000000006</v>
      </c>
      <c r="CB335" s="26">
        <v>134</v>
      </c>
      <c r="CC335" s="26">
        <v>343</v>
      </c>
      <c r="CD335" s="26">
        <v>81</v>
      </c>
      <c r="CE335" s="26">
        <v>39</v>
      </c>
      <c r="CF335" s="26">
        <v>25</v>
      </c>
      <c r="CG335" s="26">
        <v>0</v>
      </c>
      <c r="CH335" s="26">
        <v>209</v>
      </c>
      <c r="CI335" s="26">
        <v>314</v>
      </c>
      <c r="CJ335" s="26">
        <v>1</v>
      </c>
      <c r="CK335" s="26" t="s">
        <v>54</v>
      </c>
      <c r="CL335" s="26" t="s">
        <v>724</v>
      </c>
      <c r="CM335" s="26">
        <f>HYPERLINK(".\links\GO\TI_asb-538-GO.txt",0.073)</f>
        <v>7.2999999999999995E-2</v>
      </c>
      <c r="CN335" s="26" t="s">
        <v>58</v>
      </c>
      <c r="CO335" s="26" t="s">
        <v>58</v>
      </c>
      <c r="CQ335" s="26" t="s">
        <v>59</v>
      </c>
      <c r="CR335" s="26">
        <v>7.2999999999999995E-2</v>
      </c>
      <c r="CS335" s="26" t="s">
        <v>60</v>
      </c>
      <c r="CT335" s="26" t="s">
        <v>60</v>
      </c>
      <c r="CV335" s="26" t="s">
        <v>61</v>
      </c>
      <c r="CW335" s="26">
        <v>7.2999999999999995E-2</v>
      </c>
      <c r="CX335" s="26" t="s">
        <v>62</v>
      </c>
      <c r="CY335" s="26" t="s">
        <v>58</v>
      </c>
      <c r="DA335" s="26" t="s">
        <v>63</v>
      </c>
      <c r="DB335" s="26">
        <v>7.2999999999999995E-2</v>
      </c>
      <c r="DC335" s="26" t="str">
        <f>HYPERLINK(".\links\CDD\TI_asb-538-CDD.txt","RNA_polI_A34")</f>
        <v>RNA_polI_A34</v>
      </c>
      <c r="DD335" s="26" t="str">
        <f>HYPERLINK("http://www.ncbi.nlm.nih.gov/Structure/cdd/cddsrv.cgi?uid=pfam08208&amp;version=v4.0","3E-012")</f>
        <v>3E-012</v>
      </c>
      <c r="DE335" s="26" t="s">
        <v>3171</v>
      </c>
      <c r="DF335" s="26" t="str">
        <f>HYPERLINK(".\links\PFAM\TI_asb-538-PFAM.txt","RNA_polI_A34")</f>
        <v>RNA_polI_A34</v>
      </c>
      <c r="DG335" s="26" t="str">
        <f>HYPERLINK("http://pfam.sanger.ac.uk/family?acc=PF08208","7E-013")</f>
        <v>7E-013</v>
      </c>
      <c r="DH335" s="26" t="str">
        <f>HYPERLINK(".\links\PRK\TI_asb-538-PRK.txt","ATP-dependent RNA helicase SrmB")</f>
        <v>ATP-dependent RNA helicase SrmB</v>
      </c>
      <c r="DI335" s="28">
        <v>3E-11</v>
      </c>
      <c r="DJ335" s="26" t="str">
        <f>HYPERLINK(".\links\KOG\TI_asb-538-KOG.txt","Ribosome biogenesis protein - Nop58p/Nop5p")</f>
        <v>Ribosome biogenesis protein - Nop58p/Nop5p</v>
      </c>
      <c r="DK335" s="26" t="str">
        <f>HYPERLINK("http://www.ncbi.nlm.nih.gov/COG/grace/shokog.cgi?KOG2572","2E-009")</f>
        <v>2E-009</v>
      </c>
      <c r="DL335" s="26" t="s">
        <v>4351</v>
      </c>
      <c r="DM335" s="26" t="str">
        <f>HYPERLINK(".\links\KOG\TI_asb-538-KOG.txt","KOG2572")</f>
        <v>KOG2572</v>
      </c>
      <c r="DN335" s="26" t="str">
        <f>HYPERLINK(".\links\SMART\TI_asb-538-SMART.txt","PSN")</f>
        <v>PSN</v>
      </c>
      <c r="DO335" s="26" t="str">
        <f>HYPERLINK("http://smart.embl-heidelberg.de/smart/do_annotation.pl?DOMAIN=PSN&amp;BLAST=DUMMY","7E-007")</f>
        <v>7E-007</v>
      </c>
      <c r="DP335" s="26" t="s">
        <v>56</v>
      </c>
      <c r="ED335" s="26" t="s">
        <v>56</v>
      </c>
    </row>
    <row r="336" spans="1:147">
      <c r="A336" t="str">
        <f>HYPERLINK(".\links\seq\TI_asb-539-seq.txt","TI_asb-539")</f>
        <v>TI_asb-539</v>
      </c>
      <c r="B336">
        <v>539</v>
      </c>
      <c r="C336" t="str">
        <f>HYPERLINK(".\links\tsa\TI_asb-539-tsa.txt","1")</f>
        <v>1</v>
      </c>
      <c r="D336">
        <v>1</v>
      </c>
      <c r="E336">
        <v>486</v>
      </c>
      <c r="F336">
        <v>469</v>
      </c>
      <c r="G336" t="str">
        <f>HYPERLINK(".\links\qual\TI_asb-539-qual.txt","37")</f>
        <v>37</v>
      </c>
      <c r="H336">
        <v>0</v>
      </c>
      <c r="I336">
        <v>1</v>
      </c>
      <c r="J336">
        <f t="shared" si="16"/>
        <v>1</v>
      </c>
      <c r="K336" s="6">
        <f t="shared" si="17"/>
        <v>-1</v>
      </c>
      <c r="L336" s="6" t="s">
        <v>3862</v>
      </c>
      <c r="M336" s="6" t="s">
        <v>3863</v>
      </c>
      <c r="N336" s="6" t="s">
        <v>3864</v>
      </c>
      <c r="O336" s="6">
        <v>5.0000000000000002E-14</v>
      </c>
      <c r="P336" s="6">
        <v>89.7</v>
      </c>
      <c r="Q336" s="3">
        <v>486</v>
      </c>
      <c r="R336" s="3">
        <v>303</v>
      </c>
      <c r="S336" s="6" t="s">
        <v>3815</v>
      </c>
      <c r="T336" s="3">
        <v>1</v>
      </c>
      <c r="U336" t="str">
        <f>HYPERLINK(".\links\NR-LIGHT\TI_asb-539-NR-LIGHT.txt","putative salivary secreted protein")</f>
        <v>putative salivary secreted protein</v>
      </c>
      <c r="V336" t="str">
        <f>HYPERLINK("http://www.ncbi.nlm.nih.gov/sutils/blink.cgi?pid=149898838","5E-014")</f>
        <v>5E-014</v>
      </c>
      <c r="W336" t="str">
        <f>HYPERLINK(".\links\NR-LIGHT\TI_asb-539-NR-LIGHT.txt"," 10")</f>
        <v xml:space="preserve"> 10</v>
      </c>
      <c r="X336" t="str">
        <f>HYPERLINK("http://www.ncbi.nlm.nih.gov/protein/149898838","gi|149898838")</f>
        <v>gi|149898838</v>
      </c>
      <c r="Y336">
        <v>79</v>
      </c>
      <c r="Z336">
        <v>122</v>
      </c>
      <c r="AA336">
        <v>136</v>
      </c>
      <c r="AB336">
        <v>36</v>
      </c>
      <c r="AC336">
        <v>90</v>
      </c>
      <c r="AD336">
        <v>78</v>
      </c>
      <c r="AE336">
        <v>0</v>
      </c>
      <c r="AF336">
        <v>17</v>
      </c>
      <c r="AG336">
        <v>19</v>
      </c>
      <c r="AH336">
        <v>1</v>
      </c>
      <c r="AI336">
        <v>1</v>
      </c>
      <c r="AJ336" t="s">
        <v>53</v>
      </c>
      <c r="AK336" t="s">
        <v>54</v>
      </c>
      <c r="AL336" t="s">
        <v>55</v>
      </c>
      <c r="AM336" t="str">
        <f>HYPERLINK(".\links\SWISSP\TI_asb-539-SWISSP.txt","Zonadhesin OS=Mus musculus GN=Zan PE=2 SV=1")</f>
        <v>Zonadhesin OS=Mus musculus GN=Zan PE=2 SV=1</v>
      </c>
      <c r="AN336" s="19" t="str">
        <f>HYPERLINK("http://www.uniprot.org/uniprot/O88799","1.1")</f>
        <v>1.1</v>
      </c>
      <c r="AO336" t="str">
        <f>HYPERLINK(".\links\SWISSP\TI_asb-539-SWISSP.txt"," 4")</f>
        <v xml:space="preserve"> 4</v>
      </c>
      <c r="AP336" t="s">
        <v>3166</v>
      </c>
      <c r="AQ336">
        <v>32.700000000000003</v>
      </c>
      <c r="AR336">
        <v>69</v>
      </c>
      <c r="AS336">
        <v>5376</v>
      </c>
      <c r="AT336">
        <v>28</v>
      </c>
      <c r="AU336">
        <v>1</v>
      </c>
      <c r="AV336">
        <v>49</v>
      </c>
      <c r="AW336">
        <v>2</v>
      </c>
      <c r="AX336">
        <v>3651</v>
      </c>
      <c r="AY336">
        <v>162</v>
      </c>
      <c r="AZ336">
        <v>1</v>
      </c>
      <c r="BA336">
        <v>-2</v>
      </c>
      <c r="BB336" t="s">
        <v>53</v>
      </c>
      <c r="BC336" t="s">
        <v>64</v>
      </c>
      <c r="BD336" t="s">
        <v>214</v>
      </c>
      <c r="BE336" t="s">
        <v>3172</v>
      </c>
      <c r="BF336" t="s">
        <v>3173</v>
      </c>
      <c r="BG336" t="str">
        <f>HYPERLINK(".\links\PREV-RHOD-PEP\TI_asb-539-PREV-RHOD-PEP.txt","Contig17940_72")</f>
        <v>Contig17940_72</v>
      </c>
      <c r="BH336" s="7">
        <v>1.0000000000000001E-37</v>
      </c>
      <c r="BI336" t="str">
        <f>HYPERLINK(".\links\PREV-RHOD-PEP\TI_asb-539-PREV-RHOD-PEP.txt"," 10")</f>
        <v xml:space="preserve"> 10</v>
      </c>
      <c r="BJ336" t="s">
        <v>280</v>
      </c>
      <c r="BK336">
        <v>151</v>
      </c>
      <c r="BL336">
        <v>127</v>
      </c>
      <c r="BM336">
        <v>126</v>
      </c>
      <c r="BN336">
        <v>60</v>
      </c>
      <c r="BO336">
        <v>101</v>
      </c>
      <c r="BP336">
        <v>50</v>
      </c>
      <c r="BQ336">
        <v>0</v>
      </c>
      <c r="BR336">
        <v>1</v>
      </c>
      <c r="BS336">
        <v>7</v>
      </c>
      <c r="BT336">
        <v>1</v>
      </c>
      <c r="BU336" t="s">
        <v>54</v>
      </c>
      <c r="BV336" t="s">
        <v>3174</v>
      </c>
      <c r="BW336" t="s">
        <v>56</v>
      </c>
      <c r="BX336" t="str">
        <f>HYPERLINK(".\links\PREV-RHOD-CDS\TI_asb-539-PREV-RHOD-CDS.txt","Contig17940_67")</f>
        <v>Contig17940_67</v>
      </c>
      <c r="BY336" s="7">
        <v>1.9999999999999999E-11</v>
      </c>
      <c r="BZ336" t="s">
        <v>3170</v>
      </c>
      <c r="CA336">
        <v>69.900000000000006</v>
      </c>
      <c r="CB336">
        <v>134</v>
      </c>
      <c r="CC336">
        <v>343</v>
      </c>
      <c r="CD336">
        <v>81</v>
      </c>
      <c r="CE336">
        <v>39</v>
      </c>
      <c r="CF336">
        <v>25</v>
      </c>
      <c r="CG336">
        <v>0</v>
      </c>
      <c r="CH336">
        <v>209</v>
      </c>
      <c r="CI336">
        <v>256</v>
      </c>
      <c r="CJ336">
        <v>1</v>
      </c>
      <c r="CK336" t="s">
        <v>54</v>
      </c>
      <c r="CL336" t="s">
        <v>3175</v>
      </c>
      <c r="CM336">
        <f>HYPERLINK(".\links\GO\TI_asb-539-GO.txt",0.33)</f>
        <v>0.33</v>
      </c>
      <c r="CN336" t="s">
        <v>1630</v>
      </c>
      <c r="CO336" t="s">
        <v>1012</v>
      </c>
      <c r="CP336" t="s">
        <v>1631</v>
      </c>
      <c r="CQ336" t="s">
        <v>1632</v>
      </c>
      <c r="CR336" s="6">
        <v>0.33</v>
      </c>
      <c r="CS336" t="s">
        <v>74</v>
      </c>
      <c r="CT336" t="s">
        <v>75</v>
      </c>
      <c r="CU336" t="s">
        <v>76</v>
      </c>
      <c r="CV336" t="s">
        <v>77</v>
      </c>
      <c r="CW336" s="6">
        <v>0.33</v>
      </c>
      <c r="CX336" t="s">
        <v>3176</v>
      </c>
      <c r="CY336" t="s">
        <v>1012</v>
      </c>
      <c r="CZ336" t="s">
        <v>1631</v>
      </c>
      <c r="DA336" t="s">
        <v>3177</v>
      </c>
      <c r="DB336" s="6">
        <v>0.33</v>
      </c>
      <c r="DC336" t="s">
        <v>56</v>
      </c>
      <c r="DD336" t="s">
        <v>56</v>
      </c>
      <c r="DE336" t="s">
        <v>56</v>
      </c>
      <c r="DF336" t="str">
        <f>HYPERLINK(".\links\PFAM\TI_asb-539-PFAM.txt","7TM_GPCR_Srj")</f>
        <v>7TM_GPCR_Srj</v>
      </c>
      <c r="DG336" t="str">
        <f>HYPERLINK("http://pfam.sanger.ac.uk/family?acc=PF10319","0.034")</f>
        <v>0.034</v>
      </c>
      <c r="DH336" t="s">
        <v>56</v>
      </c>
      <c r="DI336" s="6" t="s">
        <v>56</v>
      </c>
      <c r="DJ336" s="6" t="s">
        <v>56</v>
      </c>
      <c r="DN336" t="str">
        <f>HYPERLINK(".\links\SMART\TI_asb-539-SMART.txt","Elp3")</f>
        <v>Elp3</v>
      </c>
      <c r="DO336" t="str">
        <f>HYPERLINK("http://smart.embl-heidelberg.de/smart/do_annotation.pl?DOMAIN=Elp3&amp;BLAST=DUMMY","0.023")</f>
        <v>0.023</v>
      </c>
      <c r="DP336" s="3" t="s">
        <v>56</v>
      </c>
      <c r="ED336" s="3" t="s">
        <v>56</v>
      </c>
    </row>
    <row r="337" spans="1:147">
      <c r="A337" t="str">
        <f>HYPERLINK(".\links\seq\TI_asb-540-seq.txt","TI_asb-540")</f>
        <v>TI_asb-540</v>
      </c>
      <c r="B337">
        <v>540</v>
      </c>
      <c r="C337" t="str">
        <f>HYPERLINK(".\links\tsa\TI_asb-540-tsa.txt","1")</f>
        <v>1</v>
      </c>
      <c r="D337">
        <v>1</v>
      </c>
      <c r="E337">
        <v>468</v>
      </c>
      <c r="G337" t="str">
        <f>HYPERLINK(".\links\qual\TI_asb-540-qual.txt","22")</f>
        <v>22</v>
      </c>
      <c r="H337">
        <v>1</v>
      </c>
      <c r="I337">
        <v>0</v>
      </c>
      <c r="J337">
        <f t="shared" si="16"/>
        <v>1</v>
      </c>
      <c r="K337" s="6">
        <f t="shared" si="17"/>
        <v>1</v>
      </c>
      <c r="L337" s="6" t="s">
        <v>3888</v>
      </c>
      <c r="M337" s="6" t="s">
        <v>3886</v>
      </c>
      <c r="N337" s="6" t="s">
        <v>3872</v>
      </c>
      <c r="O337" s="6">
        <v>0</v>
      </c>
      <c r="P337" s="6">
        <v>8.1999999999999993</v>
      </c>
      <c r="Q337" s="3">
        <v>468</v>
      </c>
      <c r="R337" s="3">
        <v>297</v>
      </c>
      <c r="S337" s="3" t="s">
        <v>3816</v>
      </c>
      <c r="T337" s="3">
        <v>2</v>
      </c>
      <c r="U337" t="str">
        <f>HYPERLINK(".\links\NR-LIGHT\TI_asb-540-NR-LIGHT.txt","AGAP003713-PA")</f>
        <v>AGAP003713-PA</v>
      </c>
      <c r="V337" t="str">
        <f>HYPERLINK("http://www.ncbi.nlm.nih.gov/sutils/blink.cgi?pid=158291968","3E-006")</f>
        <v>3E-006</v>
      </c>
      <c r="W337" t="str">
        <f>HYPERLINK(".\links\NR-LIGHT\TI_asb-540-NR-LIGHT.txt"," 10")</f>
        <v xml:space="preserve"> 10</v>
      </c>
      <c r="X337" t="str">
        <f>HYPERLINK("http://www.ncbi.nlm.nih.gov/protein/158291968","gi|158291968")</f>
        <v>gi|158291968</v>
      </c>
      <c r="Y337">
        <v>53.1</v>
      </c>
      <c r="Z337">
        <v>43</v>
      </c>
      <c r="AA337">
        <v>119</v>
      </c>
      <c r="AB337">
        <v>53</v>
      </c>
      <c r="AC337">
        <v>36</v>
      </c>
      <c r="AD337">
        <v>20</v>
      </c>
      <c r="AE337">
        <v>0</v>
      </c>
      <c r="AF337">
        <v>77</v>
      </c>
      <c r="AG337">
        <v>291</v>
      </c>
      <c r="AH337">
        <v>1</v>
      </c>
      <c r="AI337">
        <v>3</v>
      </c>
      <c r="AJ337" t="s">
        <v>53</v>
      </c>
      <c r="AK337" t="s">
        <v>54</v>
      </c>
      <c r="AL337" t="s">
        <v>1161</v>
      </c>
      <c r="AM337" t="str">
        <f>HYPERLINK(".\links\SWISSP\TI_asb-540-SWISSP.txt","Putative olfactory receptor 5AK3 OS=Homo sapiens GN=OR5AK3P PE=5 SV=1")</f>
        <v>Putative olfactory receptor 5AK3 OS=Homo sapiens GN=OR5AK3P PE=5 SV=1</v>
      </c>
      <c r="AN337" s="19" t="str">
        <f>HYPERLINK("http://www.uniprot.org/uniprot/Q8NH89","2.1")</f>
        <v>2.1</v>
      </c>
      <c r="AO337" t="str">
        <f>HYPERLINK(".\links\SWISSP\TI_asb-540-SWISSP.txt"," 9")</f>
        <v xml:space="preserve"> 9</v>
      </c>
      <c r="AP337" t="s">
        <v>3178</v>
      </c>
      <c r="AQ337">
        <v>31.6</v>
      </c>
      <c r="AR337">
        <v>53</v>
      </c>
      <c r="AS337">
        <v>298</v>
      </c>
      <c r="AT337">
        <v>32</v>
      </c>
      <c r="AU337">
        <v>18</v>
      </c>
      <c r="AV337">
        <v>36</v>
      </c>
      <c r="AW337">
        <v>3</v>
      </c>
      <c r="AX337">
        <v>124</v>
      </c>
      <c r="AY337">
        <v>74</v>
      </c>
      <c r="AZ337">
        <v>1</v>
      </c>
      <c r="BA337">
        <v>2</v>
      </c>
      <c r="BB337" t="s">
        <v>53</v>
      </c>
      <c r="BC337" t="s">
        <v>54</v>
      </c>
      <c r="BD337" t="s">
        <v>330</v>
      </c>
      <c r="BE337" t="s">
        <v>3179</v>
      </c>
      <c r="BF337" t="s">
        <v>3180</v>
      </c>
      <c r="BG337" t="str">
        <f>HYPERLINK(".\links\PREV-RHOD-PEP\TI_asb-540-PREV-RHOD-PEP.txt","Contig17940_72")</f>
        <v>Contig17940_72</v>
      </c>
      <c r="BH337" s="7">
        <v>2.9999999999999998E-15</v>
      </c>
      <c r="BI337" t="str">
        <f>HYPERLINK(".\links\PREV-RHOD-PEP\TI_asb-540-PREV-RHOD-PEP.txt"," 10")</f>
        <v xml:space="preserve"> 10</v>
      </c>
      <c r="BJ337" t="s">
        <v>280</v>
      </c>
      <c r="BK337">
        <v>77</v>
      </c>
      <c r="BL337">
        <v>43</v>
      </c>
      <c r="BM337">
        <v>126</v>
      </c>
      <c r="BN337">
        <v>81</v>
      </c>
      <c r="BO337">
        <v>34</v>
      </c>
      <c r="BP337">
        <v>8</v>
      </c>
      <c r="BQ337">
        <v>0</v>
      </c>
      <c r="BR337">
        <v>84</v>
      </c>
      <c r="BS337">
        <v>291</v>
      </c>
      <c r="BT337">
        <v>1</v>
      </c>
      <c r="BU337" t="s">
        <v>54</v>
      </c>
      <c r="BV337" t="s">
        <v>3181</v>
      </c>
      <c r="BW337" t="s">
        <v>56</v>
      </c>
      <c r="BX337" t="str">
        <f>HYPERLINK(".\links\PREV-RHOD-CDS\TI_asb-540-PREV-RHOD-CDS.txt","Contig17940_72")</f>
        <v>Contig17940_72</v>
      </c>
      <c r="BY337" s="7">
        <v>6E-11</v>
      </c>
      <c r="BZ337" t="s">
        <v>280</v>
      </c>
      <c r="CA337">
        <v>67.900000000000006</v>
      </c>
      <c r="CB337">
        <v>125</v>
      </c>
      <c r="CC337">
        <v>381</v>
      </c>
      <c r="CD337">
        <v>81</v>
      </c>
      <c r="CE337">
        <v>33</v>
      </c>
      <c r="CF337">
        <v>23</v>
      </c>
      <c r="CG337">
        <v>0</v>
      </c>
      <c r="CH337">
        <v>256</v>
      </c>
      <c r="CI337">
        <v>297</v>
      </c>
      <c r="CJ337">
        <v>1</v>
      </c>
      <c r="CK337" t="s">
        <v>54</v>
      </c>
      <c r="CL337" t="s">
        <v>3182</v>
      </c>
      <c r="CM337">
        <f>HYPERLINK(".\links\GO\TI_asb-540-GO.txt",1.1)</f>
        <v>1.1000000000000001</v>
      </c>
      <c r="CN337" t="s">
        <v>3183</v>
      </c>
      <c r="CO337" t="s">
        <v>102</v>
      </c>
      <c r="CP337" t="s">
        <v>103</v>
      </c>
      <c r="CQ337" t="s">
        <v>3184</v>
      </c>
      <c r="CR337" s="6">
        <v>1.1000000000000001</v>
      </c>
      <c r="CS337" t="s">
        <v>241</v>
      </c>
      <c r="CT337" t="s">
        <v>75</v>
      </c>
      <c r="CU337" t="s">
        <v>76</v>
      </c>
      <c r="CV337" t="s">
        <v>242</v>
      </c>
      <c r="CW337" s="6">
        <v>1.1000000000000001</v>
      </c>
      <c r="CX337" t="s">
        <v>578</v>
      </c>
      <c r="CY337" t="s">
        <v>102</v>
      </c>
      <c r="CZ337" t="s">
        <v>103</v>
      </c>
      <c r="DA337" t="s">
        <v>579</v>
      </c>
      <c r="DB337" s="6">
        <v>1.1000000000000001</v>
      </c>
      <c r="DC337" t="s">
        <v>56</v>
      </c>
      <c r="DD337" t="s">
        <v>56</v>
      </c>
      <c r="DE337" t="s">
        <v>56</v>
      </c>
      <c r="DF337" t="s">
        <v>56</v>
      </c>
      <c r="DG337" t="s">
        <v>56</v>
      </c>
      <c r="DH337" t="s">
        <v>56</v>
      </c>
      <c r="DI337" s="6" t="s">
        <v>56</v>
      </c>
      <c r="DJ337" s="6" t="str">
        <f>HYPERLINK(".\links\KOG\TI_asb-540-KOG.txt","Nuclear protein, contains WD40 repeats")</f>
        <v>Nuclear protein, contains WD40 repeats</v>
      </c>
      <c r="DK337" s="6" t="str">
        <f>HYPERLINK("http://www.ncbi.nlm.nih.gov/COG/grace/shokog.cgi?KOG1916","0.0")</f>
        <v>0.0</v>
      </c>
      <c r="DL337" s="6" t="s">
        <v>4337</v>
      </c>
      <c r="DM337" s="6" t="str">
        <f>HYPERLINK(".\links\KOG\TI_asb-540-KOG.txt","KOG1916")</f>
        <v>KOG1916</v>
      </c>
      <c r="DN337" t="str">
        <f>HYPERLINK(".\links\SMART\TI_asb-540-SMART.txt","WRKY")</f>
        <v>WRKY</v>
      </c>
      <c r="DO337" t="str">
        <f>HYPERLINK("http://smart.embl-heidelberg.de/smart/do_annotation.pl?DOMAIN=WRKY&amp;BLAST=DUMMY","0.020")</f>
        <v>0.020</v>
      </c>
      <c r="DP337" s="3" t="s">
        <v>56</v>
      </c>
      <c r="ED337" s="3" t="s">
        <v>56</v>
      </c>
    </row>
    <row r="338" spans="1:147">
      <c r="A338" t="str">
        <f>HYPERLINK(".\links\seq\TI_asb-541-seq.txt","TI_asb-541")</f>
        <v>TI_asb-541</v>
      </c>
      <c r="B338">
        <v>541</v>
      </c>
      <c r="C338" t="str">
        <f>HYPERLINK(".\links\tsa\TI_asb-541-tsa.txt","1")</f>
        <v>1</v>
      </c>
      <c r="D338">
        <v>1</v>
      </c>
      <c r="E338">
        <v>565</v>
      </c>
      <c r="G338" t="str">
        <f>HYPERLINK(".\links\qual\TI_asb-541-qual.txt","56")</f>
        <v>56</v>
      </c>
      <c r="H338">
        <v>0</v>
      </c>
      <c r="I338">
        <v>1</v>
      </c>
      <c r="J338">
        <f t="shared" si="16"/>
        <v>1</v>
      </c>
      <c r="K338" s="6">
        <f t="shared" si="17"/>
        <v>-1</v>
      </c>
      <c r="L338" s="6" t="s">
        <v>3868</v>
      </c>
      <c r="M338" s="6" t="s">
        <v>3869</v>
      </c>
      <c r="N338" s="6"/>
      <c r="O338" s="6"/>
      <c r="P338" s="6"/>
      <c r="Q338" s="3">
        <v>565</v>
      </c>
      <c r="R338" s="3">
        <v>405</v>
      </c>
      <c r="S338" s="3" t="s">
        <v>3817</v>
      </c>
      <c r="T338" s="3">
        <v>2</v>
      </c>
      <c r="U338" t="str">
        <f>HYPERLINK(".\links\NR-LIGHT\TI_asb-541-NR-LIGHT.txt","pro-neuregulin-1, membrane-bound isoform-like")</f>
        <v>pro-neuregulin-1, membrane-bound isoform-like</v>
      </c>
      <c r="V338" t="str">
        <f>HYPERLINK("http://www.ncbi.nlm.nih.gov/sutils/blink.cgi?pid=311272401","0.26")</f>
        <v>0.26</v>
      </c>
      <c r="W338" t="str">
        <f>HYPERLINK(".\links\NR-LIGHT\TI_asb-541-NR-LIGHT.txt"," 10")</f>
        <v xml:space="preserve"> 10</v>
      </c>
      <c r="X338" t="str">
        <f>HYPERLINK("http://www.ncbi.nlm.nih.gov/protein/311272401","gi|311272401")</f>
        <v>gi|311272401</v>
      </c>
      <c r="Y338">
        <v>37.4</v>
      </c>
      <c r="Z338">
        <v>80</v>
      </c>
      <c r="AA338">
        <v>563</v>
      </c>
      <c r="AB338">
        <v>28</v>
      </c>
      <c r="AC338">
        <v>14</v>
      </c>
      <c r="AD338">
        <v>57</v>
      </c>
      <c r="AE338">
        <v>3</v>
      </c>
      <c r="AF338">
        <v>224</v>
      </c>
      <c r="AG338">
        <v>326</v>
      </c>
      <c r="AH338">
        <v>1</v>
      </c>
      <c r="AI338">
        <v>2</v>
      </c>
      <c r="AJ338" t="s">
        <v>53</v>
      </c>
      <c r="AK338" t="s">
        <v>54</v>
      </c>
      <c r="AL338" t="s">
        <v>229</v>
      </c>
      <c r="AM338" t="str">
        <f>HYPERLINK(".\links\SWISSP\TI_asb-541-SWISSP.txt","Pro-neuregulin-1, membrane-bound isoform OS=Xenopus laevis GN=nrg1 PE=2 SV=1")</f>
        <v>Pro-neuregulin-1, membrane-bound isoform OS=Xenopus laevis GN=nrg1 PE=2 SV=1</v>
      </c>
      <c r="AN338" s="19" t="str">
        <f>HYPERLINK("http://www.uniprot.org/uniprot/O93383","0.037")</f>
        <v>0.037</v>
      </c>
      <c r="AO338" t="str">
        <f>HYPERLINK(".\links\SWISSP\TI_asb-541-SWISSP.txt"," 10")</f>
        <v xml:space="preserve"> 10</v>
      </c>
      <c r="AP338" t="s">
        <v>3185</v>
      </c>
      <c r="AQ338">
        <v>38.1</v>
      </c>
      <c r="AR338">
        <v>70</v>
      </c>
      <c r="AS338">
        <v>677</v>
      </c>
      <c r="AT338">
        <v>28</v>
      </c>
      <c r="AU338">
        <v>10</v>
      </c>
      <c r="AV338">
        <v>50</v>
      </c>
      <c r="AW338">
        <v>3</v>
      </c>
      <c r="AX338">
        <v>321</v>
      </c>
      <c r="AY338">
        <v>335</v>
      </c>
      <c r="AZ338">
        <v>1</v>
      </c>
      <c r="BA338">
        <v>2</v>
      </c>
      <c r="BB338" t="s">
        <v>53</v>
      </c>
      <c r="BC338" t="s">
        <v>54</v>
      </c>
      <c r="BD338" t="s">
        <v>832</v>
      </c>
      <c r="BE338" t="s">
        <v>3186</v>
      </c>
      <c r="BF338" t="s">
        <v>3187</v>
      </c>
      <c r="BG338" t="str">
        <f>HYPERLINK(".\links\PREV-RHOD-PEP\TI_asb-541-PREV-RHOD-PEP.txt","Contig17920_108")</f>
        <v>Contig17920_108</v>
      </c>
      <c r="BH338" s="7">
        <v>4E-41</v>
      </c>
      <c r="BI338" t="str">
        <f>HYPERLINK(".\links\PREV-RHOD-PEP\TI_asb-541-PREV-RHOD-PEP.txt"," 10")</f>
        <v xml:space="preserve"> 10</v>
      </c>
      <c r="BJ338" t="s">
        <v>3188</v>
      </c>
      <c r="BK338">
        <v>163</v>
      </c>
      <c r="BL338">
        <v>127</v>
      </c>
      <c r="BM338">
        <v>757</v>
      </c>
      <c r="BN338">
        <v>65</v>
      </c>
      <c r="BO338">
        <v>17</v>
      </c>
      <c r="BP338">
        <v>44</v>
      </c>
      <c r="BQ338">
        <v>5</v>
      </c>
      <c r="BR338">
        <v>1</v>
      </c>
      <c r="BS338">
        <v>200</v>
      </c>
      <c r="BT338">
        <v>1</v>
      </c>
      <c r="BU338" t="s">
        <v>54</v>
      </c>
      <c r="BV338" t="s">
        <v>3189</v>
      </c>
      <c r="BW338" t="s">
        <v>56</v>
      </c>
      <c r="BX338" t="str">
        <f>HYPERLINK(".\links\PREV-RHOD-CDS\TI_asb-541-PREV-RHOD-CDS.txt","Contig17920_108")</f>
        <v>Contig17920_108</v>
      </c>
      <c r="BY338" s="7">
        <v>4.9999999999999997E-12</v>
      </c>
      <c r="BZ338" t="s">
        <v>3188</v>
      </c>
      <c r="CA338">
        <v>71.900000000000006</v>
      </c>
      <c r="CB338">
        <v>272</v>
      </c>
      <c r="CC338">
        <v>2274</v>
      </c>
      <c r="CD338">
        <v>81</v>
      </c>
      <c r="CE338">
        <v>12</v>
      </c>
      <c r="CF338">
        <v>25</v>
      </c>
      <c r="CG338">
        <v>0</v>
      </c>
      <c r="CH338">
        <v>94</v>
      </c>
      <c r="CI338">
        <v>296</v>
      </c>
      <c r="CJ338">
        <v>2</v>
      </c>
      <c r="CK338" t="s">
        <v>54</v>
      </c>
      <c r="CL338" t="s">
        <v>3190</v>
      </c>
      <c r="CM338">
        <f>HYPERLINK(".\links\GO\TI_asb-541-GO.txt",0.018)</f>
        <v>1.7999999999999999E-2</v>
      </c>
      <c r="CN338" t="s">
        <v>3191</v>
      </c>
      <c r="CO338" t="s">
        <v>185</v>
      </c>
      <c r="CP338" t="s">
        <v>186</v>
      </c>
      <c r="CQ338" t="s">
        <v>3192</v>
      </c>
      <c r="CR338" s="6">
        <v>1.7999999999999999E-2</v>
      </c>
      <c r="CS338" t="s">
        <v>3193</v>
      </c>
      <c r="CT338" t="s">
        <v>3193</v>
      </c>
      <c r="CV338" t="s">
        <v>3194</v>
      </c>
      <c r="CW338" s="6">
        <v>1.7999999999999999E-2</v>
      </c>
      <c r="CX338" t="s">
        <v>3195</v>
      </c>
      <c r="CY338" t="s">
        <v>185</v>
      </c>
      <c r="CZ338" t="s">
        <v>186</v>
      </c>
      <c r="DA338" t="s">
        <v>3196</v>
      </c>
      <c r="DB338" s="6">
        <v>1.7999999999999999E-2</v>
      </c>
      <c r="DC338" t="str">
        <f>HYPERLINK(".\links\CDD\TI_asb-541-CDD.txt","Neuregulin")</f>
        <v>Neuregulin</v>
      </c>
      <c r="DD338" t="str">
        <f>HYPERLINK("http://www.ncbi.nlm.nih.gov/Structure/cdd/cddsrv.cgi?uid=pfam02158&amp;version=v4.0","0.007")</f>
        <v>0.007</v>
      </c>
      <c r="DE338" t="s">
        <v>3197</v>
      </c>
      <c r="DF338" t="str">
        <f>HYPERLINK(".\links\PFAM\TI_asb-541-PFAM.txt","Neuregulin")</f>
        <v>Neuregulin</v>
      </c>
      <c r="DG338" t="str">
        <f>HYPERLINK("http://pfam.sanger.ac.uk/family?acc=PF02158","0.002")</f>
        <v>0.002</v>
      </c>
      <c r="DH338" t="s">
        <v>56</v>
      </c>
      <c r="DI338" s="6" t="s">
        <v>56</v>
      </c>
      <c r="DJ338" s="6" t="s">
        <v>56</v>
      </c>
      <c r="DN338" t="str">
        <f>HYPERLINK(".\links\SMART\TI_asb-541-SMART.txt","RAN")</f>
        <v>RAN</v>
      </c>
      <c r="DO338" t="str">
        <f>HYPERLINK("http://smart.embl-heidelberg.de/smart/do_annotation.pl?DOMAIN=RAN&amp;BLAST=DUMMY","0.060")</f>
        <v>0.060</v>
      </c>
      <c r="DP338" s="3" t="s">
        <v>56</v>
      </c>
      <c r="ED338" s="3" t="s">
        <v>56</v>
      </c>
    </row>
    <row r="339" spans="1:147" s="26" customFormat="1">
      <c r="A339" s="26" t="str">
        <f>HYPERLINK(".\links\seq\TI_asb-543-seq.txt","TI_asb-543")</f>
        <v>TI_asb-543</v>
      </c>
      <c r="B339" s="26">
        <v>543</v>
      </c>
      <c r="C339" s="27" t="str">
        <f>HYPERLINK(".\links\tsa\TI_asb-543-tsa.txt","7")</f>
        <v>7</v>
      </c>
      <c r="D339" s="26">
        <v>7</v>
      </c>
      <c r="E339" s="26">
        <v>1068</v>
      </c>
      <c r="F339" s="26">
        <v>991</v>
      </c>
      <c r="G339" s="26" t="str">
        <f>HYPERLINK(".\links\qual\TI_asb-543-qual.txt","81")</f>
        <v>81</v>
      </c>
      <c r="H339" s="26">
        <v>6</v>
      </c>
      <c r="I339" s="26">
        <v>1</v>
      </c>
      <c r="J339" s="26">
        <f t="shared" si="16"/>
        <v>5</v>
      </c>
      <c r="K339" s="26">
        <f t="shared" si="17"/>
        <v>5</v>
      </c>
      <c r="L339" s="26" t="s">
        <v>3930</v>
      </c>
      <c r="M339" s="26" t="s">
        <v>3904</v>
      </c>
      <c r="N339" s="26" t="str">
        <f>HYPERLINK(".\links\KOG\TI_asb-543-KOG.txt","KOG")</f>
        <v>KOG</v>
      </c>
      <c r="O339" s="28">
        <v>1.9999999999999999E-29</v>
      </c>
      <c r="P339" s="26">
        <v>98.8</v>
      </c>
      <c r="Q339" s="26">
        <v>1068</v>
      </c>
      <c r="R339" s="26">
        <v>318</v>
      </c>
      <c r="S339" s="26" t="s">
        <v>3818</v>
      </c>
      <c r="T339" s="26">
        <v>4</v>
      </c>
      <c r="U339" s="26" t="str">
        <f>HYPERLINK(".\links\NR-LIGHT\TI_asb-543-NR-LIGHT.txt","NADH dehydrogenase subunit 2")</f>
        <v>NADH dehydrogenase subunit 2</v>
      </c>
      <c r="V339" s="26" t="str">
        <f>HYPERLINK("http://www.ncbi.nlm.nih.gov/sutils/blink.cgi?pid=11182463","3E-090")</f>
        <v>3E-090</v>
      </c>
      <c r="W339" s="26" t="str">
        <f>HYPERLINK(".\links\NR-LIGHT\TI_asb-543-NR-LIGHT.txt"," 10")</f>
        <v xml:space="preserve"> 10</v>
      </c>
      <c r="X339" s="26" t="str">
        <f>HYPERLINK("http://www.ncbi.nlm.nih.gov/protein/11182463","gi|11182463")</f>
        <v>gi|11182463</v>
      </c>
      <c r="Y339" s="26">
        <v>334</v>
      </c>
      <c r="Z339" s="26">
        <v>326</v>
      </c>
      <c r="AA339" s="26">
        <v>332</v>
      </c>
      <c r="AB339" s="26">
        <v>54</v>
      </c>
      <c r="AC339" s="26">
        <v>98</v>
      </c>
      <c r="AD339" s="26">
        <v>147</v>
      </c>
      <c r="AE339" s="26">
        <v>0</v>
      </c>
      <c r="AF339" s="26">
        <v>7</v>
      </c>
      <c r="AG339" s="26">
        <v>5</v>
      </c>
      <c r="AH339" s="26">
        <v>1</v>
      </c>
      <c r="AI339" s="26">
        <v>2</v>
      </c>
      <c r="AJ339" s="26" t="s">
        <v>53</v>
      </c>
      <c r="AK339" s="26" t="s">
        <v>54</v>
      </c>
      <c r="AL339" s="26" t="s">
        <v>672</v>
      </c>
      <c r="AM339" s="26" t="str">
        <f>HYPERLINK(".\links\SWISSP\TI_asb-543-SWISSP.txt","NADH-ubiquinone oxidoreductase chain 2 OS=Drosophila yakuba GN=mt:ND2 PE=3 SV=1")</f>
        <v>NADH-ubiquinone oxidoreductase chain 2 OS=Drosophila yakuba GN=mt:ND2 PE=3 SV=1</v>
      </c>
      <c r="AN339" s="29" t="str">
        <f>HYPERLINK("http://www.uniprot.org/uniprot/P03895","4E-040")</f>
        <v>4E-040</v>
      </c>
      <c r="AO339" s="26" t="str">
        <f>HYPERLINK(".\links\SWISSP\TI_asb-543-SWISSP.txt"," 10")</f>
        <v xml:space="preserve"> 10</v>
      </c>
      <c r="AP339" s="26" t="s">
        <v>3198</v>
      </c>
      <c r="AQ339" s="26">
        <v>165</v>
      </c>
      <c r="AR339" s="26">
        <v>283</v>
      </c>
      <c r="AS339" s="26">
        <v>341</v>
      </c>
      <c r="AT339" s="26">
        <v>35</v>
      </c>
      <c r="AU339" s="26">
        <v>83</v>
      </c>
      <c r="AV339" s="26">
        <v>182</v>
      </c>
      <c r="AW339" s="26">
        <v>2</v>
      </c>
      <c r="AX339" s="26">
        <v>7</v>
      </c>
      <c r="AY339" s="26">
        <v>2</v>
      </c>
      <c r="AZ339" s="26">
        <v>1</v>
      </c>
      <c r="BA339" s="26">
        <v>2</v>
      </c>
      <c r="BB339" s="26" t="s">
        <v>53</v>
      </c>
      <c r="BC339" s="26" t="s">
        <v>54</v>
      </c>
      <c r="BD339" s="26" t="s">
        <v>674</v>
      </c>
      <c r="BE339" s="26" t="s">
        <v>3199</v>
      </c>
      <c r="BF339" s="26" t="s">
        <v>3200</v>
      </c>
      <c r="BG339" s="26" t="str">
        <f>HYPERLINK(".\links\PREV-RHOD-PEP\TI_asb-543-PREV-RHOD-PEP.txt","Contig17879_1")</f>
        <v>Contig17879_1</v>
      </c>
      <c r="BH339" s="26">
        <v>3.6</v>
      </c>
      <c r="BI339" s="26" t="str">
        <f>HYPERLINK(".\links\PREV-RHOD-PEP\TI_asb-543-PREV-RHOD-PEP.txt"," 2")</f>
        <v xml:space="preserve"> 2</v>
      </c>
      <c r="BJ339" s="26" t="s">
        <v>3201</v>
      </c>
      <c r="BK339" s="26">
        <v>28.9</v>
      </c>
      <c r="BL339" s="26">
        <v>58</v>
      </c>
      <c r="BM339" s="26">
        <v>568</v>
      </c>
      <c r="BN339" s="26">
        <v>32</v>
      </c>
      <c r="BO339" s="26">
        <v>10</v>
      </c>
      <c r="BP339" s="26">
        <v>39</v>
      </c>
      <c r="BQ339" s="26">
        <v>3</v>
      </c>
      <c r="BR339" s="26">
        <v>328</v>
      </c>
      <c r="BS339" s="26">
        <v>362</v>
      </c>
      <c r="BT339" s="26">
        <v>1</v>
      </c>
      <c r="BU339" s="26" t="s">
        <v>54</v>
      </c>
      <c r="BV339" s="26" t="s">
        <v>3202</v>
      </c>
      <c r="BW339" s="26" t="s">
        <v>56</v>
      </c>
      <c r="BX339" s="26" t="str">
        <f>HYPERLINK(".\links\PREV-RHOD-CDS\TI_asb-543-PREV-RHOD-CDS.txt","Contig17834_37")</f>
        <v>Contig17834_37</v>
      </c>
      <c r="BY339" s="26">
        <v>8.9999999999999993E-3</v>
      </c>
      <c r="BZ339" s="26" t="s">
        <v>3203</v>
      </c>
      <c r="CA339" s="26">
        <v>42.1</v>
      </c>
      <c r="CB339" s="26">
        <v>20</v>
      </c>
      <c r="CC339" s="26">
        <v>2442</v>
      </c>
      <c r="CD339" s="26">
        <v>100</v>
      </c>
      <c r="CE339" s="26">
        <v>1</v>
      </c>
      <c r="CF339" s="26">
        <v>0</v>
      </c>
      <c r="CG339" s="26">
        <v>0</v>
      </c>
      <c r="CH339" s="26">
        <v>2325</v>
      </c>
      <c r="CI339" s="26">
        <v>89</v>
      </c>
      <c r="CJ339" s="26">
        <v>1</v>
      </c>
      <c r="CK339" s="26" t="s">
        <v>64</v>
      </c>
      <c r="CL339" s="26" t="s">
        <v>3204</v>
      </c>
      <c r="CM339" s="26">
        <f>HYPERLINK(".\links\GO\TI_asb-543-GO.txt",2E-39)</f>
        <v>1.9999999999999999E-39</v>
      </c>
      <c r="CN339" s="26" t="s">
        <v>58</v>
      </c>
      <c r="CO339" s="26" t="s">
        <v>58</v>
      </c>
      <c r="CQ339" s="26" t="s">
        <v>59</v>
      </c>
      <c r="CR339" s="28">
        <v>3.0000000000000001E-27</v>
      </c>
      <c r="CS339" s="26" t="s">
        <v>241</v>
      </c>
      <c r="CT339" s="26" t="s">
        <v>75</v>
      </c>
      <c r="CU339" s="26" t="s">
        <v>76</v>
      </c>
      <c r="CV339" s="26" t="s">
        <v>242</v>
      </c>
      <c r="CW339" s="28">
        <v>3.0000000000000001E-27</v>
      </c>
      <c r="CX339" s="26" t="s">
        <v>3205</v>
      </c>
      <c r="CY339" s="26" t="s">
        <v>58</v>
      </c>
      <c r="DA339" s="26" t="s">
        <v>3206</v>
      </c>
      <c r="DB339" s="28">
        <v>3.0000000000000001E-27</v>
      </c>
      <c r="DC339" s="26" t="str">
        <f>HYPERLINK(".\links\CDD\TI_asb-543-CDD.txt","ND2")</f>
        <v>ND2</v>
      </c>
      <c r="DD339" s="26" t="str">
        <f>HYPERLINK("http://www.ncbi.nlm.nih.gov/Structure/cdd/cddsrv.cgi?uid=MTH00160&amp;version=v4.0","1E-106")</f>
        <v>1E-106</v>
      </c>
      <c r="DE339" s="26" t="s">
        <v>3207</v>
      </c>
      <c r="DF339" s="26" t="str">
        <f>HYPERLINK(".\links\PFAM\TI_asb-543-PFAM.txt","Oxidored_q1")</f>
        <v>Oxidored_q1</v>
      </c>
      <c r="DG339" s="26" t="str">
        <f>HYPERLINK("http://pfam.sanger.ac.uk/family?acc=PF00361","3E-040")</f>
        <v>3E-040</v>
      </c>
      <c r="DH339" s="26" t="str">
        <f>HYPERLINK(".\links\PRK\TI_asb-543-PRK.txt","NADH dehydrogenase subunit 2")</f>
        <v>NADH dehydrogenase subunit 2</v>
      </c>
      <c r="DI339" s="28">
        <v>1.0000000000000001E-114</v>
      </c>
      <c r="DJ339" s="26" t="str">
        <f>HYPERLINK(".\links\KOG\TI_asb-543-KOG.txt","NADH dehydrogenase subunits 2, 5, and related proteins")</f>
        <v>NADH dehydrogenase subunits 2, 5, and related proteins</v>
      </c>
      <c r="DK339" s="26" t="str">
        <f>HYPERLINK("http://www.ncbi.nlm.nih.gov/COG/grace/shokog.cgi?KOG4668","2E-029")</f>
        <v>2E-029</v>
      </c>
      <c r="DL339" s="26" t="s">
        <v>4349</v>
      </c>
      <c r="DM339" s="26" t="str">
        <f>HYPERLINK(".\links\KOG\TI_asb-543-KOG.txt","KOG4668")</f>
        <v>KOG4668</v>
      </c>
      <c r="DN339" s="26" t="str">
        <f>HYPERLINK(".\links\SMART\TI_asb-543-SMART.txt","PSN")</f>
        <v>PSN</v>
      </c>
      <c r="DO339" s="26" t="str">
        <f>HYPERLINK("http://smart.embl-heidelberg.de/smart/do_annotation.pl?DOMAIN=PSN&amp;BLAST=DUMMY","1E-005")</f>
        <v>1E-005</v>
      </c>
      <c r="DP339" s="26" t="s">
        <v>56</v>
      </c>
      <c r="ED339" s="26" t="str">
        <f>HYPERLINK(".\links\MIT-PLA\TI_asb-543-MIT-PLA.txt","Triatoma dimidiata mitochondrial DNA, complete genome")</f>
        <v>Triatoma dimidiata mitochondrial DNA, complete genome</v>
      </c>
      <c r="EE339" s="26" t="str">
        <f>HYPERLINK("http://www.ncbi.nlm.nih.gov/entrez/viewer.fcgi?db=nucleotide&amp;val=11139100","4E-072")</f>
        <v>4E-072</v>
      </c>
      <c r="EF339" s="26" t="str">
        <f>HYPERLINK("http://www.ncbi.nlm.nih.gov/entrez/viewer.fcgi?db=nucleotide&amp;val=11139100","gi|11139100")</f>
        <v>gi|11139100</v>
      </c>
      <c r="EG339" s="26">
        <v>272</v>
      </c>
      <c r="EH339" s="26">
        <v>678</v>
      </c>
      <c r="EI339" s="26">
        <v>17019</v>
      </c>
      <c r="EJ339" s="26">
        <v>86</v>
      </c>
      <c r="EK339" s="26">
        <v>4</v>
      </c>
      <c r="EL339" s="26">
        <v>44</v>
      </c>
      <c r="EM339" s="26">
        <v>2</v>
      </c>
      <c r="EN339" s="26">
        <v>241</v>
      </c>
      <c r="EO339" s="26">
        <v>30</v>
      </c>
      <c r="EP339" s="26">
        <v>2</v>
      </c>
      <c r="EQ339" s="26" t="s">
        <v>54</v>
      </c>
    </row>
    <row r="340" spans="1:147" s="26" customFormat="1">
      <c r="A340" s="26" t="str">
        <f>HYPERLINK(".\links\seq\TI_asb-544-seq.txt","TI_asb-544")</f>
        <v>TI_asb-544</v>
      </c>
      <c r="B340" s="26">
        <v>544</v>
      </c>
      <c r="C340" s="27" t="str">
        <f>HYPERLINK(".\links\tsa\TI_asb-544-tsa.txt","112")</f>
        <v>112</v>
      </c>
      <c r="D340" s="26">
        <v>112</v>
      </c>
      <c r="E340" s="26">
        <v>1305</v>
      </c>
      <c r="F340" s="26">
        <v>1260</v>
      </c>
      <c r="G340" s="26" t="str">
        <f>HYPERLINK(".\links\qual\TI_asb-544-qual.txt","96")</f>
        <v>96</v>
      </c>
      <c r="H340" s="26">
        <v>52</v>
      </c>
      <c r="I340" s="26">
        <v>60</v>
      </c>
      <c r="J340" s="26">
        <f t="shared" si="16"/>
        <v>8</v>
      </c>
      <c r="K340" s="26">
        <f t="shared" si="17"/>
        <v>-8</v>
      </c>
      <c r="L340" s="26" t="s">
        <v>3868</v>
      </c>
      <c r="M340" s="26" t="s">
        <v>3869</v>
      </c>
      <c r="Q340" s="26">
        <v>1305</v>
      </c>
      <c r="R340" s="26">
        <v>189</v>
      </c>
      <c r="S340" s="26" t="s">
        <v>3819</v>
      </c>
      <c r="T340" s="26">
        <v>2</v>
      </c>
      <c r="U340" s="26" t="str">
        <f>HYPERLINK(".\links\NR-LIGHT\TI_asb-544-NR-LIGHT.txt","unknown")</f>
        <v>unknown</v>
      </c>
      <c r="V340" s="26" t="str">
        <f>HYPERLINK("http://www.ncbi.nlm.nih.gov/sutils/blink.cgi?pid=148616181","1.9")</f>
        <v>1.9</v>
      </c>
      <c r="W340" s="26" t="str">
        <f>HYPERLINK(".\links\NR-LIGHT\TI_asb-544-NR-LIGHT.txt"," 1")</f>
        <v xml:space="preserve"> 1</v>
      </c>
      <c r="X340" s="26" t="str">
        <f>HYPERLINK("http://www.ncbi.nlm.nih.gov/protein/148616181","gi|148616181")</f>
        <v>gi|148616181</v>
      </c>
      <c r="Y340" s="26">
        <v>36.6</v>
      </c>
      <c r="Z340" s="26">
        <v>23</v>
      </c>
      <c r="AA340" s="26">
        <v>30</v>
      </c>
      <c r="AB340" s="26">
        <v>73</v>
      </c>
      <c r="AC340" s="26">
        <v>77</v>
      </c>
      <c r="AD340" s="26">
        <v>6</v>
      </c>
      <c r="AE340" s="26">
        <v>0</v>
      </c>
      <c r="AF340" s="26">
        <v>8</v>
      </c>
      <c r="AG340" s="26">
        <v>1119</v>
      </c>
      <c r="AH340" s="26">
        <v>1</v>
      </c>
      <c r="AI340" s="26">
        <v>3</v>
      </c>
      <c r="AJ340" s="26" t="s">
        <v>53</v>
      </c>
      <c r="AK340" s="26" t="s">
        <v>54</v>
      </c>
      <c r="AL340" s="26" t="s">
        <v>3208</v>
      </c>
      <c r="AM340" s="26" t="str">
        <f>HYPERLINK(".\links\SWISSP\TI_asb-544-SWISSP.txt","Ribosomal large subunit pseudouridine synthase D OS=Buchnera aphidicola subsp.")</f>
        <v>Ribosomal large subunit pseudouridine synthase D OS=Buchnera aphidicola subsp.</v>
      </c>
      <c r="AN340" s="29" t="str">
        <f>HYPERLINK("http://www.uniprot.org/uniprot/Q89AD9","7.8")</f>
        <v>7.8</v>
      </c>
      <c r="AO340" s="26" t="str">
        <f>HYPERLINK(".\links\SWISSP\TI_asb-544-SWISSP.txt"," 1")</f>
        <v xml:space="preserve"> 1</v>
      </c>
      <c r="AP340" s="26" t="s">
        <v>3148</v>
      </c>
      <c r="AQ340" s="26">
        <v>32.299999999999997</v>
      </c>
      <c r="AR340" s="26">
        <v>104</v>
      </c>
      <c r="AS340" s="26">
        <v>317</v>
      </c>
      <c r="AT340" s="26">
        <v>29</v>
      </c>
      <c r="AU340" s="26">
        <v>33</v>
      </c>
      <c r="AV340" s="26">
        <v>73</v>
      </c>
      <c r="AW340" s="26">
        <v>7</v>
      </c>
      <c r="AX340" s="26">
        <v>214</v>
      </c>
      <c r="AY340" s="26">
        <v>655</v>
      </c>
      <c r="AZ340" s="26">
        <v>1</v>
      </c>
      <c r="BA340" s="26">
        <v>-1</v>
      </c>
      <c r="BB340" s="26" t="s">
        <v>53</v>
      </c>
      <c r="BC340" s="26" t="s">
        <v>64</v>
      </c>
      <c r="BD340" s="26" t="s">
        <v>3149</v>
      </c>
      <c r="BE340" s="26" t="s">
        <v>3150</v>
      </c>
      <c r="BF340" s="26" t="s">
        <v>3151</v>
      </c>
      <c r="BG340" s="26" t="str">
        <f>HYPERLINK(".\links\PREV-RHOD-PEP\TI_asb-544-PREV-RHOD-PEP.txt","Contig17879_57")</f>
        <v>Contig17879_57</v>
      </c>
      <c r="BH340" s="26">
        <v>0.55000000000000004</v>
      </c>
      <c r="BI340" s="26" t="str">
        <f>HYPERLINK(".\links\PREV-RHOD-PEP\TI_asb-544-PREV-RHOD-PEP.txt"," 1")</f>
        <v xml:space="preserve"> 1</v>
      </c>
      <c r="BJ340" s="26" t="s">
        <v>3152</v>
      </c>
      <c r="BK340" s="26">
        <v>32</v>
      </c>
      <c r="BL340" s="26">
        <v>46</v>
      </c>
      <c r="BM340" s="26">
        <v>444</v>
      </c>
      <c r="BN340" s="26">
        <v>39</v>
      </c>
      <c r="BO340" s="26">
        <v>10</v>
      </c>
      <c r="BP340" s="26">
        <v>28</v>
      </c>
      <c r="BQ340" s="26">
        <v>0</v>
      </c>
      <c r="BR340" s="26">
        <v>183</v>
      </c>
      <c r="BS340" s="26">
        <v>655</v>
      </c>
      <c r="BT340" s="26">
        <v>1</v>
      </c>
      <c r="BU340" s="26" t="s">
        <v>64</v>
      </c>
      <c r="BV340" s="26" t="s">
        <v>3153</v>
      </c>
      <c r="BW340" s="26" t="s">
        <v>56</v>
      </c>
      <c r="BX340" s="26" t="str">
        <f>HYPERLINK(".\links\PREV-RHOD-CDS\TI_asb-544-PREV-RHOD-CDS.txt","Contig8197_1")</f>
        <v>Contig8197_1</v>
      </c>
      <c r="BY340" s="28">
        <v>6.9999999999999996E-10</v>
      </c>
      <c r="BZ340" s="26" t="s">
        <v>3154</v>
      </c>
      <c r="CA340" s="26">
        <v>65.900000000000006</v>
      </c>
      <c r="CB340" s="26">
        <v>56</v>
      </c>
      <c r="CC340" s="26">
        <v>75</v>
      </c>
      <c r="CD340" s="26">
        <v>89</v>
      </c>
      <c r="CE340" s="26">
        <v>76</v>
      </c>
      <c r="CF340" s="26">
        <v>6</v>
      </c>
      <c r="CG340" s="26">
        <v>0</v>
      </c>
      <c r="CH340" s="26">
        <v>1</v>
      </c>
      <c r="CI340" s="26">
        <v>808</v>
      </c>
      <c r="CJ340" s="26">
        <v>1</v>
      </c>
      <c r="CK340" s="26" t="s">
        <v>54</v>
      </c>
      <c r="CL340" s="26" t="s">
        <v>56</v>
      </c>
      <c r="CM340" s="26" t="s">
        <v>56</v>
      </c>
      <c r="CN340" s="26" t="s">
        <v>56</v>
      </c>
      <c r="CO340" s="26" t="s">
        <v>56</v>
      </c>
      <c r="CP340" s="26" t="s">
        <v>56</v>
      </c>
      <c r="CQ340" s="26" t="s">
        <v>56</v>
      </c>
      <c r="CR340" s="26" t="s">
        <v>56</v>
      </c>
      <c r="CS340" s="26" t="s">
        <v>56</v>
      </c>
      <c r="CT340" s="26" t="s">
        <v>56</v>
      </c>
      <c r="CU340" s="26" t="s">
        <v>56</v>
      </c>
      <c r="CV340" s="26" t="s">
        <v>56</v>
      </c>
      <c r="CW340" s="26" t="s">
        <v>56</v>
      </c>
      <c r="CX340" s="26" t="s">
        <v>56</v>
      </c>
      <c r="CY340" s="26" t="s">
        <v>56</v>
      </c>
      <c r="CZ340" s="26" t="s">
        <v>56</v>
      </c>
      <c r="DA340" s="26" t="s">
        <v>56</v>
      </c>
      <c r="DB340" s="26" t="s">
        <v>56</v>
      </c>
      <c r="DC340" s="26" t="str">
        <f>HYPERLINK(".\links\CDD\TI_asb-544-CDD.txt","ND5")</f>
        <v>ND5</v>
      </c>
      <c r="DD340" s="26" t="str">
        <f>HYPERLINK("http://www.ncbi.nlm.nih.gov/Structure/cdd/cddsrv.cgi?uid=MTH00095&amp;version=v4.0","4E-005")</f>
        <v>4E-005</v>
      </c>
      <c r="DE340" s="26" t="s">
        <v>3209</v>
      </c>
      <c r="DF340" s="26" t="str">
        <f>HYPERLINK(".\links\PFAM\TI_asb-544-PFAM.txt","7TM_GPCR_Srh")</f>
        <v>7TM_GPCR_Srh</v>
      </c>
      <c r="DG340" s="26" t="str">
        <f>HYPERLINK("http://pfam.sanger.ac.uk/family?acc=PF10318","0.002")</f>
        <v>0.002</v>
      </c>
      <c r="DH340" s="26" t="str">
        <f>HYPERLINK(".\links\PRK\TI_asb-544-PRK.txt","ATP synthase F0 subunit 6")</f>
        <v>ATP synthase F0 subunit 6</v>
      </c>
      <c r="DI340" s="28">
        <v>5.9999999999999995E-4</v>
      </c>
      <c r="DJ340" s="26" t="str">
        <f>HYPERLINK(".\links\KOG\TI_asb-544-KOG.txt","Endosomal membrane proteins, EMP70")</f>
        <v>Endosomal membrane proteins, EMP70</v>
      </c>
      <c r="DK340" s="26" t="str">
        <f>HYPERLINK("http://www.ncbi.nlm.nih.gov/COG/grace/shokog.cgi?KOG1277","0.004")</f>
        <v>0.004</v>
      </c>
      <c r="DL340" s="26" t="s">
        <v>4352</v>
      </c>
      <c r="DM340" s="26" t="str">
        <f>HYPERLINK(".\links\KOG\TI_asb-544-KOG.txt","KOG1277")</f>
        <v>KOG1277</v>
      </c>
      <c r="DN340" s="26" t="str">
        <f>HYPERLINK(".\links\SMART\TI_asb-544-SMART.txt","PSN")</f>
        <v>PSN</v>
      </c>
      <c r="DO340" s="26" t="str">
        <f>HYPERLINK("http://smart.embl-heidelberg.de/smart/do_annotation.pl?DOMAIN=PSN&amp;BLAST=DUMMY","0.061")</f>
        <v>0.061</v>
      </c>
      <c r="DP340" s="26" t="str">
        <f>HYPERLINK(".\links\RRNA\TI_asb-544-RRNA.txt","Pycnoscelus surinamensis mitochondrion 16S ribosomal RNA, partial sequence")</f>
        <v>Pycnoscelus surinamensis mitochondrion 16S ribosomal RNA, partial sequence</v>
      </c>
      <c r="DQ340" s="26" t="str">
        <f>HYPERLINK("http://www.ncbi.nlm.nih.gov/entrez/viewer.fcgi?db=nucleotide&amp;val=623319","5E-040")</f>
        <v>5E-040</v>
      </c>
      <c r="DR340" s="26" t="str">
        <f>HYPERLINK("http://www.ncbi.nlm.nih.gov/entrez/viewer.fcgi?db=nucleotide&amp;val=623319","gi|623319")</f>
        <v>gi|623319</v>
      </c>
      <c r="DS340" s="26">
        <v>163</v>
      </c>
      <c r="DT340" s="26">
        <v>368</v>
      </c>
      <c r="DU340" s="26">
        <v>418</v>
      </c>
      <c r="DV340" s="26">
        <v>86</v>
      </c>
      <c r="DW340" s="26">
        <v>88</v>
      </c>
      <c r="DX340" s="26">
        <v>26</v>
      </c>
      <c r="DY340" s="26">
        <v>1</v>
      </c>
      <c r="DZ340" s="26">
        <v>1</v>
      </c>
      <c r="EA340" s="26">
        <v>664</v>
      </c>
      <c r="EB340" s="26">
        <v>2</v>
      </c>
      <c r="EC340" s="26" t="s">
        <v>64</v>
      </c>
      <c r="ED340" s="26" t="str">
        <f>HYPERLINK(".\links\MIT-PLA\TI_asb-544-MIT-PLA.txt","Triatoma dimidiata mitochondrial DNA, complete genome")</f>
        <v>Triatoma dimidiata mitochondrial DNA, complete genome</v>
      </c>
      <c r="EE340" s="26" t="str">
        <f>HYPERLINK("http://www.ncbi.nlm.nih.gov/entrez/viewer.fcgi?db=nucleotide&amp;val=11139100","0.0")</f>
        <v>0.0</v>
      </c>
      <c r="EF340" s="26" t="str">
        <f>HYPERLINK("http://www.ncbi.nlm.nih.gov/entrez/viewer.fcgi?db=nucleotide&amp;val=11139100","gi|11139100")</f>
        <v>gi|11139100</v>
      </c>
      <c r="EG340" s="26">
        <v>900</v>
      </c>
      <c r="EH340" s="26">
        <v>1157</v>
      </c>
      <c r="EI340" s="26">
        <v>17019</v>
      </c>
      <c r="EJ340" s="26">
        <v>91</v>
      </c>
      <c r="EK340" s="26">
        <v>7</v>
      </c>
      <c r="EL340" s="26">
        <v>61</v>
      </c>
      <c r="EM340" s="26">
        <v>3</v>
      </c>
      <c r="EN340" s="26">
        <v>12746</v>
      </c>
      <c r="EO340" s="26">
        <v>104</v>
      </c>
      <c r="EP340" s="26">
        <v>3</v>
      </c>
      <c r="EQ340" s="26" t="s">
        <v>64</v>
      </c>
    </row>
    <row r="341" spans="1:147" s="26" customFormat="1">
      <c r="A341" s="26" t="str">
        <f>HYPERLINK(".\links\seq\TI_asb-545-seq.txt","TI_asb-545")</f>
        <v>TI_asb-545</v>
      </c>
      <c r="B341" s="26">
        <v>545</v>
      </c>
      <c r="C341" s="27" t="str">
        <f>HYPERLINK(".\links\tsa\TI_asb-545-tsa.txt","2")</f>
        <v>2</v>
      </c>
      <c r="D341" s="26">
        <v>2</v>
      </c>
      <c r="E341" s="26">
        <v>560</v>
      </c>
      <c r="F341" s="26">
        <v>506</v>
      </c>
      <c r="G341" s="26" t="str">
        <f>HYPERLINK(".\links\qual\TI_asb-545-qual.txt","64")</f>
        <v>64</v>
      </c>
      <c r="H341" s="26">
        <v>1</v>
      </c>
      <c r="I341" s="26">
        <v>1</v>
      </c>
      <c r="J341" s="26">
        <f t="shared" si="16"/>
        <v>0</v>
      </c>
      <c r="K341" s="26">
        <f t="shared" si="17"/>
        <v>0</v>
      </c>
      <c r="L341" s="26" t="s">
        <v>3868</v>
      </c>
      <c r="M341" s="26" t="s">
        <v>3869</v>
      </c>
      <c r="Q341" s="26">
        <v>560</v>
      </c>
      <c r="R341" s="26">
        <v>192</v>
      </c>
      <c r="S341" s="26" t="s">
        <v>3820</v>
      </c>
      <c r="T341" s="26">
        <v>2</v>
      </c>
      <c r="U341" s="26" t="str">
        <f>HYPERLINK(".\links\NR-LIGHT\TI_asb-545-NR-LIGHT.txt","unknown")</f>
        <v>unknown</v>
      </c>
      <c r="V341" s="26" t="str">
        <f>HYPERLINK("http://www.ncbi.nlm.nih.gov/sutils/blink.cgi?pid=148616181","0.43")</f>
        <v>0.43</v>
      </c>
      <c r="W341" s="26" t="str">
        <f>HYPERLINK(".\links\NR-LIGHT\TI_asb-545-NR-LIGHT.txt"," 4")</f>
        <v xml:space="preserve"> 4</v>
      </c>
      <c r="X341" s="26" t="str">
        <f>HYPERLINK("http://www.ncbi.nlm.nih.gov/protein/148616181","gi|148616181")</f>
        <v>gi|148616181</v>
      </c>
      <c r="Y341" s="26">
        <v>36.6</v>
      </c>
      <c r="Z341" s="26">
        <v>23</v>
      </c>
      <c r="AA341" s="26">
        <v>30</v>
      </c>
      <c r="AB341" s="26">
        <v>73</v>
      </c>
      <c r="AC341" s="26">
        <v>77</v>
      </c>
      <c r="AD341" s="26">
        <v>6</v>
      </c>
      <c r="AE341" s="26">
        <v>0</v>
      </c>
      <c r="AF341" s="26">
        <v>8</v>
      </c>
      <c r="AG341" s="26">
        <v>365</v>
      </c>
      <c r="AH341" s="26">
        <v>1</v>
      </c>
      <c r="AI341" s="26">
        <v>2</v>
      </c>
      <c r="AJ341" s="26" t="s">
        <v>53</v>
      </c>
      <c r="AK341" s="26" t="s">
        <v>54</v>
      </c>
      <c r="AL341" s="26" t="s">
        <v>3208</v>
      </c>
      <c r="AM341" s="26" t="s">
        <v>56</v>
      </c>
      <c r="AN341" s="29" t="s">
        <v>56</v>
      </c>
      <c r="AO341" s="26" t="s">
        <v>56</v>
      </c>
      <c r="AP341" s="26" t="s">
        <v>56</v>
      </c>
      <c r="AQ341" s="26" t="s">
        <v>56</v>
      </c>
      <c r="AR341" s="26" t="s">
        <v>56</v>
      </c>
      <c r="AS341" s="26" t="s">
        <v>56</v>
      </c>
      <c r="AT341" s="26" t="s">
        <v>56</v>
      </c>
      <c r="AU341" s="26" t="s">
        <v>56</v>
      </c>
      <c r="AV341" s="26" t="s">
        <v>56</v>
      </c>
      <c r="AW341" s="26" t="s">
        <v>56</v>
      </c>
      <c r="AX341" s="26" t="s">
        <v>56</v>
      </c>
      <c r="AY341" s="26" t="s">
        <v>56</v>
      </c>
      <c r="AZ341" s="26" t="s">
        <v>56</v>
      </c>
      <c r="BA341" s="26" t="s">
        <v>56</v>
      </c>
      <c r="BB341" s="26" t="s">
        <v>56</v>
      </c>
      <c r="BC341" s="26" t="s">
        <v>56</v>
      </c>
      <c r="BD341" s="26" t="s">
        <v>56</v>
      </c>
      <c r="BE341" s="26" t="s">
        <v>56</v>
      </c>
      <c r="BF341" s="26" t="s">
        <v>56</v>
      </c>
      <c r="BG341" s="26" t="str">
        <f>HYPERLINK(".\links\PREV-RHOD-PEP\TI_asb-545-PREV-RHOD-PEP.txt","Contig17907_12")</f>
        <v>Contig17907_12</v>
      </c>
      <c r="BH341" s="26">
        <v>1.9</v>
      </c>
      <c r="BI341" s="26" t="str">
        <f>HYPERLINK(".\links\PREV-RHOD-PEP\TI_asb-545-PREV-RHOD-PEP.txt"," 2")</f>
        <v xml:space="preserve"> 2</v>
      </c>
      <c r="BJ341" s="26" t="s">
        <v>3210</v>
      </c>
      <c r="BK341" s="26">
        <v>28.5</v>
      </c>
      <c r="BL341" s="26">
        <v>60</v>
      </c>
      <c r="BM341" s="26">
        <v>2941</v>
      </c>
      <c r="BN341" s="26">
        <v>33</v>
      </c>
      <c r="BO341" s="26">
        <v>2</v>
      </c>
      <c r="BP341" s="26">
        <v>40</v>
      </c>
      <c r="BQ341" s="26">
        <v>4</v>
      </c>
      <c r="BR341" s="26">
        <v>2742</v>
      </c>
      <c r="BS341" s="26">
        <v>297</v>
      </c>
      <c r="BT341" s="26">
        <v>1</v>
      </c>
      <c r="BU341" s="26" t="s">
        <v>64</v>
      </c>
      <c r="BV341" s="26" t="s">
        <v>3211</v>
      </c>
      <c r="BW341" s="26" t="s">
        <v>56</v>
      </c>
      <c r="BX341" s="26" t="str">
        <f>HYPERLINK(".\links\PREV-RHOD-CDS\TI_asb-545-PREV-RHOD-CDS.txt","Contig17925_64")</f>
        <v>Contig17925_64</v>
      </c>
      <c r="BY341" s="26">
        <v>0.28000000000000003</v>
      </c>
      <c r="BZ341" s="26" t="s">
        <v>3212</v>
      </c>
      <c r="CA341" s="26">
        <v>36.200000000000003</v>
      </c>
      <c r="CB341" s="26">
        <v>17</v>
      </c>
      <c r="CC341" s="26">
        <v>2040</v>
      </c>
      <c r="CD341" s="26">
        <v>100</v>
      </c>
      <c r="CE341" s="26">
        <v>1</v>
      </c>
      <c r="CF341" s="26">
        <v>0</v>
      </c>
      <c r="CG341" s="26">
        <v>0</v>
      </c>
      <c r="CH341" s="26">
        <v>489</v>
      </c>
      <c r="CI341" s="26">
        <v>431</v>
      </c>
      <c r="CJ341" s="26">
        <v>1</v>
      </c>
      <c r="CK341" s="26" t="s">
        <v>64</v>
      </c>
      <c r="CL341" s="26" t="s">
        <v>3213</v>
      </c>
      <c r="CM341" s="26">
        <f>HYPERLINK(".\links\GO\TI_asb-545-GO.txt",3.7)</f>
        <v>3.7</v>
      </c>
      <c r="CN341" s="26" t="s">
        <v>208</v>
      </c>
      <c r="CO341" s="26" t="s">
        <v>185</v>
      </c>
      <c r="CP341" s="26" t="s">
        <v>186</v>
      </c>
      <c r="CQ341" s="26" t="s">
        <v>209</v>
      </c>
      <c r="CR341" s="26">
        <v>8.3000000000000007</v>
      </c>
      <c r="CS341" s="26" t="s">
        <v>3214</v>
      </c>
      <c r="CT341" s="26" t="s">
        <v>247</v>
      </c>
      <c r="CU341" s="26" t="s">
        <v>247</v>
      </c>
      <c r="CV341" s="26" t="s">
        <v>3215</v>
      </c>
      <c r="CW341" s="26">
        <v>8.3000000000000007</v>
      </c>
      <c r="CX341" s="26" t="s">
        <v>3216</v>
      </c>
      <c r="CY341" s="26" t="s">
        <v>185</v>
      </c>
      <c r="CZ341" s="26" t="s">
        <v>186</v>
      </c>
      <c r="DA341" s="26" t="s">
        <v>3217</v>
      </c>
      <c r="DB341" s="26">
        <v>8.3000000000000007</v>
      </c>
      <c r="DC341" s="26" t="str">
        <f>HYPERLINK(".\links\CDD\TI_asb-545-CDD.txt","Sre")</f>
        <v>Sre</v>
      </c>
      <c r="DD341" s="26" t="str">
        <f>HYPERLINK("http://www.ncbi.nlm.nih.gov/Structure/cdd/cddsrv.cgi?uid=pfam03125&amp;version=v4.0","0.019")</f>
        <v>0.019</v>
      </c>
      <c r="DE341" s="26" t="s">
        <v>3218</v>
      </c>
      <c r="DF341" s="26" t="str">
        <f>HYPERLINK(".\links\PFAM\TI_asb-545-PFAM.txt","7TM_GPCR_Srh")</f>
        <v>7TM_GPCR_Srh</v>
      </c>
      <c r="DG341" s="26" t="str">
        <f>HYPERLINK("http://pfam.sanger.ac.uk/family?acc=PF10318","3E-004")</f>
        <v>3E-004</v>
      </c>
      <c r="DH341" s="26" t="str">
        <f>HYPERLINK(".\links\PRK\TI_asb-545-PRK.txt","NADH dehydrogenase subunit 6")</f>
        <v>NADH dehydrogenase subunit 6</v>
      </c>
      <c r="DI341" s="28">
        <v>1E-4</v>
      </c>
      <c r="DJ341" s="26" t="str">
        <f>HYPERLINK(".\links\KOG\TI_asb-545-KOG.txt","CBF1-interacting corepressor CIR and related proteins")</f>
        <v>CBF1-interacting corepressor CIR and related proteins</v>
      </c>
      <c r="DK341" s="26" t="str">
        <f>HYPERLINK("http://www.ncbi.nlm.nih.gov/COG/grace/shokog.cgi?KOG3794","0.010")</f>
        <v>0.010</v>
      </c>
      <c r="DL341" s="26" t="s">
        <v>4343</v>
      </c>
      <c r="DM341" s="26" t="str">
        <f>HYPERLINK(".\links\KOG\TI_asb-545-KOG.txt","KOG3794")</f>
        <v>KOG3794</v>
      </c>
      <c r="DN341" s="26" t="str">
        <f>HYPERLINK(".\links\SMART\TI_asb-545-SMART.txt","AgrB")</f>
        <v>AgrB</v>
      </c>
      <c r="DO341" s="26" t="str">
        <f>HYPERLINK("http://smart.embl-heidelberg.de/smart/do_annotation.pl?DOMAIN=AgrB&amp;BLAST=DUMMY","0.019")</f>
        <v>0.019</v>
      </c>
      <c r="DP341" s="26" t="str">
        <f>HYPERLINK(".\links\RRNA\TI_asb-545-RRNA.txt","Tenebrio molitor mitochondrial partial 16S rRNA gene, isolate Tmo1")</f>
        <v>Tenebrio molitor mitochondrial partial 16S rRNA gene, isolate Tmo1</v>
      </c>
      <c r="DQ341" s="26" t="str">
        <f>HYPERLINK("http://www.ncbi.nlm.nih.gov/entrez/viewer.fcgi?db=nucleotide&amp;val=56409804","6E-025")</f>
        <v>6E-025</v>
      </c>
      <c r="DR341" s="26" t="str">
        <f>HYPERLINK("http://www.ncbi.nlm.nih.gov/entrez/viewer.fcgi?db=nucleotide&amp;val=56409804","gi|56409804")</f>
        <v>gi|56409804</v>
      </c>
      <c r="DS341" s="26">
        <v>111</v>
      </c>
      <c r="DT341" s="26">
        <v>171</v>
      </c>
      <c r="DU341" s="26">
        <v>550</v>
      </c>
      <c r="DV341" s="26">
        <v>83</v>
      </c>
      <c r="DW341" s="26">
        <v>31</v>
      </c>
      <c r="DX341" s="26">
        <v>29</v>
      </c>
      <c r="DY341" s="26">
        <v>0</v>
      </c>
      <c r="DZ341" s="26">
        <v>379</v>
      </c>
      <c r="EA341" s="26">
        <v>238</v>
      </c>
      <c r="EB341" s="26">
        <v>1</v>
      </c>
      <c r="EC341" s="26" t="s">
        <v>54</v>
      </c>
      <c r="ED341" s="26" t="str">
        <f>HYPERLINK(".\links\MIT-PLA\TI_asb-545-MIT-PLA.txt","Triatoma dimidiata mitochondrial DNA, complete genome")</f>
        <v>Triatoma dimidiata mitochondrial DNA, complete genome</v>
      </c>
      <c r="EE341" s="26" t="str">
        <f>HYPERLINK("http://www.ncbi.nlm.nih.gov/entrez/viewer.fcgi?db=nucleotide&amp;val=11139100","1E-132")</f>
        <v>1E-132</v>
      </c>
      <c r="EF341" s="26" t="str">
        <f>HYPERLINK("http://www.ncbi.nlm.nih.gov/entrez/viewer.fcgi?db=nucleotide&amp;val=11139100","gi|11139100")</f>
        <v>gi|11139100</v>
      </c>
      <c r="EG341" s="26">
        <v>470</v>
      </c>
      <c r="EH341" s="26">
        <v>416</v>
      </c>
      <c r="EI341" s="26">
        <v>17019</v>
      </c>
      <c r="EJ341" s="26">
        <v>89</v>
      </c>
      <c r="EK341" s="26">
        <v>2</v>
      </c>
      <c r="EL341" s="26">
        <v>42</v>
      </c>
      <c r="EM341" s="26">
        <v>3</v>
      </c>
      <c r="EN341" s="26">
        <v>12746</v>
      </c>
      <c r="EO341" s="26">
        <v>92</v>
      </c>
      <c r="EP341" s="26">
        <v>1</v>
      </c>
      <c r="EQ341" s="26" t="s">
        <v>64</v>
      </c>
    </row>
    <row r="342" spans="1:147">
      <c r="A342" t="str">
        <f>HYPERLINK(".\links\seq\TI_asb-547-seq.txt","TI_asb-547")</f>
        <v>TI_asb-547</v>
      </c>
      <c r="B342">
        <v>547</v>
      </c>
      <c r="C342" t="str">
        <f>HYPERLINK(".\links\tsa\TI_asb-547-tsa.txt","1")</f>
        <v>1</v>
      </c>
      <c r="D342">
        <v>1</v>
      </c>
      <c r="E342">
        <v>486</v>
      </c>
      <c r="G342" t="str">
        <f>HYPERLINK(".\links\qual\TI_asb-547-qual.txt","36")</f>
        <v>36</v>
      </c>
      <c r="H342">
        <v>0</v>
      </c>
      <c r="I342">
        <v>1</v>
      </c>
      <c r="J342">
        <f t="shared" si="16"/>
        <v>1</v>
      </c>
      <c r="K342" s="6">
        <f t="shared" si="17"/>
        <v>-1</v>
      </c>
      <c r="L342" s="6" t="s">
        <v>3927</v>
      </c>
      <c r="M342" s="6" t="s">
        <v>3904</v>
      </c>
      <c r="N342" s="6" t="s">
        <v>3872</v>
      </c>
      <c r="O342" s="7">
        <v>9E-60</v>
      </c>
      <c r="P342" s="6">
        <v>37.1</v>
      </c>
      <c r="Q342" s="3">
        <v>486</v>
      </c>
      <c r="R342" s="3">
        <v>468</v>
      </c>
      <c r="S342" s="6" t="s">
        <v>3821</v>
      </c>
      <c r="T342" s="3">
        <v>3</v>
      </c>
      <c r="U342" t="str">
        <f>HYPERLINK(".\links\NR-LIGHT\TI_asb-547-NR-LIGHT.txt","arginine kinase")</f>
        <v>arginine kinase</v>
      </c>
      <c r="V342" t="str">
        <f>HYPERLINK("http://www.ncbi.nlm.nih.gov/sutils/blink.cgi?pid=116235665","3E-073")</f>
        <v>3E-073</v>
      </c>
      <c r="W342" t="str">
        <f>HYPERLINK(".\links\NR-LIGHT\TI_asb-547-NR-LIGHT.txt"," 10")</f>
        <v xml:space="preserve"> 10</v>
      </c>
      <c r="X342" t="str">
        <f>HYPERLINK("http://www.ncbi.nlm.nih.gov/protein/116235665","gi|116235665")</f>
        <v>gi|116235665</v>
      </c>
      <c r="Y342">
        <v>267</v>
      </c>
      <c r="Z342">
        <v>135</v>
      </c>
      <c r="AA342">
        <v>356</v>
      </c>
      <c r="AB342">
        <v>93</v>
      </c>
      <c r="AC342">
        <v>38</v>
      </c>
      <c r="AD342">
        <v>9</v>
      </c>
      <c r="AE342">
        <v>2</v>
      </c>
      <c r="AF342">
        <v>61</v>
      </c>
      <c r="AG342">
        <v>10</v>
      </c>
      <c r="AH342">
        <v>2</v>
      </c>
      <c r="AI342">
        <v>3</v>
      </c>
      <c r="AJ342" t="s">
        <v>65</v>
      </c>
      <c r="AK342" t="s">
        <v>54</v>
      </c>
      <c r="AL342" t="s">
        <v>726</v>
      </c>
      <c r="AM342" t="str">
        <f>HYPERLINK(".\links\SWISSP\TI_asb-547-SWISSP.txt","Arginine kinase OS=Apis mellifera GN=ARGK PE=2 SV=1")</f>
        <v>Arginine kinase OS=Apis mellifera GN=ARGK PE=2 SV=1</v>
      </c>
      <c r="AN342" s="19" t="str">
        <f>HYPERLINK("http://www.uniprot.org/uniprot/O61367","4E-067")</f>
        <v>4E-067</v>
      </c>
      <c r="AO342" t="str">
        <f>HYPERLINK(".\links\SWISSP\TI_asb-547-SWISSP.txt"," 10")</f>
        <v xml:space="preserve"> 10</v>
      </c>
      <c r="AP342" t="s">
        <v>3219</v>
      </c>
      <c r="AQ342">
        <v>249</v>
      </c>
      <c r="AR342">
        <v>135</v>
      </c>
      <c r="AS342">
        <v>355</v>
      </c>
      <c r="AT342">
        <v>85</v>
      </c>
      <c r="AU342">
        <v>38</v>
      </c>
      <c r="AV342">
        <v>19</v>
      </c>
      <c r="AW342">
        <v>2</v>
      </c>
      <c r="AX342">
        <v>61</v>
      </c>
      <c r="AY342">
        <v>13</v>
      </c>
      <c r="AZ342">
        <v>3</v>
      </c>
      <c r="BA342">
        <v>3</v>
      </c>
      <c r="BB342" t="s">
        <v>65</v>
      </c>
      <c r="BC342" t="s">
        <v>54</v>
      </c>
      <c r="BD342" t="s">
        <v>344</v>
      </c>
      <c r="BE342" t="s">
        <v>3220</v>
      </c>
      <c r="BF342" t="s">
        <v>3221</v>
      </c>
      <c r="BG342" t="str">
        <f>HYPERLINK(".\links\PREV-RHOD-PEP\TI_asb-547-PREV-RHOD-PEP.txt","Contig17952_82")</f>
        <v>Contig17952_82</v>
      </c>
      <c r="BH342" s="7">
        <v>3.9999999999999996E-21</v>
      </c>
      <c r="BI342" t="str">
        <f>HYPERLINK(".\links\PREV-RHOD-PEP\TI_asb-547-PREV-RHOD-PEP.txt"," 10")</f>
        <v xml:space="preserve"> 10</v>
      </c>
      <c r="BJ342" t="s">
        <v>3222</v>
      </c>
      <c r="BK342">
        <v>96.7</v>
      </c>
      <c r="BL342">
        <v>103</v>
      </c>
      <c r="BM342">
        <v>220</v>
      </c>
      <c r="BN342">
        <v>60</v>
      </c>
      <c r="BO342">
        <v>47</v>
      </c>
      <c r="BP342">
        <v>41</v>
      </c>
      <c r="BQ342">
        <v>0</v>
      </c>
      <c r="BR342">
        <v>20</v>
      </c>
      <c r="BS342">
        <v>178</v>
      </c>
      <c r="BT342">
        <v>1</v>
      </c>
      <c r="BU342" t="s">
        <v>54</v>
      </c>
      <c r="BV342" t="s">
        <v>3223</v>
      </c>
      <c r="BW342" t="s">
        <v>56</v>
      </c>
      <c r="BX342" t="str">
        <f>HYPERLINK(".\links\PREV-RHOD-CDS\TI_asb-547-PREV-RHOD-CDS.txt","Contig17952_82")</f>
        <v>Contig17952_82</v>
      </c>
      <c r="BY342" s="7">
        <v>1.9999999999999999E-94</v>
      </c>
      <c r="BZ342" t="s">
        <v>3222</v>
      </c>
      <c r="CA342">
        <v>345</v>
      </c>
      <c r="CB342">
        <v>309</v>
      </c>
      <c r="CC342">
        <v>681</v>
      </c>
      <c r="CD342">
        <v>89</v>
      </c>
      <c r="CE342">
        <v>46</v>
      </c>
      <c r="CF342">
        <v>34</v>
      </c>
      <c r="CG342">
        <v>0</v>
      </c>
      <c r="CH342">
        <v>57</v>
      </c>
      <c r="CI342">
        <v>177</v>
      </c>
      <c r="CJ342">
        <v>1</v>
      </c>
      <c r="CK342" t="s">
        <v>54</v>
      </c>
      <c r="CL342" t="s">
        <v>729</v>
      </c>
      <c r="CM342">
        <f>HYPERLINK(".\links\GO\TI_asb-547-GO.txt",2E-60)</f>
        <v>1.9999999999999999E-60</v>
      </c>
      <c r="CN342" t="s">
        <v>3224</v>
      </c>
      <c r="CO342" t="s">
        <v>129</v>
      </c>
      <c r="CP342" t="s">
        <v>151</v>
      </c>
      <c r="CQ342" t="s">
        <v>3225</v>
      </c>
      <c r="CR342" s="7">
        <v>8.9999999999999998E-26</v>
      </c>
      <c r="CS342" t="s">
        <v>1055</v>
      </c>
      <c r="CT342" t="s">
        <v>75</v>
      </c>
      <c r="CU342" t="s">
        <v>76</v>
      </c>
      <c r="CV342" t="s">
        <v>1056</v>
      </c>
      <c r="CW342" s="7">
        <v>8.9999999999999998E-26</v>
      </c>
      <c r="CX342" t="s">
        <v>3226</v>
      </c>
      <c r="CY342" t="s">
        <v>129</v>
      </c>
      <c r="CZ342" t="s">
        <v>151</v>
      </c>
      <c r="DA342" t="s">
        <v>3227</v>
      </c>
      <c r="DB342" s="7">
        <v>8.9999999999999998E-26</v>
      </c>
      <c r="DC342" t="str">
        <f>HYPERLINK(".\links\CDD\TI_asb-547-CDD.txt","ATP-gua_Ptrans")</f>
        <v>ATP-gua_Ptrans</v>
      </c>
      <c r="DD342" t="str">
        <f>HYPERLINK("http://www.ncbi.nlm.nih.gov/Structure/cdd/cddsrv.cgi?uid=pfam00217&amp;version=v4.0","4E-046")</f>
        <v>4E-046</v>
      </c>
      <c r="DE342" t="s">
        <v>3228</v>
      </c>
      <c r="DF342" t="str">
        <f>HYPERLINK(".\links\PFAM\TI_asb-547-PFAM.txt","ATP-gua_Ptrans")</f>
        <v>ATP-gua_Ptrans</v>
      </c>
      <c r="DG342" t="str">
        <f>HYPERLINK("http://pfam.sanger.ac.uk/family?acc=PF00217","7E-047")</f>
        <v>7E-047</v>
      </c>
      <c r="DH342" t="str">
        <f>HYPERLINK(".\links\PRK\TI_asb-547-PRK.txt","ATP:guanido phosphotransferase")</f>
        <v>ATP:guanido phosphotransferase</v>
      </c>
      <c r="DI342" s="7">
        <v>4.0000000000000001E-8</v>
      </c>
      <c r="DJ342" s="6" t="str">
        <f>HYPERLINK(".\links\KOG\TI_asb-547-KOG.txt","Creatine kinases")</f>
        <v>Creatine kinases</v>
      </c>
      <c r="DK342" s="6" t="str">
        <f>HYPERLINK("http://www.ncbi.nlm.nih.gov/COG/grace/shokog.cgi?KOG3581","9E-060")</f>
        <v>9E-060</v>
      </c>
      <c r="DL342" s="6" t="s">
        <v>4349</v>
      </c>
      <c r="DM342" s="6" t="str">
        <f>HYPERLINK(".\links\KOG\TI_asb-547-KOG.txt","KOG3581")</f>
        <v>KOG3581</v>
      </c>
      <c r="DN342" t="s">
        <v>56</v>
      </c>
      <c r="DO342" t="s">
        <v>56</v>
      </c>
      <c r="DP342" s="3" t="s">
        <v>56</v>
      </c>
      <c r="ED342" s="3" t="s">
        <v>56</v>
      </c>
    </row>
    <row r="343" spans="1:147">
      <c r="A343" t="str">
        <f>HYPERLINK(".\links\seq\TI_asb-548-seq.txt","TI_asb-548")</f>
        <v>TI_asb-548</v>
      </c>
      <c r="B343">
        <v>548</v>
      </c>
      <c r="C343" t="str">
        <f>HYPERLINK(".\links\tsa\TI_asb-548-tsa.txt","6")</f>
        <v>6</v>
      </c>
      <c r="D343">
        <v>6</v>
      </c>
      <c r="E343">
        <v>1016</v>
      </c>
      <c r="G343" t="str">
        <f>HYPERLINK(".\links\qual\TI_asb-548-qual.txt","77")</f>
        <v>77</v>
      </c>
      <c r="H343">
        <v>1</v>
      </c>
      <c r="I343">
        <v>5</v>
      </c>
      <c r="J343">
        <f t="shared" si="16"/>
        <v>4</v>
      </c>
      <c r="K343" s="6">
        <f t="shared" si="17"/>
        <v>-4</v>
      </c>
      <c r="L343" s="6" t="s">
        <v>3927</v>
      </c>
      <c r="M343" s="6" t="s">
        <v>3904</v>
      </c>
      <c r="N343" s="6" t="s">
        <v>3872</v>
      </c>
      <c r="O343" s="6">
        <v>0</v>
      </c>
      <c r="P343" s="6">
        <v>85</v>
      </c>
      <c r="Q343" s="3">
        <v>1016</v>
      </c>
      <c r="R343" s="3">
        <v>954</v>
      </c>
      <c r="S343" s="4" t="s">
        <v>3822</v>
      </c>
      <c r="T343" s="3">
        <v>1</v>
      </c>
      <c r="U343" t="str">
        <f>HYPERLINK(".\links\NR-LIGHT\TI_asb-548-NR-LIGHT.txt","arginine kinase")</f>
        <v>arginine kinase</v>
      </c>
      <c r="V343" t="str">
        <f>HYPERLINK("http://www.ncbi.nlm.nih.gov/sutils/blink.cgi?pid=116235665","1E-180")</f>
        <v>1E-180</v>
      </c>
      <c r="W343" t="str">
        <f>HYPERLINK(".\links\NR-LIGHT\TI_asb-548-NR-LIGHT.txt"," 10")</f>
        <v xml:space="preserve"> 10</v>
      </c>
      <c r="X343" t="str">
        <f>HYPERLINK("http://www.ncbi.nlm.nih.gov/protein/116235665","gi|116235665")</f>
        <v>gi|116235665</v>
      </c>
      <c r="Y343">
        <v>634</v>
      </c>
      <c r="Z343">
        <v>315</v>
      </c>
      <c r="AA343">
        <v>356</v>
      </c>
      <c r="AB343">
        <v>97</v>
      </c>
      <c r="AC343">
        <v>88</v>
      </c>
      <c r="AD343">
        <v>7</v>
      </c>
      <c r="AE343">
        <v>0</v>
      </c>
      <c r="AF343">
        <v>1</v>
      </c>
      <c r="AG343">
        <v>70</v>
      </c>
      <c r="AH343">
        <v>1</v>
      </c>
      <c r="AI343">
        <v>1</v>
      </c>
      <c r="AJ343" t="s">
        <v>53</v>
      </c>
      <c r="AK343" t="s">
        <v>54</v>
      </c>
      <c r="AL343" t="s">
        <v>726</v>
      </c>
      <c r="AM343" t="str">
        <f>HYPERLINK(".\links\SWISSP\TI_asb-548-SWISSP.txt","Arginine kinase OS=Schistocerca americana GN=ARGK PE=2 SV=1")</f>
        <v>Arginine kinase OS=Schistocerca americana GN=ARGK PE=2 SV=1</v>
      </c>
      <c r="AN343" s="19" t="str">
        <f>HYPERLINK("http://www.uniprot.org/uniprot/P91798","1E-163")</f>
        <v>1E-163</v>
      </c>
      <c r="AO343" t="str">
        <f>HYPERLINK(".\links\SWISSP\TI_asb-548-SWISSP.txt"," 10")</f>
        <v xml:space="preserve"> 10</v>
      </c>
      <c r="AP343" t="s">
        <v>727</v>
      </c>
      <c r="AQ343">
        <v>574</v>
      </c>
      <c r="AR343">
        <v>315</v>
      </c>
      <c r="AS343">
        <v>356</v>
      </c>
      <c r="AT343">
        <v>86</v>
      </c>
      <c r="AU343">
        <v>88</v>
      </c>
      <c r="AV343">
        <v>43</v>
      </c>
      <c r="AW343">
        <v>0</v>
      </c>
      <c r="AX343">
        <v>1</v>
      </c>
      <c r="AY343">
        <v>70</v>
      </c>
      <c r="AZ343">
        <v>1</v>
      </c>
      <c r="BA343">
        <v>1</v>
      </c>
      <c r="BB343" t="s">
        <v>53</v>
      </c>
      <c r="BC343" t="s">
        <v>54</v>
      </c>
      <c r="BD343" t="s">
        <v>510</v>
      </c>
      <c r="BE343" t="s">
        <v>3229</v>
      </c>
      <c r="BF343" t="s">
        <v>3230</v>
      </c>
      <c r="BG343" t="str">
        <f>HYPERLINK(".\links\PREV-RHOD-PEP\TI_asb-548-PREV-RHOD-PEP.txt","Contig17952_84")</f>
        <v>Contig17952_84</v>
      </c>
      <c r="BH343" s="7">
        <v>7.0000000000000003E-62</v>
      </c>
      <c r="BI343" t="str">
        <f>HYPERLINK(".\links\PREV-RHOD-PEP\TI_asb-548-PREV-RHOD-PEP.txt"," 10")</f>
        <v xml:space="preserve"> 10</v>
      </c>
      <c r="BJ343" t="s">
        <v>728</v>
      </c>
      <c r="BK343">
        <v>233</v>
      </c>
      <c r="BL343">
        <v>116</v>
      </c>
      <c r="BM343">
        <v>157</v>
      </c>
      <c r="BN343">
        <v>97</v>
      </c>
      <c r="BO343">
        <v>74</v>
      </c>
      <c r="BP343">
        <v>3</v>
      </c>
      <c r="BQ343">
        <v>0</v>
      </c>
      <c r="BR343">
        <v>1</v>
      </c>
      <c r="BS343">
        <v>70</v>
      </c>
      <c r="BT343">
        <v>1</v>
      </c>
      <c r="BU343" t="s">
        <v>54</v>
      </c>
      <c r="BV343" t="s">
        <v>3231</v>
      </c>
      <c r="BW343" t="s">
        <v>56</v>
      </c>
      <c r="BX343" t="str">
        <f>HYPERLINK(".\links\PREV-RHOD-CDS\TI_asb-548-PREV-RHOD-CDS.txt","Contig17952_82")</f>
        <v>Contig17952_82</v>
      </c>
      <c r="BY343" s="6">
        <v>0</v>
      </c>
      <c r="BZ343" t="s">
        <v>3222</v>
      </c>
      <c r="CA343">
        <v>682</v>
      </c>
      <c r="CB343">
        <v>571</v>
      </c>
      <c r="CC343">
        <v>681</v>
      </c>
      <c r="CD343">
        <v>90</v>
      </c>
      <c r="CE343">
        <v>84</v>
      </c>
      <c r="CF343">
        <v>57</v>
      </c>
      <c r="CG343">
        <v>0</v>
      </c>
      <c r="CH343">
        <v>57</v>
      </c>
      <c r="CI343">
        <v>418</v>
      </c>
      <c r="CJ343">
        <v>1</v>
      </c>
      <c r="CK343" t="s">
        <v>54</v>
      </c>
      <c r="CL343" t="s">
        <v>729</v>
      </c>
      <c r="CM343">
        <f>HYPERLINK(".\links\GO\TI_asb-548-GO.txt",0)</f>
        <v>0</v>
      </c>
      <c r="CN343" t="s">
        <v>3224</v>
      </c>
      <c r="CO343" t="s">
        <v>129</v>
      </c>
      <c r="CP343" t="s">
        <v>151</v>
      </c>
      <c r="CQ343" t="s">
        <v>3225</v>
      </c>
      <c r="CR343" s="7">
        <v>2E-66</v>
      </c>
      <c r="CS343" t="s">
        <v>1055</v>
      </c>
      <c r="CT343" t="s">
        <v>75</v>
      </c>
      <c r="CU343" t="s">
        <v>76</v>
      </c>
      <c r="CV343" t="s">
        <v>1056</v>
      </c>
      <c r="CW343" s="7">
        <v>2E-66</v>
      </c>
      <c r="CX343" t="s">
        <v>3226</v>
      </c>
      <c r="CY343" t="s">
        <v>129</v>
      </c>
      <c r="CZ343" t="s">
        <v>151</v>
      </c>
      <c r="DA343" t="s">
        <v>3227</v>
      </c>
      <c r="DB343" s="7">
        <v>2E-66</v>
      </c>
      <c r="DC343" t="str">
        <f>HYPERLINK(".\links\CDD\TI_asb-548-CDD.txt","ATP-gua_Ptrans")</f>
        <v>ATP-gua_Ptrans</v>
      </c>
      <c r="DD343" t="str">
        <f>HYPERLINK("http://www.ncbi.nlm.nih.gov/Structure/cdd/cddsrv.cgi?uid=pfam00217&amp;version=v4.0","1E-091")</f>
        <v>1E-091</v>
      </c>
      <c r="DE343" t="s">
        <v>3232</v>
      </c>
      <c r="DF343" t="str">
        <f>HYPERLINK(".\links\PFAM\TI_asb-548-PFAM.txt","ATP-gua_Ptrans")</f>
        <v>ATP-gua_Ptrans</v>
      </c>
      <c r="DG343" t="str">
        <f>HYPERLINK("http://pfam.sanger.ac.uk/family?acc=PF00217","3E-098")</f>
        <v>3E-098</v>
      </c>
      <c r="DH343" t="str">
        <f>HYPERLINK(".\links\PRK\TI_asb-548-PRK.txt","ATP:guanido phosphotransferase")</f>
        <v>ATP:guanido phosphotransferase</v>
      </c>
      <c r="DI343" s="7">
        <v>2.9999999999999999E-30</v>
      </c>
      <c r="DJ343" s="6" t="str">
        <f>HYPERLINK(".\links\KOG\TI_asb-548-KOG.txt","Creatine kinases")</f>
        <v>Creatine kinases</v>
      </c>
      <c r="DK343" s="6" t="str">
        <f>HYPERLINK("http://www.ncbi.nlm.nih.gov/COG/grace/shokog.cgi?KOG3581","1E-145")</f>
        <v>1E-145</v>
      </c>
      <c r="DL343" s="6" t="s">
        <v>4349</v>
      </c>
      <c r="DM343" s="6" t="str">
        <f>HYPERLINK(".\links\KOG\TI_asb-548-KOG.txt","KOG3581")</f>
        <v>KOG3581</v>
      </c>
      <c r="DN343" t="str">
        <f>HYPERLINK(".\links\SMART\TI_asb-548-SMART.txt","SET")</f>
        <v>SET</v>
      </c>
      <c r="DO343" t="str">
        <f>HYPERLINK("http://smart.embl-heidelberg.de/smart/do_annotation.pl?DOMAIN=SET&amp;BLAST=DUMMY","0.019")</f>
        <v>0.019</v>
      </c>
      <c r="DP343" s="3" t="s">
        <v>56</v>
      </c>
      <c r="ED343" s="3" t="s">
        <v>56</v>
      </c>
    </row>
    <row r="344" spans="1:147" s="26" customFormat="1">
      <c r="A344" s="26" t="str">
        <f>HYPERLINK(".\links\seq\TI_asb-549-seq.txt","TI_asb-549")</f>
        <v>TI_asb-549</v>
      </c>
      <c r="B344" s="26">
        <v>549</v>
      </c>
      <c r="C344" s="27" t="str">
        <f>HYPERLINK(".\links\tsa\TI_asb-549-tsa.txt","3")</f>
        <v>3</v>
      </c>
      <c r="D344" s="26">
        <v>3</v>
      </c>
      <c r="E344" s="26">
        <v>875</v>
      </c>
      <c r="F344" s="26">
        <v>842</v>
      </c>
      <c r="G344" s="26" t="str">
        <f>HYPERLINK(".\links\qual\TI_asb-549-qual.txt","76")</f>
        <v>76</v>
      </c>
      <c r="H344" s="26">
        <v>1</v>
      </c>
      <c r="I344" s="26">
        <v>2</v>
      </c>
      <c r="J344" s="26">
        <f t="shared" si="16"/>
        <v>1</v>
      </c>
      <c r="K344" s="26">
        <f t="shared" si="17"/>
        <v>-1</v>
      </c>
      <c r="L344" s="26" t="s">
        <v>3868</v>
      </c>
      <c r="M344" s="26" t="s">
        <v>3869</v>
      </c>
      <c r="Q344" s="26">
        <v>875</v>
      </c>
      <c r="R344" s="26">
        <v>627</v>
      </c>
      <c r="S344" s="26" t="s">
        <v>3823</v>
      </c>
      <c r="T344" s="26">
        <v>1</v>
      </c>
      <c r="U344" s="26" t="str">
        <f>HYPERLINK(".\links\NR-LIGHT\TI_asb-549-NR-LIGHT.txt","conserved Plasmodium protein, unknown function")</f>
        <v>conserved Plasmodium protein, unknown function</v>
      </c>
      <c r="V344" s="26" t="str">
        <f>HYPERLINK("http://www.ncbi.nlm.nih.gov/sutils/blink.cgi?pid=124513158","4.0")</f>
        <v>4.0</v>
      </c>
      <c r="W344" s="26" t="str">
        <f>HYPERLINK(".\links\NR-LIGHT\TI_asb-549-NR-LIGHT.txt"," 6")</f>
        <v xml:space="preserve"> 6</v>
      </c>
      <c r="X344" s="26" t="str">
        <f>HYPERLINK("http://www.ncbi.nlm.nih.gov/protein/124513158","gi|124513158")</f>
        <v>gi|124513158</v>
      </c>
      <c r="Y344" s="26">
        <v>34.700000000000003</v>
      </c>
      <c r="Z344" s="26">
        <v>114</v>
      </c>
      <c r="AA344" s="26">
        <v>1486</v>
      </c>
      <c r="AB344" s="26">
        <v>26</v>
      </c>
      <c r="AC344" s="26">
        <v>8</v>
      </c>
      <c r="AD344" s="26">
        <v>84</v>
      </c>
      <c r="AE344" s="26">
        <v>7</v>
      </c>
      <c r="AF344" s="26">
        <v>376</v>
      </c>
      <c r="AG344" s="26">
        <v>481</v>
      </c>
      <c r="AH344" s="26">
        <v>1</v>
      </c>
      <c r="AI344" s="26">
        <v>1</v>
      </c>
      <c r="AJ344" s="26" t="s">
        <v>53</v>
      </c>
      <c r="AK344" s="26" t="s">
        <v>54</v>
      </c>
      <c r="AL344" s="26" t="s">
        <v>294</v>
      </c>
      <c r="AM344" s="26" t="str">
        <f>HYPERLINK(".\links\SWISSP\TI_asb-549-SWISSP.txt","Spermidine synthase OS=Streptococcus uberis (strain ATCC BAA-854 / 0140J)")</f>
        <v>Spermidine synthase OS=Streptococcus uberis (strain ATCC BAA-854 / 0140J)</v>
      </c>
      <c r="AN344" s="29" t="str">
        <f>HYPERLINK("http://www.uniprot.org/uniprot/B9DUY3","9.9")</f>
        <v>9.9</v>
      </c>
      <c r="AO344" s="26" t="str">
        <f>HYPERLINK(".\links\SWISSP\TI_asb-549-SWISSP.txt"," 1")</f>
        <v xml:space="preserve"> 1</v>
      </c>
      <c r="AP344" s="26" t="s">
        <v>3233</v>
      </c>
      <c r="AQ344" s="26">
        <v>31.2</v>
      </c>
      <c r="AR344" s="26">
        <v>61</v>
      </c>
      <c r="AS344" s="26">
        <v>285</v>
      </c>
      <c r="AT344" s="26">
        <v>27</v>
      </c>
      <c r="AU344" s="26">
        <v>21</v>
      </c>
      <c r="AV344" s="26">
        <v>44</v>
      </c>
      <c r="AW344" s="26">
        <v>4</v>
      </c>
      <c r="AX344" s="26">
        <v>116</v>
      </c>
      <c r="AY344" s="26">
        <v>610</v>
      </c>
      <c r="AZ344" s="26">
        <v>1</v>
      </c>
      <c r="BA344" s="26">
        <v>1</v>
      </c>
      <c r="BB344" s="26" t="s">
        <v>53</v>
      </c>
      <c r="BC344" s="26" t="s">
        <v>54</v>
      </c>
      <c r="BD344" s="26" t="s">
        <v>3234</v>
      </c>
      <c r="BE344" s="26" t="s">
        <v>3235</v>
      </c>
      <c r="BF344" s="26" t="s">
        <v>3236</v>
      </c>
      <c r="BG344" s="26" t="str">
        <f>HYPERLINK(".\links\PREV-RHOD-PEP\TI_asb-549-PREV-RHOD-PEP.txt","Contig17952_203")</f>
        <v>Contig17952_203</v>
      </c>
      <c r="BH344" s="26">
        <v>0.74</v>
      </c>
      <c r="BI344" s="26" t="str">
        <f>HYPERLINK(".\links\PREV-RHOD-PEP\TI_asb-549-PREV-RHOD-PEP.txt"," 10")</f>
        <v xml:space="preserve"> 10</v>
      </c>
      <c r="BJ344" s="26" t="s">
        <v>3237</v>
      </c>
      <c r="BK344" s="26">
        <v>30.8</v>
      </c>
      <c r="BL344" s="26">
        <v>39</v>
      </c>
      <c r="BM344" s="26">
        <v>358</v>
      </c>
      <c r="BN344" s="26">
        <v>35</v>
      </c>
      <c r="BO344" s="26">
        <v>11</v>
      </c>
      <c r="BP344" s="26">
        <v>25</v>
      </c>
      <c r="BQ344" s="26">
        <v>2</v>
      </c>
      <c r="BR344" s="26">
        <v>214</v>
      </c>
      <c r="BS344" s="26">
        <v>700</v>
      </c>
      <c r="BT344" s="26">
        <v>1</v>
      </c>
      <c r="BU344" s="26" t="s">
        <v>54</v>
      </c>
      <c r="BV344" s="26" t="s">
        <v>3238</v>
      </c>
      <c r="BW344" s="26" t="s">
        <v>56</v>
      </c>
      <c r="BX344" s="26" t="str">
        <f>HYPERLINK(".\links\PREV-RHOD-CDS\TI_asb-549-PREV-RHOD-CDS.txt","Contig18057_274")</f>
        <v>Contig18057_274</v>
      </c>
      <c r="BY344" s="26">
        <v>0.11</v>
      </c>
      <c r="BZ344" s="26" t="s">
        <v>3239</v>
      </c>
      <c r="CA344" s="26">
        <v>38.200000000000003</v>
      </c>
      <c r="CB344" s="26">
        <v>18</v>
      </c>
      <c r="CC344" s="26">
        <v>510</v>
      </c>
      <c r="CD344" s="26">
        <v>100</v>
      </c>
      <c r="CE344" s="26">
        <v>4</v>
      </c>
      <c r="CF344" s="26">
        <v>0</v>
      </c>
      <c r="CG344" s="26">
        <v>0</v>
      </c>
      <c r="CH344" s="26">
        <v>53</v>
      </c>
      <c r="CI344" s="26">
        <v>295</v>
      </c>
      <c r="CJ344" s="26">
        <v>1</v>
      </c>
      <c r="CK344" s="26" t="s">
        <v>64</v>
      </c>
      <c r="CL344" s="26" t="s">
        <v>56</v>
      </c>
      <c r="CM344" s="26" t="s">
        <v>56</v>
      </c>
      <c r="CN344" s="26" t="s">
        <v>56</v>
      </c>
      <c r="CO344" s="26" t="s">
        <v>56</v>
      </c>
      <c r="CP344" s="26" t="s">
        <v>56</v>
      </c>
      <c r="CQ344" s="26" t="s">
        <v>56</v>
      </c>
      <c r="CR344" s="26" t="s">
        <v>56</v>
      </c>
      <c r="CS344" s="26" t="s">
        <v>56</v>
      </c>
      <c r="CT344" s="26" t="s">
        <v>56</v>
      </c>
      <c r="CU344" s="26" t="s">
        <v>56</v>
      </c>
      <c r="CV344" s="26" t="s">
        <v>56</v>
      </c>
      <c r="CW344" s="26" t="s">
        <v>56</v>
      </c>
      <c r="CX344" s="26" t="s">
        <v>56</v>
      </c>
      <c r="CY344" s="26" t="s">
        <v>56</v>
      </c>
      <c r="CZ344" s="26" t="s">
        <v>56</v>
      </c>
      <c r="DA344" s="26" t="s">
        <v>56</v>
      </c>
      <c r="DB344" s="26" t="s">
        <v>56</v>
      </c>
      <c r="DC344" s="26" t="s">
        <v>56</v>
      </c>
      <c r="DD344" s="26" t="s">
        <v>56</v>
      </c>
      <c r="DE344" s="26" t="s">
        <v>56</v>
      </c>
      <c r="DF344" s="26" t="str">
        <f>HYPERLINK(".\links\PFAM\TI_asb-549-PFAM.txt","7TM_GPCR_Srz")</f>
        <v>7TM_GPCR_Srz</v>
      </c>
      <c r="DG344" s="26" t="str">
        <f>HYPERLINK("http://pfam.sanger.ac.uk/family?acc=PF10325","3E-004")</f>
        <v>3E-004</v>
      </c>
      <c r="DH344" s="26" t="str">
        <f>HYPERLINK(".\links\PRK\TI_asb-549-PRK.txt","NADH dehydrogenase subunit 6")</f>
        <v>NADH dehydrogenase subunit 6</v>
      </c>
      <c r="DI344" s="26">
        <v>5.0000000000000001E-3</v>
      </c>
      <c r="DJ344" s="26" t="str">
        <f>HYPERLINK(".\links\KOG\TI_asb-549-KOG.txt","Lipid exporter ABCA1 and related proteins, ABC superfamily")</f>
        <v>Lipid exporter ABCA1 and related proteins, ABC superfamily</v>
      </c>
      <c r="DK344" s="26" t="str">
        <f>HYPERLINK("http://www.ncbi.nlm.nih.gov/COG/grace/shokog.cgi?KOG0059","0.024")</f>
        <v>0.024</v>
      </c>
      <c r="DL344" s="26" t="s">
        <v>4336</v>
      </c>
      <c r="DM344" s="26" t="str">
        <f>HYPERLINK(".\links\KOG\TI_asb-549-KOG.txt","KOG0059")</f>
        <v>KOG0059</v>
      </c>
      <c r="DN344" s="26" t="s">
        <v>56</v>
      </c>
      <c r="DO344" s="26" t="s">
        <v>56</v>
      </c>
      <c r="DP344" s="26" t="s">
        <v>56</v>
      </c>
      <c r="ED344" s="26" t="s">
        <v>56</v>
      </c>
    </row>
    <row r="345" spans="1:147">
      <c r="A345" t="str">
        <f>HYPERLINK(".\links\seq\TI_asb-550-seq.txt","TI_asb-550")</f>
        <v>TI_asb-550</v>
      </c>
      <c r="B345">
        <v>550</v>
      </c>
      <c r="C345" t="str">
        <f>HYPERLINK(".\links\tsa\TI_asb-550-tsa.txt","1")</f>
        <v>1</v>
      </c>
      <c r="D345">
        <v>1</v>
      </c>
      <c r="E345">
        <v>262</v>
      </c>
      <c r="F345">
        <v>228</v>
      </c>
      <c r="G345" t="str">
        <f>HYPERLINK(".\links\qual\TI_asb-550-qual.txt","46")</f>
        <v>46</v>
      </c>
      <c r="H345">
        <v>0</v>
      </c>
      <c r="I345">
        <v>1</v>
      </c>
      <c r="J345">
        <f t="shared" si="16"/>
        <v>1</v>
      </c>
      <c r="K345" s="6">
        <f t="shared" si="17"/>
        <v>-1</v>
      </c>
      <c r="L345" s="6" t="s">
        <v>3868</v>
      </c>
      <c r="M345" s="6" t="s">
        <v>3869</v>
      </c>
      <c r="N345" s="6"/>
      <c r="O345" s="6"/>
      <c r="P345" s="6"/>
      <c r="Q345" s="3">
        <v>262</v>
      </c>
      <c r="R345" s="3">
        <v>192</v>
      </c>
      <c r="S345" s="6" t="s">
        <v>3824</v>
      </c>
      <c r="T345" s="3">
        <v>3</v>
      </c>
      <c r="U345" t="s">
        <v>56</v>
      </c>
      <c r="V345" t="s">
        <v>56</v>
      </c>
      <c r="W345" t="s">
        <v>56</v>
      </c>
      <c r="X345" t="s">
        <v>56</v>
      </c>
      <c r="Y345" t="s">
        <v>56</v>
      </c>
      <c r="Z345" t="s">
        <v>56</v>
      </c>
      <c r="AA345" t="s">
        <v>56</v>
      </c>
      <c r="AB345" t="s">
        <v>56</v>
      </c>
      <c r="AC345" t="s">
        <v>56</v>
      </c>
      <c r="AD345" t="s">
        <v>56</v>
      </c>
      <c r="AE345" t="s">
        <v>56</v>
      </c>
      <c r="AF345" t="s">
        <v>56</v>
      </c>
      <c r="AG345" t="s">
        <v>56</v>
      </c>
      <c r="AH345" t="s">
        <v>56</v>
      </c>
      <c r="AI345" t="s">
        <v>56</v>
      </c>
      <c r="AJ345" t="s">
        <v>56</v>
      </c>
      <c r="AK345" t="s">
        <v>56</v>
      </c>
      <c r="AL345" t="s">
        <v>56</v>
      </c>
      <c r="AM345" t="str">
        <f>HYPERLINK(".\links\SWISSP\TI_asb-550-SWISSP.txt","Plasma membrane fusion protein prm1 OS=Aspergillus terreus (strain NIH 2624 /")</f>
        <v>Plasma membrane fusion protein prm1 OS=Aspergillus terreus (strain NIH 2624 /</v>
      </c>
      <c r="AN345" s="19" t="str">
        <f>HYPERLINK("http://www.uniprot.org/uniprot/Q0CQS4","6.2")</f>
        <v>6.2</v>
      </c>
      <c r="AO345" t="str">
        <f>HYPERLINK(".\links\SWISSP\TI_asb-550-SWISSP.txt"," 1")</f>
        <v xml:space="preserve"> 1</v>
      </c>
      <c r="AP345" t="s">
        <v>3240</v>
      </c>
      <c r="AQ345">
        <v>29.6</v>
      </c>
      <c r="AR345">
        <v>47</v>
      </c>
      <c r="AS345">
        <v>725</v>
      </c>
      <c r="AT345">
        <v>27</v>
      </c>
      <c r="AU345">
        <v>6</v>
      </c>
      <c r="AV345">
        <v>34</v>
      </c>
      <c r="AW345">
        <v>0</v>
      </c>
      <c r="AX345">
        <v>258</v>
      </c>
      <c r="AY345">
        <v>69</v>
      </c>
      <c r="AZ345">
        <v>1</v>
      </c>
      <c r="BA345">
        <v>3</v>
      </c>
      <c r="BB345" t="s">
        <v>53</v>
      </c>
      <c r="BC345" t="s">
        <v>54</v>
      </c>
      <c r="BD345" t="s">
        <v>1130</v>
      </c>
      <c r="BE345" t="s">
        <v>3241</v>
      </c>
      <c r="BF345" t="s">
        <v>3242</v>
      </c>
      <c r="BG345" t="str">
        <f>HYPERLINK(".\links\PREV-RHOD-PEP\TI_asb-550-PREV-RHOD-PEP.txt","Contig17952_203")</f>
        <v>Contig17952_203</v>
      </c>
      <c r="BH345" s="6">
        <v>0.2</v>
      </c>
      <c r="BI345" t="str">
        <f>HYPERLINK(".\links\PREV-RHOD-PEP\TI_asb-550-PREV-RHOD-PEP.txt"," 10")</f>
        <v xml:space="preserve"> 10</v>
      </c>
      <c r="BJ345" t="s">
        <v>3237</v>
      </c>
      <c r="BK345">
        <v>30.8</v>
      </c>
      <c r="BL345">
        <v>40</v>
      </c>
      <c r="BM345">
        <v>358</v>
      </c>
      <c r="BN345">
        <v>37</v>
      </c>
      <c r="BO345">
        <v>11</v>
      </c>
      <c r="BP345">
        <v>25</v>
      </c>
      <c r="BQ345">
        <v>3</v>
      </c>
      <c r="BR345">
        <v>214</v>
      </c>
      <c r="BS345">
        <v>96</v>
      </c>
      <c r="BT345">
        <v>1</v>
      </c>
      <c r="BU345" t="s">
        <v>54</v>
      </c>
      <c r="BV345" t="s">
        <v>3243</v>
      </c>
      <c r="BW345" t="s">
        <v>56</v>
      </c>
      <c r="BX345" t="str">
        <f>HYPERLINK(".\links\PREV-RHOD-CDS\TI_asb-550-PREV-RHOD-CDS.txt","Contig17821_83")</f>
        <v>Contig17821_83</v>
      </c>
      <c r="BY345" s="6">
        <v>0.12</v>
      </c>
      <c r="BZ345" t="s">
        <v>3244</v>
      </c>
      <c r="CA345">
        <v>36.200000000000003</v>
      </c>
      <c r="CB345">
        <v>17</v>
      </c>
      <c r="CC345">
        <v>2418</v>
      </c>
      <c r="CD345">
        <v>100</v>
      </c>
      <c r="CE345">
        <v>1</v>
      </c>
      <c r="CF345">
        <v>0</v>
      </c>
      <c r="CG345">
        <v>0</v>
      </c>
      <c r="CH345">
        <v>405</v>
      </c>
      <c r="CI345">
        <v>83</v>
      </c>
      <c r="CJ345">
        <v>1</v>
      </c>
      <c r="CK345" t="s">
        <v>64</v>
      </c>
      <c r="CL345" t="s">
        <v>3245</v>
      </c>
      <c r="CM345">
        <f>HYPERLINK(".\links\GO\TI_asb-550-GO.txt",2.5)</f>
        <v>2.5</v>
      </c>
      <c r="CN345" t="s">
        <v>1104</v>
      </c>
      <c r="CO345" t="s">
        <v>102</v>
      </c>
      <c r="CP345" t="s">
        <v>103</v>
      </c>
      <c r="CQ345" t="s">
        <v>1105</v>
      </c>
      <c r="CR345" s="6">
        <v>4.2</v>
      </c>
      <c r="CS345" t="s">
        <v>105</v>
      </c>
      <c r="CT345" t="s">
        <v>75</v>
      </c>
      <c r="CU345" t="s">
        <v>106</v>
      </c>
      <c r="CV345" t="s">
        <v>107</v>
      </c>
      <c r="CW345" s="6">
        <v>4.2</v>
      </c>
      <c r="CX345" t="s">
        <v>1106</v>
      </c>
      <c r="CY345" t="s">
        <v>102</v>
      </c>
      <c r="CZ345" t="s">
        <v>103</v>
      </c>
      <c r="DA345" t="s">
        <v>1107</v>
      </c>
      <c r="DB345" s="6">
        <v>4.2</v>
      </c>
      <c r="DC345" t="s">
        <v>56</v>
      </c>
      <c r="DD345" t="s">
        <v>56</v>
      </c>
      <c r="DE345" t="s">
        <v>56</v>
      </c>
      <c r="DF345" t="str">
        <f>HYPERLINK(".\links\PFAM\TI_asb-550-PFAM.txt","DUF590")</f>
        <v>DUF590</v>
      </c>
      <c r="DG345" t="str">
        <f>HYPERLINK("http://pfam.sanger.ac.uk/family?acc=PF04547","0.006")</f>
        <v>0.006</v>
      </c>
      <c r="DH345" t="str">
        <f>HYPERLINK(".\links\PRK\TI_asb-550-PRK.txt","NADH dehydrogenase subunit 6")</f>
        <v>NADH dehydrogenase subunit 6</v>
      </c>
      <c r="DI345" s="6">
        <v>1E-3</v>
      </c>
      <c r="DJ345" s="6" t="s">
        <v>56</v>
      </c>
      <c r="DN345" t="str">
        <f>HYPERLINK(".\links\SMART\TI_asb-550-SMART.txt","LITAF")</f>
        <v>LITAF</v>
      </c>
      <c r="DO345" t="str">
        <f>HYPERLINK("http://smart.embl-heidelberg.de/smart/do_annotation.pl?DOMAIN=LITAF&amp;BLAST=DUMMY","0.037")</f>
        <v>0.037</v>
      </c>
      <c r="DP345" s="3" t="s">
        <v>56</v>
      </c>
      <c r="ED345" s="3" t="s">
        <v>56</v>
      </c>
    </row>
    <row r="346" spans="1:147">
      <c r="A346" t="str">
        <f>HYPERLINK(".\links\seq\TI_asb-551-seq.txt","TI_asb-551")</f>
        <v>TI_asb-551</v>
      </c>
      <c r="B346">
        <v>551</v>
      </c>
      <c r="C346" t="str">
        <f>HYPERLINK(".\links\tsa\TI_asb-551-tsa.txt","3")</f>
        <v>3</v>
      </c>
      <c r="D346">
        <v>3</v>
      </c>
      <c r="E346">
        <v>536</v>
      </c>
      <c r="F346">
        <v>509</v>
      </c>
      <c r="G346" t="str">
        <f>HYPERLINK(".\links\qual\TI_asb-551-qual.txt","82")</f>
        <v>82</v>
      </c>
      <c r="H346">
        <v>0</v>
      </c>
      <c r="I346">
        <v>3</v>
      </c>
      <c r="J346">
        <f t="shared" si="16"/>
        <v>3</v>
      </c>
      <c r="K346" s="6">
        <f t="shared" si="17"/>
        <v>-3</v>
      </c>
      <c r="L346" s="6" t="s">
        <v>3862</v>
      </c>
      <c r="M346" s="6" t="s">
        <v>3863</v>
      </c>
      <c r="N346" s="6" t="s">
        <v>3864</v>
      </c>
      <c r="O346" s="7">
        <v>9.9999999999999994E-68</v>
      </c>
      <c r="P346" s="6">
        <v>97.6</v>
      </c>
      <c r="Q346" s="3">
        <v>536</v>
      </c>
      <c r="R346" s="3">
        <v>390</v>
      </c>
      <c r="S346" s="3" t="s">
        <v>3825</v>
      </c>
      <c r="T346" s="3">
        <v>1</v>
      </c>
      <c r="U346" t="str">
        <f>HYPERLINK(".\links\NR-LIGHT\TI_asb-551-NR-LIGHT.txt","salivary secreted protein")</f>
        <v>salivary secreted protein</v>
      </c>
      <c r="V346" t="str">
        <f>HYPERLINK("http://www.ncbi.nlm.nih.gov/sutils/blink.cgi?pid=149689094","1E-067")</f>
        <v>1E-067</v>
      </c>
      <c r="W346" t="str">
        <f>HYPERLINK(".\links\NR-LIGHT\TI_asb-551-NR-LIGHT.txt"," 10")</f>
        <v xml:space="preserve"> 10</v>
      </c>
      <c r="X346" t="str">
        <f>HYPERLINK("http://www.ncbi.nlm.nih.gov/protein/149689094","gi|149689094")</f>
        <v>gi|149689094</v>
      </c>
      <c r="Y346">
        <v>257</v>
      </c>
      <c r="Z346">
        <v>126</v>
      </c>
      <c r="AA346">
        <v>129</v>
      </c>
      <c r="AB346">
        <v>96</v>
      </c>
      <c r="AC346">
        <v>98</v>
      </c>
      <c r="AD346">
        <v>4</v>
      </c>
      <c r="AE346">
        <v>0</v>
      </c>
      <c r="AF346">
        <v>4</v>
      </c>
      <c r="AG346">
        <v>49</v>
      </c>
      <c r="AH346">
        <v>1</v>
      </c>
      <c r="AI346">
        <v>1</v>
      </c>
      <c r="AJ346" t="s">
        <v>53</v>
      </c>
      <c r="AK346" t="s">
        <v>54</v>
      </c>
      <c r="AL346" t="s">
        <v>55</v>
      </c>
      <c r="AM346" t="str">
        <f>HYPERLINK(".\links\SWISSP\TI_asb-551-SWISSP.txt","Probable O-sialoglycoprotein endopeptidase OS=Riemerella anatipestifer GN=gcp")</f>
        <v>Probable O-sialoglycoprotein endopeptidase OS=Riemerella anatipestifer GN=gcp</v>
      </c>
      <c r="AN346" s="19" t="str">
        <f>HYPERLINK("http://www.uniprot.org/uniprot/Q9F0V0","3.0")</f>
        <v>3.0</v>
      </c>
      <c r="AO346" t="str">
        <f>HYPERLINK(".\links\SWISSP\TI_asb-551-SWISSP.txt"," 4")</f>
        <v xml:space="preserve"> 4</v>
      </c>
      <c r="AP346" t="s">
        <v>3246</v>
      </c>
      <c r="AQ346">
        <v>31.6</v>
      </c>
      <c r="AR346">
        <v>75</v>
      </c>
      <c r="AS346">
        <v>341</v>
      </c>
      <c r="AT346">
        <v>25</v>
      </c>
      <c r="AU346">
        <v>22</v>
      </c>
      <c r="AV346">
        <v>56</v>
      </c>
      <c r="AW346">
        <v>2</v>
      </c>
      <c r="AX346">
        <v>141</v>
      </c>
      <c r="AY346">
        <v>118</v>
      </c>
      <c r="AZ346">
        <v>1</v>
      </c>
      <c r="BA346">
        <v>1</v>
      </c>
      <c r="BB346" t="s">
        <v>53</v>
      </c>
      <c r="BC346" t="s">
        <v>54</v>
      </c>
      <c r="BD346" t="s">
        <v>3247</v>
      </c>
      <c r="BE346" t="s">
        <v>3248</v>
      </c>
      <c r="BF346" t="s">
        <v>3249</v>
      </c>
      <c r="BG346" t="str">
        <f>HYPERLINK(".\links\PREV-RHOD-PEP\TI_asb-551-PREV-RHOD-PEP.txt","Contig17819_86")</f>
        <v>Contig17819_86</v>
      </c>
      <c r="BH346" s="7">
        <v>5.9999999999999998E-41</v>
      </c>
      <c r="BI346" t="str">
        <f>HYPERLINK(".\links\PREV-RHOD-PEP\TI_asb-551-PREV-RHOD-PEP.txt"," 10")</f>
        <v xml:space="preserve"> 10</v>
      </c>
      <c r="BJ346" t="s">
        <v>1067</v>
      </c>
      <c r="BK346">
        <v>162</v>
      </c>
      <c r="BL346">
        <v>124</v>
      </c>
      <c r="BM346">
        <v>126</v>
      </c>
      <c r="BN346">
        <v>62</v>
      </c>
      <c r="BO346">
        <v>98</v>
      </c>
      <c r="BP346">
        <v>46</v>
      </c>
      <c r="BQ346">
        <v>0</v>
      </c>
      <c r="BR346">
        <v>6</v>
      </c>
      <c r="BS346">
        <v>55</v>
      </c>
      <c r="BT346">
        <v>1</v>
      </c>
      <c r="BU346" t="s">
        <v>54</v>
      </c>
      <c r="BV346" t="s">
        <v>3250</v>
      </c>
      <c r="BW346" t="s">
        <v>56</v>
      </c>
      <c r="BX346" t="str">
        <f>HYPERLINK(".\links\PREV-RHOD-CDS\TI_asb-551-PREV-RHOD-CDS.txt","Contig17819_86")</f>
        <v>Contig17819_86</v>
      </c>
      <c r="BY346" s="7">
        <v>2.9999999999999997E-4</v>
      </c>
      <c r="BZ346" t="s">
        <v>1067</v>
      </c>
      <c r="CA346">
        <v>46.1</v>
      </c>
      <c r="CB346">
        <v>175</v>
      </c>
      <c r="CC346">
        <v>381</v>
      </c>
      <c r="CD346">
        <v>85</v>
      </c>
      <c r="CE346">
        <v>46</v>
      </c>
      <c r="CF346">
        <v>8</v>
      </c>
      <c r="CG346">
        <v>0</v>
      </c>
      <c r="CH346">
        <v>160</v>
      </c>
      <c r="CI346">
        <v>208</v>
      </c>
      <c r="CJ346">
        <v>3</v>
      </c>
      <c r="CK346" t="s">
        <v>54</v>
      </c>
      <c r="CL346" t="s">
        <v>724</v>
      </c>
      <c r="CM346">
        <f>HYPERLINK(".\links\GO\TI_asb-551-GO.txt",0.062)</f>
        <v>6.2E-2</v>
      </c>
      <c r="CN346" t="s">
        <v>58</v>
      </c>
      <c r="CO346" t="s">
        <v>58</v>
      </c>
      <c r="CQ346" t="s">
        <v>59</v>
      </c>
      <c r="CR346" s="6">
        <v>6.2E-2</v>
      </c>
      <c r="CS346" t="s">
        <v>60</v>
      </c>
      <c r="CT346" t="s">
        <v>60</v>
      </c>
      <c r="CV346" t="s">
        <v>61</v>
      </c>
      <c r="CW346" s="6">
        <v>6.2E-2</v>
      </c>
      <c r="CX346" t="s">
        <v>62</v>
      </c>
      <c r="CY346" t="s">
        <v>58</v>
      </c>
      <c r="DA346" t="s">
        <v>63</v>
      </c>
      <c r="DB346" s="6">
        <v>6.2E-2</v>
      </c>
      <c r="DC346" t="str">
        <f>HYPERLINK(".\links\CDD\TI_asb-551-CDD.txt","ND2")</f>
        <v>ND2</v>
      </c>
      <c r="DD346" t="str">
        <f>HYPERLINK("http://www.ncbi.nlm.nih.gov/Structure/cdd/cddsrv.cgi?uid=MTH00091&amp;version=v4.0","0.086")</f>
        <v>0.086</v>
      </c>
      <c r="DE346" t="s">
        <v>3251</v>
      </c>
      <c r="DF346" t="s">
        <v>56</v>
      </c>
      <c r="DG346" t="s">
        <v>56</v>
      </c>
      <c r="DH346" t="str">
        <f>HYPERLINK(".\links\PRK\TI_asb-551-PRK.txt","acyl-CoA synthetase")</f>
        <v>acyl-CoA synthetase</v>
      </c>
      <c r="DI346" s="6">
        <v>3.4000000000000002E-2</v>
      </c>
      <c r="DJ346" s="6" t="s">
        <v>56</v>
      </c>
      <c r="DN346" t="str">
        <f>HYPERLINK(".\links\SMART\TI_asb-551-SMART.txt","DM10")</f>
        <v>DM10</v>
      </c>
      <c r="DO346" t="str">
        <f>HYPERLINK("http://smart.embl-heidelberg.de/smart/do_annotation.pl?DOMAIN=DM10&amp;BLAST=DUMMY","0.079")</f>
        <v>0.079</v>
      </c>
      <c r="DP346" s="3" t="s">
        <v>56</v>
      </c>
      <c r="ED346" s="3" t="s">
        <v>56</v>
      </c>
    </row>
    <row r="347" spans="1:147">
      <c r="A347" t="str">
        <f>HYPERLINK(".\links\seq\TI_asb-552-seq.txt","TI_asb-552")</f>
        <v>TI_asb-552</v>
      </c>
      <c r="B347">
        <v>552</v>
      </c>
      <c r="C347" t="str">
        <f>HYPERLINK(".\links\tsa\TI_asb-552-tsa.txt","1")</f>
        <v>1</v>
      </c>
      <c r="D347">
        <v>1</v>
      </c>
      <c r="E347">
        <v>540</v>
      </c>
      <c r="F347">
        <v>508</v>
      </c>
      <c r="G347" t="str">
        <f>HYPERLINK(".\links\qual\TI_asb-552-qual.txt","54")</f>
        <v>54</v>
      </c>
      <c r="H347">
        <v>1</v>
      </c>
      <c r="I347">
        <v>0</v>
      </c>
      <c r="J347">
        <f t="shared" si="16"/>
        <v>1</v>
      </c>
      <c r="K347" s="6">
        <f t="shared" si="17"/>
        <v>1</v>
      </c>
      <c r="L347" s="6" t="s">
        <v>3862</v>
      </c>
      <c r="M347" s="6" t="s">
        <v>3863</v>
      </c>
      <c r="N347" s="6" t="s">
        <v>3864</v>
      </c>
      <c r="O347" s="7">
        <v>5E-56</v>
      </c>
      <c r="P347" s="6">
        <v>66.599999999999994</v>
      </c>
      <c r="Q347" s="3">
        <v>540</v>
      </c>
      <c r="R347" s="3">
        <v>237</v>
      </c>
      <c r="S347" s="3" t="s">
        <v>3826</v>
      </c>
      <c r="T347" s="3">
        <v>3</v>
      </c>
      <c r="U347" t="str">
        <f>HYPERLINK(".\links\NR-LIGHT\TI_asb-552-NR-LIGHT.txt","salivary secreted protein")</f>
        <v>salivary secreted protein</v>
      </c>
      <c r="V347" t="str">
        <f>HYPERLINK("http://www.ncbi.nlm.nih.gov/sutils/blink.cgi?pid=149689094","5E-056")</f>
        <v>5E-056</v>
      </c>
      <c r="W347" t="str">
        <f>HYPERLINK(".\links\NR-LIGHT\TI_asb-552-NR-LIGHT.txt"," 10")</f>
        <v xml:space="preserve"> 10</v>
      </c>
      <c r="X347" t="str">
        <f>HYPERLINK("http://www.ncbi.nlm.nih.gov/protein/149689094","gi|149689094")</f>
        <v>gi|149689094</v>
      </c>
      <c r="Y347">
        <v>170</v>
      </c>
      <c r="Z347">
        <v>86</v>
      </c>
      <c r="AA347">
        <v>129</v>
      </c>
      <c r="AB347">
        <v>94</v>
      </c>
      <c r="AC347">
        <v>67</v>
      </c>
      <c r="AD347">
        <v>5</v>
      </c>
      <c r="AE347">
        <v>0</v>
      </c>
      <c r="AF347">
        <v>20</v>
      </c>
      <c r="AG347">
        <v>97</v>
      </c>
      <c r="AH347">
        <v>2</v>
      </c>
      <c r="AI347">
        <v>3</v>
      </c>
      <c r="AJ347" t="s">
        <v>65</v>
      </c>
      <c r="AK347" t="s">
        <v>54</v>
      </c>
      <c r="AL347" t="s">
        <v>55</v>
      </c>
      <c r="AM347" t="str">
        <f>HYPERLINK(".\links\SWISSP\TI_asb-552-SWISSP.txt","Isoleucyl-tRNA synthetase, cytoplasmic OS=Schizosaccharomyces pombe")</f>
        <v>Isoleucyl-tRNA synthetase, cytoplasmic OS=Schizosaccharomyces pombe</v>
      </c>
      <c r="AN347" s="19" t="str">
        <f>HYPERLINK("http://www.uniprot.org/uniprot/O13651","4.0")</f>
        <v>4.0</v>
      </c>
      <c r="AO347" t="str">
        <f>HYPERLINK(".\links\SWISSP\TI_asb-552-SWISSP.txt"," 3")</f>
        <v xml:space="preserve"> 3</v>
      </c>
      <c r="AP347" t="s">
        <v>3252</v>
      </c>
      <c r="AQ347">
        <v>31.2</v>
      </c>
      <c r="AR347">
        <v>77</v>
      </c>
      <c r="AS347">
        <v>1064</v>
      </c>
      <c r="AT347">
        <v>29</v>
      </c>
      <c r="AU347">
        <v>7</v>
      </c>
      <c r="AV347">
        <v>54</v>
      </c>
      <c r="AW347">
        <v>9</v>
      </c>
      <c r="AX347">
        <v>824</v>
      </c>
      <c r="AY347">
        <v>232</v>
      </c>
      <c r="AZ347">
        <v>1</v>
      </c>
      <c r="BA347">
        <v>1</v>
      </c>
      <c r="BB347" t="s">
        <v>53</v>
      </c>
      <c r="BC347" t="s">
        <v>54</v>
      </c>
      <c r="BD347" t="s">
        <v>1064</v>
      </c>
      <c r="BE347" t="s">
        <v>3253</v>
      </c>
      <c r="BF347" t="s">
        <v>3254</v>
      </c>
      <c r="BG347" t="str">
        <f>HYPERLINK(".\links\PREV-RHOD-PEP\TI_asb-552-PREV-RHOD-PEP.txt","Contig17819_86")</f>
        <v>Contig17819_86</v>
      </c>
      <c r="BH347" s="7">
        <v>8.0000000000000003E-27</v>
      </c>
      <c r="BI347" t="str">
        <f>HYPERLINK(".\links\PREV-RHOD-PEP\TI_asb-552-PREV-RHOD-PEP.txt"," 10")</f>
        <v xml:space="preserve"> 10</v>
      </c>
      <c r="BJ347" t="s">
        <v>1067</v>
      </c>
      <c r="BK347">
        <v>115</v>
      </c>
      <c r="BL347">
        <v>86</v>
      </c>
      <c r="BM347">
        <v>126</v>
      </c>
      <c r="BN347">
        <v>63</v>
      </c>
      <c r="BO347">
        <v>68</v>
      </c>
      <c r="BP347">
        <v>31</v>
      </c>
      <c r="BQ347">
        <v>0</v>
      </c>
      <c r="BR347">
        <v>24</v>
      </c>
      <c r="BS347">
        <v>118</v>
      </c>
      <c r="BT347">
        <v>2</v>
      </c>
      <c r="BU347" t="s">
        <v>54</v>
      </c>
      <c r="BV347" t="s">
        <v>3255</v>
      </c>
      <c r="BW347" t="s">
        <v>56</v>
      </c>
      <c r="BX347" t="str">
        <f>HYPERLINK(".\links\PREV-RHOD-CDS\TI_asb-552-PREV-RHOD-CDS.txt","Contig17819_86")</f>
        <v>Contig17819_86</v>
      </c>
      <c r="BY347" s="7">
        <v>9.9999999999999995E-7</v>
      </c>
      <c r="BZ347" t="s">
        <v>1067</v>
      </c>
      <c r="CA347">
        <v>54</v>
      </c>
      <c r="CB347">
        <v>112</v>
      </c>
      <c r="CC347">
        <v>381</v>
      </c>
      <c r="CD347">
        <v>87</v>
      </c>
      <c r="CE347">
        <v>30</v>
      </c>
      <c r="CF347">
        <v>7</v>
      </c>
      <c r="CG347">
        <v>0</v>
      </c>
      <c r="CH347">
        <v>160</v>
      </c>
      <c r="CI347">
        <v>207</v>
      </c>
      <c r="CJ347">
        <v>2</v>
      </c>
      <c r="CK347" t="s">
        <v>54</v>
      </c>
      <c r="CL347" t="s">
        <v>724</v>
      </c>
      <c r="CM347">
        <f>HYPERLINK(".\links\GO\TI_asb-552-GO.txt",0.11)</f>
        <v>0.11</v>
      </c>
      <c r="CN347" t="s">
        <v>58</v>
      </c>
      <c r="CO347" t="s">
        <v>58</v>
      </c>
      <c r="CQ347" t="s">
        <v>59</v>
      </c>
      <c r="CR347" s="6">
        <v>0.11</v>
      </c>
      <c r="CS347" t="s">
        <v>60</v>
      </c>
      <c r="CT347" t="s">
        <v>60</v>
      </c>
      <c r="CV347" t="s">
        <v>61</v>
      </c>
      <c r="CW347" s="6">
        <v>0.11</v>
      </c>
      <c r="CX347" t="s">
        <v>62</v>
      </c>
      <c r="CY347" t="s">
        <v>58</v>
      </c>
      <c r="DA347" t="s">
        <v>63</v>
      </c>
      <c r="DB347" s="6">
        <v>0.11</v>
      </c>
      <c r="DC347" t="s">
        <v>56</v>
      </c>
      <c r="DD347" t="s">
        <v>56</v>
      </c>
      <c r="DE347" t="s">
        <v>56</v>
      </c>
      <c r="DF347" t="s">
        <v>56</v>
      </c>
      <c r="DG347" t="s">
        <v>56</v>
      </c>
      <c r="DH347" t="str">
        <f>HYPERLINK(".\links\PRK\TI_asb-552-PRK.txt","acyl-CoA synthetase")</f>
        <v>acyl-CoA synthetase</v>
      </c>
      <c r="DI347" s="6">
        <v>6.5000000000000002E-2</v>
      </c>
      <c r="DJ347" s="6" t="str">
        <f>HYPERLINK(".\links\KOG\TI_asb-552-KOG.txt","Uncharacterized conserved protein, contains laminin, cadherin and EGF domains")</f>
        <v>Uncharacterized conserved protein, contains laminin, cadherin and EGF domains</v>
      </c>
      <c r="DK347" s="6" t="str">
        <f>HYPERLINK("http://www.ncbi.nlm.nih.gov/COG/grace/shokog.cgi?KOG1219","0.081")</f>
        <v>0.081</v>
      </c>
      <c r="DL347" s="6" t="s">
        <v>4342</v>
      </c>
      <c r="DM347" s="6" t="str">
        <f>HYPERLINK(".\links\KOG\TI_asb-552-KOG.txt","KOG1219")</f>
        <v>KOG1219</v>
      </c>
      <c r="DN347" t="str">
        <f>HYPERLINK(".\links\SMART\TI_asb-552-SMART.txt","DM10")</f>
        <v>DM10</v>
      </c>
      <c r="DO347" t="str">
        <f>HYPERLINK("http://smart.embl-heidelberg.de/smart/do_annotation.pl?DOMAIN=DM10&amp;BLAST=DUMMY","0.080")</f>
        <v>0.080</v>
      </c>
      <c r="DP347" s="3" t="s">
        <v>56</v>
      </c>
      <c r="ED347" s="3" t="s">
        <v>56</v>
      </c>
    </row>
    <row r="348" spans="1:147">
      <c r="A348" t="str">
        <f>HYPERLINK(".\links\seq\TI_asb-553-seq.txt","TI_asb-553")</f>
        <v>TI_asb-553</v>
      </c>
      <c r="B348">
        <v>553</v>
      </c>
      <c r="C348" t="str">
        <f>HYPERLINK(".\links\tsa\TI_asb-553-tsa.txt","1")</f>
        <v>1</v>
      </c>
      <c r="D348">
        <v>1</v>
      </c>
      <c r="E348">
        <v>543</v>
      </c>
      <c r="F348">
        <v>509</v>
      </c>
      <c r="G348" t="str">
        <f>HYPERLINK(".\links\qual\TI_asb-553-qual.txt","54")</f>
        <v>54</v>
      </c>
      <c r="H348">
        <v>0</v>
      </c>
      <c r="I348">
        <v>1</v>
      </c>
      <c r="J348">
        <f t="shared" si="16"/>
        <v>1</v>
      </c>
      <c r="K348" s="6">
        <f t="shared" si="17"/>
        <v>-1</v>
      </c>
      <c r="L348" s="6" t="s">
        <v>3862</v>
      </c>
      <c r="M348" s="6" t="s">
        <v>3863</v>
      </c>
      <c r="N348" s="6" t="s">
        <v>3864</v>
      </c>
      <c r="O348" s="7">
        <v>7.9999999999999998E-60</v>
      </c>
      <c r="P348" s="6">
        <v>85.2</v>
      </c>
      <c r="Q348" s="3">
        <v>543</v>
      </c>
      <c r="R348" s="3">
        <v>351</v>
      </c>
      <c r="S348" s="3" t="s">
        <v>3827</v>
      </c>
      <c r="T348" s="3">
        <v>1</v>
      </c>
      <c r="U348" t="str">
        <f>HYPERLINK(".\links\NR-LIGHT\TI_asb-553-NR-LIGHT.txt","salivary secreted protein")</f>
        <v>salivary secreted protein</v>
      </c>
      <c r="V348" t="str">
        <f>HYPERLINK("http://www.ncbi.nlm.nih.gov/sutils/blink.cgi?pid=149689094","8E-060")</f>
        <v>8E-060</v>
      </c>
      <c r="W348" t="str">
        <f>HYPERLINK(".\links\NR-LIGHT\TI_asb-553-NR-LIGHT.txt"," 10")</f>
        <v xml:space="preserve"> 10</v>
      </c>
      <c r="X348" t="str">
        <f>HYPERLINK("http://www.ncbi.nlm.nih.gov/protein/149689094","gi|149689094")</f>
        <v>gi|149689094</v>
      </c>
      <c r="Y348">
        <v>231</v>
      </c>
      <c r="Z348">
        <v>110</v>
      </c>
      <c r="AA348">
        <v>129</v>
      </c>
      <c r="AB348">
        <v>98</v>
      </c>
      <c r="AC348">
        <v>85</v>
      </c>
      <c r="AD348">
        <v>2</v>
      </c>
      <c r="AE348">
        <v>0</v>
      </c>
      <c r="AF348">
        <v>20</v>
      </c>
      <c r="AG348">
        <v>97</v>
      </c>
      <c r="AH348">
        <v>1</v>
      </c>
      <c r="AI348">
        <v>1</v>
      </c>
      <c r="AJ348" t="s">
        <v>53</v>
      </c>
      <c r="AK348" t="s">
        <v>54</v>
      </c>
      <c r="AL348" t="s">
        <v>55</v>
      </c>
      <c r="AM348" t="str">
        <f>HYPERLINK(".\links\SWISSP\TI_asb-553-SWISSP.txt","Probable O-sialoglycoprotein endopeptidase OS=Riemerella anatipestifer GN=gcp")</f>
        <v>Probable O-sialoglycoprotein endopeptidase OS=Riemerella anatipestifer GN=gcp</v>
      </c>
      <c r="AN348" s="19" t="str">
        <f>HYPERLINK("http://www.uniprot.org/uniprot/Q9F0V0","3.1")</f>
        <v>3.1</v>
      </c>
      <c r="AO348" t="str">
        <f>HYPERLINK(".\links\SWISSP\TI_asb-553-SWISSP.txt"," 3")</f>
        <v xml:space="preserve"> 3</v>
      </c>
      <c r="AP348" t="s">
        <v>3246</v>
      </c>
      <c r="AQ348">
        <v>31.6</v>
      </c>
      <c r="AR348">
        <v>75</v>
      </c>
      <c r="AS348">
        <v>341</v>
      </c>
      <c r="AT348">
        <v>25</v>
      </c>
      <c r="AU348">
        <v>22</v>
      </c>
      <c r="AV348">
        <v>56</v>
      </c>
      <c r="AW348">
        <v>2</v>
      </c>
      <c r="AX348">
        <v>141</v>
      </c>
      <c r="AY348">
        <v>118</v>
      </c>
      <c r="AZ348">
        <v>1</v>
      </c>
      <c r="BA348">
        <v>1</v>
      </c>
      <c r="BB348" t="s">
        <v>53</v>
      </c>
      <c r="BC348" t="s">
        <v>54</v>
      </c>
      <c r="BD348" t="s">
        <v>3247</v>
      </c>
      <c r="BE348" t="s">
        <v>3256</v>
      </c>
      <c r="BF348" t="s">
        <v>3257</v>
      </c>
      <c r="BG348" t="str">
        <f>HYPERLINK(".\links\PREV-RHOD-PEP\TI_asb-553-PREV-RHOD-PEP.txt","Contig17819_86")</f>
        <v>Contig17819_86</v>
      </c>
      <c r="BH348" s="7">
        <v>7.0000000000000003E-37</v>
      </c>
      <c r="BI348" t="str">
        <f>HYPERLINK(".\links\PREV-RHOD-PEP\TI_asb-553-PREV-RHOD-PEP.txt"," 10")</f>
        <v xml:space="preserve"> 10</v>
      </c>
      <c r="BJ348" t="s">
        <v>1067</v>
      </c>
      <c r="BK348">
        <v>149</v>
      </c>
      <c r="BL348">
        <v>103</v>
      </c>
      <c r="BM348">
        <v>126</v>
      </c>
      <c r="BN348">
        <v>66</v>
      </c>
      <c r="BO348">
        <v>82</v>
      </c>
      <c r="BP348">
        <v>35</v>
      </c>
      <c r="BQ348">
        <v>0</v>
      </c>
      <c r="BR348">
        <v>24</v>
      </c>
      <c r="BS348">
        <v>118</v>
      </c>
      <c r="BT348">
        <v>1</v>
      </c>
      <c r="BU348" t="s">
        <v>54</v>
      </c>
      <c r="BV348" t="s">
        <v>3258</v>
      </c>
      <c r="BW348" t="s">
        <v>56</v>
      </c>
      <c r="BX348" t="str">
        <f>HYPERLINK(".\links\PREV-RHOD-CDS\TI_asb-553-PREV-RHOD-CDS.txt","Contig17819_86")</f>
        <v>Contig17819_86</v>
      </c>
      <c r="BY348" s="7">
        <v>2.9999999999999997E-4</v>
      </c>
      <c r="BZ348" t="s">
        <v>1067</v>
      </c>
      <c r="CA348">
        <v>46.1</v>
      </c>
      <c r="CB348">
        <v>175</v>
      </c>
      <c r="CC348">
        <v>381</v>
      </c>
      <c r="CD348">
        <v>85</v>
      </c>
      <c r="CE348">
        <v>46</v>
      </c>
      <c r="CF348">
        <v>8</v>
      </c>
      <c r="CG348">
        <v>0</v>
      </c>
      <c r="CH348">
        <v>160</v>
      </c>
      <c r="CI348">
        <v>208</v>
      </c>
      <c r="CJ348">
        <v>3</v>
      </c>
      <c r="CK348" t="s">
        <v>54</v>
      </c>
      <c r="CL348" t="s">
        <v>724</v>
      </c>
      <c r="CM348">
        <f>HYPERLINK(".\links\GO\TI_asb-553-GO.txt",0.065)</f>
        <v>6.5000000000000002E-2</v>
      </c>
      <c r="CN348" t="s">
        <v>58</v>
      </c>
      <c r="CO348" t="s">
        <v>58</v>
      </c>
      <c r="CQ348" t="s">
        <v>59</v>
      </c>
      <c r="CR348" s="6">
        <v>6.5000000000000002E-2</v>
      </c>
      <c r="CS348" t="s">
        <v>60</v>
      </c>
      <c r="CT348" t="s">
        <v>60</v>
      </c>
      <c r="CV348" t="s">
        <v>61</v>
      </c>
      <c r="CW348" s="6">
        <v>6.5000000000000002E-2</v>
      </c>
      <c r="CX348" t="s">
        <v>62</v>
      </c>
      <c r="CY348" t="s">
        <v>58</v>
      </c>
      <c r="DA348" t="s">
        <v>63</v>
      </c>
      <c r="DB348" s="6">
        <v>6.5000000000000002E-2</v>
      </c>
      <c r="DC348" t="str">
        <f>HYPERLINK(".\links\CDD\TI_asb-553-CDD.txt","ND2")</f>
        <v>ND2</v>
      </c>
      <c r="DD348" t="str">
        <f>HYPERLINK("http://www.ncbi.nlm.nih.gov/Structure/cdd/cddsrv.cgi?uid=MTH00091&amp;version=v4.0","0.060")</f>
        <v>0.060</v>
      </c>
      <c r="DE348" t="s">
        <v>3259</v>
      </c>
      <c r="DF348" t="s">
        <v>56</v>
      </c>
      <c r="DG348" t="s">
        <v>56</v>
      </c>
      <c r="DH348" t="str">
        <f>HYPERLINK(".\links\PRK\TI_asb-553-PRK.txt","NADH dehydrogenase subunit 3")</f>
        <v>NADH dehydrogenase subunit 3</v>
      </c>
      <c r="DI348" s="6">
        <v>3.1E-2</v>
      </c>
      <c r="DJ348" s="6" t="str">
        <f>HYPERLINK(".\links\KOG\TI_asb-553-KOG.txt","Predicted beta-mannosidase")</f>
        <v>Predicted beta-mannosidase</v>
      </c>
      <c r="DK348" s="6" t="str">
        <f>HYPERLINK("http://www.ncbi.nlm.nih.gov/COG/grace/shokog.cgi?KOG2230","0.084")</f>
        <v>0.084</v>
      </c>
      <c r="DL348" s="6" t="s">
        <v>4341</v>
      </c>
      <c r="DM348" s="6" t="str">
        <f>HYPERLINK(".\links\KOG\TI_asb-553-KOG.txt","KOG2230")</f>
        <v>KOG2230</v>
      </c>
      <c r="DN348" t="str">
        <f>HYPERLINK(".\links\SMART\TI_asb-553-SMART.txt","LITAF")</f>
        <v>LITAF</v>
      </c>
      <c r="DO348" t="str">
        <f>HYPERLINK("http://smart.embl-heidelberg.de/smart/do_annotation.pl?DOMAIN=LITAF&amp;BLAST=DUMMY","0.020")</f>
        <v>0.020</v>
      </c>
      <c r="DP348" s="3" t="s">
        <v>56</v>
      </c>
      <c r="ED348" s="3" t="s">
        <v>56</v>
      </c>
    </row>
    <row r="349" spans="1:147">
      <c r="A349" t="str">
        <f>HYPERLINK(".\links\seq\TI_asb-555-seq.txt","TI_asb-555")</f>
        <v>TI_asb-555</v>
      </c>
      <c r="B349">
        <v>555</v>
      </c>
      <c r="C349" t="str">
        <f>HYPERLINK(".\links\tsa\TI_asb-555-tsa.txt","1")</f>
        <v>1</v>
      </c>
      <c r="D349">
        <v>1</v>
      </c>
      <c r="E349">
        <v>753</v>
      </c>
      <c r="F349">
        <v>727</v>
      </c>
      <c r="G349" t="str">
        <f>HYPERLINK(".\links\qual\TI_asb-555-qual.txt","33")</f>
        <v>33</v>
      </c>
      <c r="H349">
        <v>0</v>
      </c>
      <c r="I349">
        <v>1</v>
      </c>
      <c r="J349">
        <f t="shared" si="16"/>
        <v>1</v>
      </c>
      <c r="K349" s="6">
        <f t="shared" si="17"/>
        <v>-1</v>
      </c>
      <c r="L349" s="6" t="s">
        <v>4066</v>
      </c>
      <c r="M349" s="6" t="s">
        <v>3874</v>
      </c>
      <c r="N349" s="6" t="s">
        <v>3884</v>
      </c>
      <c r="O349" s="6">
        <v>6E-11</v>
      </c>
      <c r="P349" s="6">
        <v>32.1</v>
      </c>
      <c r="Q349" s="3">
        <v>753</v>
      </c>
      <c r="R349" s="3">
        <v>534</v>
      </c>
      <c r="S349" s="3" t="s">
        <v>3828</v>
      </c>
      <c r="T349" s="3">
        <v>1</v>
      </c>
      <c r="U349" t="str">
        <f>HYPERLINK(".\links\NR-LIGHT\TI_asb-555-NR-LIGHT.txt","ACYPI005577")</f>
        <v>ACYPI005577</v>
      </c>
      <c r="V349" t="str">
        <f>HYPERLINK("http://www.ncbi.nlm.nih.gov/sutils/blink.cgi?pid=239790499","1E-017")</f>
        <v>1E-017</v>
      </c>
      <c r="W349" t="str">
        <f>HYPERLINK(".\links\NR-LIGHT\TI_asb-555-NR-LIGHT.txt"," 10")</f>
        <v xml:space="preserve"> 10</v>
      </c>
      <c r="X349" t="str">
        <f>HYPERLINK("http://www.ncbi.nlm.nih.gov/protein/239790499","gi|239790499")</f>
        <v>gi|239790499</v>
      </c>
      <c r="Y349">
        <v>92.4</v>
      </c>
      <c r="Z349">
        <v>104</v>
      </c>
      <c r="AA349">
        <v>167</v>
      </c>
      <c r="AB349">
        <v>46</v>
      </c>
      <c r="AC349">
        <v>62</v>
      </c>
      <c r="AD349">
        <v>56</v>
      </c>
      <c r="AE349">
        <v>6</v>
      </c>
      <c r="AF349">
        <v>9</v>
      </c>
      <c r="AG349">
        <v>238</v>
      </c>
      <c r="AH349">
        <v>2</v>
      </c>
      <c r="AI349">
        <v>1</v>
      </c>
      <c r="AJ349" t="s">
        <v>53</v>
      </c>
      <c r="AK349" t="s">
        <v>54</v>
      </c>
      <c r="AL349" t="s">
        <v>177</v>
      </c>
      <c r="AM349" t="str">
        <f>HYPERLINK(".\links\SWISSP\TI_asb-555-SWISSP.txt","Natterin-1 OS=Thalassophryne nattereri PE=1 SV=1")</f>
        <v>Natterin-1 OS=Thalassophryne nattereri PE=1 SV=1</v>
      </c>
      <c r="AN349" s="19" t="str">
        <f>HYPERLINK("http://www.uniprot.org/uniprot/Q66S25","0.32")</f>
        <v>0.32</v>
      </c>
      <c r="AO349" t="str">
        <f>HYPERLINK(".\links\SWISSP\TI_asb-555-SWISSP.txt"," 8")</f>
        <v xml:space="preserve"> 8</v>
      </c>
      <c r="AP349" t="s">
        <v>3263</v>
      </c>
      <c r="AQ349">
        <v>35.799999999999997</v>
      </c>
      <c r="AR349">
        <v>56</v>
      </c>
      <c r="AS349">
        <v>355</v>
      </c>
      <c r="AT349">
        <v>35</v>
      </c>
      <c r="AU349">
        <v>16</v>
      </c>
      <c r="AV349">
        <v>36</v>
      </c>
      <c r="AW349">
        <v>0</v>
      </c>
      <c r="AX349">
        <v>110</v>
      </c>
      <c r="AY349">
        <v>280</v>
      </c>
      <c r="AZ349">
        <v>1</v>
      </c>
      <c r="BA349">
        <v>1</v>
      </c>
      <c r="BB349" t="s">
        <v>53</v>
      </c>
      <c r="BC349" t="s">
        <v>54</v>
      </c>
      <c r="BD349" t="s">
        <v>3260</v>
      </c>
      <c r="BE349" t="s">
        <v>3264</v>
      </c>
      <c r="BF349" t="s">
        <v>3265</v>
      </c>
      <c r="BG349" t="str">
        <f>HYPERLINK(".\links\PREV-RHOD-PEP\TI_asb-555-PREV-RHOD-PEP.txt","Contig17343_19")</f>
        <v>Contig17343_19</v>
      </c>
      <c r="BH349" s="7">
        <v>3.9999999999999999E-45</v>
      </c>
      <c r="BI349" t="str">
        <f>HYPERLINK(".\links\PREV-RHOD-PEP\TI_asb-555-PREV-RHOD-PEP.txt"," 10")</f>
        <v xml:space="preserve"> 10</v>
      </c>
      <c r="BJ349" t="s">
        <v>3261</v>
      </c>
      <c r="BK349">
        <v>155</v>
      </c>
      <c r="BL349">
        <v>79</v>
      </c>
      <c r="BM349">
        <v>144</v>
      </c>
      <c r="BN349">
        <v>86</v>
      </c>
      <c r="BO349">
        <v>55</v>
      </c>
      <c r="BP349">
        <v>11</v>
      </c>
      <c r="BQ349">
        <v>0</v>
      </c>
      <c r="BR349">
        <v>1</v>
      </c>
      <c r="BS349">
        <v>262</v>
      </c>
      <c r="BT349">
        <v>3</v>
      </c>
      <c r="BU349" t="s">
        <v>54</v>
      </c>
      <c r="BV349" t="s">
        <v>3266</v>
      </c>
      <c r="BW349" t="s">
        <v>56</v>
      </c>
      <c r="BX349" t="str">
        <f>HYPERLINK(".\links\PREV-RHOD-CDS\TI_asb-555-PREV-RHOD-CDS.txt","Contig17343_19")</f>
        <v>Contig17343_19</v>
      </c>
      <c r="BY349" s="7">
        <v>6E-34</v>
      </c>
      <c r="BZ349" t="s">
        <v>3261</v>
      </c>
      <c r="CA349">
        <v>145</v>
      </c>
      <c r="CB349">
        <v>232</v>
      </c>
      <c r="CC349">
        <v>435</v>
      </c>
      <c r="CD349">
        <v>82</v>
      </c>
      <c r="CE349">
        <v>54</v>
      </c>
      <c r="CF349">
        <v>40</v>
      </c>
      <c r="CG349">
        <v>0</v>
      </c>
      <c r="CH349">
        <v>1</v>
      </c>
      <c r="CI349">
        <v>265</v>
      </c>
      <c r="CJ349">
        <v>1</v>
      </c>
      <c r="CK349" t="s">
        <v>54</v>
      </c>
      <c r="CL349" t="s">
        <v>3262</v>
      </c>
      <c r="CM349">
        <f>HYPERLINK(".\links\GO\TI_asb-555-GO.txt",0.00000000006)</f>
        <v>6E-11</v>
      </c>
      <c r="CN349" t="s">
        <v>208</v>
      </c>
      <c r="CO349" t="s">
        <v>185</v>
      </c>
      <c r="CP349" t="s">
        <v>186</v>
      </c>
      <c r="CQ349" t="s">
        <v>209</v>
      </c>
      <c r="CR349" s="6">
        <v>3.7</v>
      </c>
      <c r="CS349" t="s">
        <v>3267</v>
      </c>
      <c r="CT349" t="s">
        <v>247</v>
      </c>
      <c r="CU349" t="s">
        <v>247</v>
      </c>
      <c r="CV349" t="s">
        <v>3268</v>
      </c>
      <c r="CW349" s="6">
        <v>3.7</v>
      </c>
      <c r="CX349" t="s">
        <v>444</v>
      </c>
      <c r="CY349" t="s">
        <v>185</v>
      </c>
      <c r="CZ349" t="s">
        <v>186</v>
      </c>
      <c r="DA349" t="s">
        <v>445</v>
      </c>
      <c r="DB349" s="6">
        <v>3.7</v>
      </c>
      <c r="DC349" t="str">
        <f>HYPERLINK(".\links\CDD\TI_asb-555-CDD.txt","DM9")</f>
        <v>DM9</v>
      </c>
      <c r="DD349" t="str">
        <f>HYPERLINK("http://www.ncbi.nlm.nih.gov/Structure/cdd/cddsrv.cgi?uid=smart00696&amp;version=v4.0","3E-018")</f>
        <v>3E-018</v>
      </c>
      <c r="DE349" t="s">
        <v>3269</v>
      </c>
      <c r="DF349" t="str">
        <f>HYPERLINK(".\links\PFAM\TI_asb-555-PFAM.txt","YMF19")</f>
        <v>YMF19</v>
      </c>
      <c r="DG349" t="str">
        <f>HYPERLINK("http://pfam.sanger.ac.uk/family?acc=PF02326","0.089")</f>
        <v>0.089</v>
      </c>
      <c r="DH349" t="str">
        <f>HYPERLINK(".\links\PRK\TI_asb-555-PRK.txt","NADH dehydrogenase subunit 2")</f>
        <v>NADH dehydrogenase subunit 2</v>
      </c>
      <c r="DI349" s="6">
        <v>1.4999999999999999E-2</v>
      </c>
      <c r="DJ349" s="6" t="s">
        <v>56</v>
      </c>
      <c r="DN349" t="str">
        <f>HYPERLINK(".\links\SMART\TI_asb-555-SMART.txt","DM9")</f>
        <v>DM9</v>
      </c>
      <c r="DO349" t="str">
        <f>HYPERLINK("http://smart.embl-heidelberg.de/smart/do_annotation.pl?DOMAIN=DM9&amp;BLAST=DUMMY","1E-021")</f>
        <v>1E-021</v>
      </c>
      <c r="DP349" s="3" t="s">
        <v>56</v>
      </c>
      <c r="ED349" s="3" t="s">
        <v>56</v>
      </c>
    </row>
    <row r="350" spans="1:147">
      <c r="A350" t="str">
        <f>HYPERLINK(".\links\seq\TI_asb-556-seq.txt","TI_asb-556")</f>
        <v>TI_asb-556</v>
      </c>
      <c r="B350">
        <v>556</v>
      </c>
      <c r="C350" s="27" t="str">
        <f>HYPERLINK(".\links\tsa\TI_asb-556-tsa.txt","5")</f>
        <v>5</v>
      </c>
      <c r="D350">
        <v>7</v>
      </c>
      <c r="E350">
        <v>779</v>
      </c>
      <c r="F350">
        <v>724</v>
      </c>
      <c r="G350" t="str">
        <f>HYPERLINK(".\links\qual\TI_asb-556-qual.txt","65")</f>
        <v>65</v>
      </c>
      <c r="H350">
        <v>3</v>
      </c>
      <c r="I350">
        <v>2</v>
      </c>
      <c r="J350">
        <f t="shared" si="16"/>
        <v>1</v>
      </c>
      <c r="K350" s="6">
        <f t="shared" si="17"/>
        <v>1</v>
      </c>
      <c r="L350" s="6" t="s">
        <v>4067</v>
      </c>
      <c r="M350" s="6" t="s">
        <v>3978</v>
      </c>
      <c r="N350" s="6" t="s">
        <v>3867</v>
      </c>
      <c r="O350" s="6">
        <v>1.0000000000000001E-15</v>
      </c>
      <c r="P350" s="6">
        <v>94.5</v>
      </c>
      <c r="Q350" s="3">
        <v>779</v>
      </c>
      <c r="R350" s="3">
        <v>774</v>
      </c>
      <c r="S350" s="4" t="s">
        <v>3829</v>
      </c>
      <c r="T350" s="3">
        <v>2</v>
      </c>
      <c r="U350" t="str">
        <f>HYPERLINK(".\links\NR-LIGHT\TI_asb-556-NR-LIGHT.txt","triabin-like lipocalin precursor")</f>
        <v>triabin-like lipocalin precursor</v>
      </c>
      <c r="V350" t="str">
        <f>HYPERLINK("http://www.ncbi.nlm.nih.gov/sutils/blink.cgi?pid=307094892","5E-014")</f>
        <v>5E-014</v>
      </c>
      <c r="W350" t="str">
        <f>HYPERLINK(".\links\NR-LIGHT\TI_asb-556-NR-LIGHT.txt"," 10")</f>
        <v xml:space="preserve"> 10</v>
      </c>
      <c r="X350" t="str">
        <f>HYPERLINK("http://www.ncbi.nlm.nih.gov/protein/307094892","gi|307094892")</f>
        <v>gi|307094892</v>
      </c>
      <c r="Y350">
        <v>80.5</v>
      </c>
      <c r="Z350">
        <v>186</v>
      </c>
      <c r="AA350">
        <v>210</v>
      </c>
      <c r="AB350">
        <v>31</v>
      </c>
      <c r="AC350">
        <v>89</v>
      </c>
      <c r="AD350">
        <v>127</v>
      </c>
      <c r="AE350">
        <v>12</v>
      </c>
      <c r="AF350">
        <v>1</v>
      </c>
      <c r="AG350">
        <v>53</v>
      </c>
      <c r="AH350">
        <v>1</v>
      </c>
      <c r="AI350">
        <v>2</v>
      </c>
      <c r="AJ350" t="s">
        <v>53</v>
      </c>
      <c r="AK350" t="s">
        <v>54</v>
      </c>
      <c r="AL350" t="s">
        <v>258</v>
      </c>
      <c r="AM350" t="str">
        <f>HYPERLINK(".\links\SWISSP\TI_asb-556-SWISSP.txt","Triabin OS=Triatoma pallidipennis PE=1 SV=1")</f>
        <v>Triabin OS=Triatoma pallidipennis PE=1 SV=1</v>
      </c>
      <c r="AN350" s="19" t="str">
        <f>HYPERLINK("http://www.uniprot.org/uniprot/Q27049","0.002")</f>
        <v>0.002</v>
      </c>
      <c r="AO350" t="str">
        <f>HYPERLINK(".\links\SWISSP\TI_asb-556-SWISSP.txt"," 10")</f>
        <v xml:space="preserve"> 10</v>
      </c>
      <c r="AP350" t="s">
        <v>3270</v>
      </c>
      <c r="AQ350">
        <v>43.5</v>
      </c>
      <c r="AR350">
        <v>166</v>
      </c>
      <c r="AS350">
        <v>160</v>
      </c>
      <c r="AT350">
        <v>27</v>
      </c>
      <c r="AU350">
        <v>104</v>
      </c>
      <c r="AV350">
        <v>120</v>
      </c>
      <c r="AW350">
        <v>4</v>
      </c>
      <c r="AX350">
        <v>1</v>
      </c>
      <c r="AY350">
        <v>53</v>
      </c>
      <c r="AZ350">
        <v>1</v>
      </c>
      <c r="BA350">
        <v>2</v>
      </c>
      <c r="BB350" t="s">
        <v>53</v>
      </c>
      <c r="BC350" t="s">
        <v>54</v>
      </c>
      <c r="BD350" t="s">
        <v>3271</v>
      </c>
      <c r="BE350" t="s">
        <v>3272</v>
      </c>
      <c r="BF350" t="s">
        <v>3273</v>
      </c>
      <c r="BG350" t="str">
        <f>HYPERLINK(".\links\PREV-RHOD-PEP\TI_asb-556-PREV-RHOD-PEP.txt","Contig1709_2")</f>
        <v>Contig1709_2</v>
      </c>
      <c r="BH350" s="7">
        <v>9.0000000000000001E-32</v>
      </c>
      <c r="BI350" t="str">
        <f>HYPERLINK(".\links\PREV-RHOD-PEP\TI_asb-556-PREV-RHOD-PEP.txt"," 10")</f>
        <v xml:space="preserve"> 10</v>
      </c>
      <c r="BJ350" t="s">
        <v>3274</v>
      </c>
      <c r="BK350">
        <v>133</v>
      </c>
      <c r="BL350">
        <v>167</v>
      </c>
      <c r="BM350">
        <v>369</v>
      </c>
      <c r="BN350">
        <v>41</v>
      </c>
      <c r="BO350">
        <v>45</v>
      </c>
      <c r="BP350">
        <v>97</v>
      </c>
      <c r="BQ350">
        <v>2</v>
      </c>
      <c r="BR350">
        <v>1</v>
      </c>
      <c r="BS350">
        <v>29</v>
      </c>
      <c r="BT350">
        <v>2</v>
      </c>
      <c r="BU350" t="s">
        <v>54</v>
      </c>
      <c r="BV350" t="s">
        <v>3275</v>
      </c>
      <c r="BW350" t="s">
        <v>56</v>
      </c>
      <c r="BX350" t="str">
        <f>HYPERLINK(".\links\PREV-RHOD-CDS\TI_asb-556-PREV-RHOD-CDS.txt","Contig17905_85")</f>
        <v>Contig17905_85</v>
      </c>
      <c r="BY350" s="6">
        <v>0.39</v>
      </c>
      <c r="BZ350" t="s">
        <v>3276</v>
      </c>
      <c r="CA350">
        <v>36.200000000000003</v>
      </c>
      <c r="CB350">
        <v>17</v>
      </c>
      <c r="CC350">
        <v>1359</v>
      </c>
      <c r="CD350">
        <v>100</v>
      </c>
      <c r="CE350">
        <v>1</v>
      </c>
      <c r="CF350">
        <v>0</v>
      </c>
      <c r="CG350">
        <v>0</v>
      </c>
      <c r="CH350">
        <v>251</v>
      </c>
      <c r="CI350">
        <v>473</v>
      </c>
      <c r="CJ350">
        <v>1</v>
      </c>
      <c r="CK350" t="s">
        <v>64</v>
      </c>
      <c r="CL350" t="s">
        <v>3277</v>
      </c>
      <c r="CM350">
        <f>HYPERLINK(".\links\GO\TI_asb-556-GO.txt",0.025)</f>
        <v>2.5000000000000001E-2</v>
      </c>
      <c r="CN350" t="s">
        <v>58</v>
      </c>
      <c r="CO350" t="s">
        <v>58</v>
      </c>
      <c r="CQ350" t="s">
        <v>59</v>
      </c>
      <c r="CR350" s="6">
        <v>0.46</v>
      </c>
      <c r="CS350" t="s">
        <v>105</v>
      </c>
      <c r="CT350" t="s">
        <v>75</v>
      </c>
      <c r="CU350" t="s">
        <v>106</v>
      </c>
      <c r="CV350" t="s">
        <v>107</v>
      </c>
      <c r="CW350" s="6">
        <v>0.46</v>
      </c>
      <c r="CX350" t="s">
        <v>2126</v>
      </c>
      <c r="CY350" t="s">
        <v>58</v>
      </c>
      <c r="DA350" t="s">
        <v>2127</v>
      </c>
      <c r="DB350" s="6">
        <v>0.46</v>
      </c>
      <c r="DC350" t="str">
        <f>HYPERLINK(".\links\CDD\TI_asb-556-CDD.txt","Triabin")</f>
        <v>Triabin</v>
      </c>
      <c r="DD350" t="str">
        <f>HYPERLINK("http://www.ncbi.nlm.nih.gov/Structure/cdd/cddsrv.cgi?uid=pfam03973&amp;version=v4.0","3E-014")</f>
        <v>3E-014</v>
      </c>
      <c r="DE350" t="s">
        <v>3278</v>
      </c>
      <c r="DF350" t="str">
        <f>HYPERLINK(".\links\PFAM\TI_asb-556-PFAM.txt","Triabin")</f>
        <v>Triabin</v>
      </c>
      <c r="DG350" t="str">
        <f>HYPERLINK("http://pfam.sanger.ac.uk/family?acc=PF03973","1E-015")</f>
        <v>1E-015</v>
      </c>
      <c r="DH350" t="str">
        <f>HYPERLINK(".\links\PRK\TI_asb-556-PRK.txt","NADH dehydrogenase subunit 5")</f>
        <v>NADH dehydrogenase subunit 5</v>
      </c>
      <c r="DI350" s="7">
        <v>2.9999999999999997E-8</v>
      </c>
      <c r="DJ350" s="6" t="str">
        <f>HYPERLINK(".\links\KOG\TI_asb-556-KOG.txt","Alpha-1,2 glucosyltransferase/transcriptional activator")</f>
        <v>Alpha-1,2 glucosyltransferase/transcriptional activator</v>
      </c>
      <c r="DK350" s="6" t="str">
        <f>HYPERLINK("http://www.ncbi.nlm.nih.gov/COG/grace/shokog.cgi?KOG2642","0.014")</f>
        <v>0.014</v>
      </c>
      <c r="DL350" s="6" t="s">
        <v>4335</v>
      </c>
      <c r="DM350" s="6" t="str">
        <f>HYPERLINK(".\links\KOG\TI_asb-556-KOG.txt","KOG2642")</f>
        <v>KOG2642</v>
      </c>
      <c r="DN350" t="str">
        <f>HYPERLINK(".\links\SMART\TI_asb-556-SMART.txt","POLBc")</f>
        <v>POLBc</v>
      </c>
      <c r="DO350" t="str">
        <f>HYPERLINK("http://smart.embl-heidelberg.de/smart/do_annotation.pl?DOMAIN=POLBc&amp;BLAST=DUMMY","0.015")</f>
        <v>0.015</v>
      </c>
      <c r="DP350" s="3" t="s">
        <v>56</v>
      </c>
      <c r="ED350" s="3" t="s">
        <v>56</v>
      </c>
    </row>
    <row r="351" spans="1:147" s="26" customFormat="1">
      <c r="A351" s="26" t="str">
        <f>HYPERLINK(".\links\seq\TI_asb-557-seq.txt","TI_asb-557")</f>
        <v>TI_asb-557</v>
      </c>
      <c r="B351" s="26">
        <v>557</v>
      </c>
      <c r="C351" s="27" t="str">
        <f>HYPERLINK(".\links\tsa\TI_asb-557-tsa.txt","4")</f>
        <v>4</v>
      </c>
      <c r="D351" s="26">
        <v>4</v>
      </c>
      <c r="E351" s="26">
        <v>851</v>
      </c>
      <c r="F351" s="26">
        <v>820</v>
      </c>
      <c r="G351" s="26" t="str">
        <f>HYPERLINK(".\links\qual\TI_asb-557-qual.txt","51")</f>
        <v>51</v>
      </c>
      <c r="H351" s="26">
        <v>3</v>
      </c>
      <c r="I351" s="26">
        <v>1</v>
      </c>
      <c r="J351" s="26">
        <f t="shared" si="16"/>
        <v>2</v>
      </c>
      <c r="K351" s="26">
        <f t="shared" si="17"/>
        <v>2</v>
      </c>
      <c r="L351" s="26" t="s">
        <v>3868</v>
      </c>
      <c r="M351" s="26" t="s">
        <v>3869</v>
      </c>
      <c r="Q351" s="26">
        <v>851</v>
      </c>
      <c r="R351" s="26">
        <v>150</v>
      </c>
      <c r="S351" s="26" t="s">
        <v>3830</v>
      </c>
      <c r="T351" s="26">
        <v>5</v>
      </c>
      <c r="U351" s="26" t="s">
        <v>56</v>
      </c>
      <c r="V351" s="26" t="s">
        <v>56</v>
      </c>
      <c r="W351" s="26" t="s">
        <v>56</v>
      </c>
      <c r="X351" s="26" t="s">
        <v>56</v>
      </c>
      <c r="Y351" s="26" t="s">
        <v>56</v>
      </c>
      <c r="Z351" s="26" t="s">
        <v>56</v>
      </c>
      <c r="AA351" s="26" t="s">
        <v>56</v>
      </c>
      <c r="AB351" s="26" t="s">
        <v>56</v>
      </c>
      <c r="AC351" s="26" t="s">
        <v>56</v>
      </c>
      <c r="AD351" s="26" t="s">
        <v>56</v>
      </c>
      <c r="AE351" s="26" t="s">
        <v>56</v>
      </c>
      <c r="AF351" s="26" t="s">
        <v>56</v>
      </c>
      <c r="AG351" s="26" t="s">
        <v>56</v>
      </c>
      <c r="AH351" s="26" t="s">
        <v>56</v>
      </c>
      <c r="AI351" s="26" t="s">
        <v>56</v>
      </c>
      <c r="AJ351" s="26" t="s">
        <v>56</v>
      </c>
      <c r="AK351" s="26" t="s">
        <v>56</v>
      </c>
      <c r="AL351" s="26" t="s">
        <v>56</v>
      </c>
      <c r="AM351" s="26" t="str">
        <f>HYPERLINK(".\links\SWISSP\TI_asb-557-SWISSP.txt","Uncharacterized protein RP382 OS=Rickettsia prowazekii GN=RP382 PE=4 SV=1")</f>
        <v>Uncharacterized protein RP382 OS=Rickettsia prowazekii GN=RP382 PE=4 SV=1</v>
      </c>
      <c r="AN351" s="29" t="str">
        <f>HYPERLINK("http://www.uniprot.org/uniprot/Q9ZDE9","4.2")</f>
        <v>4.2</v>
      </c>
      <c r="AO351" s="26" t="str">
        <f>HYPERLINK(".\links\SWISSP\TI_asb-557-SWISSP.txt"," 1")</f>
        <v xml:space="preserve"> 1</v>
      </c>
      <c r="AP351" s="26" t="s">
        <v>2283</v>
      </c>
      <c r="AQ351" s="26">
        <v>32.299999999999997</v>
      </c>
      <c r="AR351" s="26">
        <v>74</v>
      </c>
      <c r="AS351" s="26">
        <v>510</v>
      </c>
      <c r="AT351" s="26">
        <v>35</v>
      </c>
      <c r="AU351" s="26">
        <v>15</v>
      </c>
      <c r="AV351" s="26">
        <v>48</v>
      </c>
      <c r="AW351" s="26">
        <v>2</v>
      </c>
      <c r="AX351" s="26">
        <v>172</v>
      </c>
      <c r="AY351" s="26">
        <v>430</v>
      </c>
      <c r="AZ351" s="26">
        <v>1</v>
      </c>
      <c r="BA351" s="26">
        <v>1</v>
      </c>
      <c r="BB351" s="26" t="s">
        <v>53</v>
      </c>
      <c r="BC351" s="26" t="s">
        <v>54</v>
      </c>
      <c r="BD351" s="26" t="s">
        <v>2284</v>
      </c>
      <c r="BE351" s="26" t="s">
        <v>2285</v>
      </c>
      <c r="BF351" s="26" t="s">
        <v>2286</v>
      </c>
      <c r="BG351" s="26" t="str">
        <f>HYPERLINK(".\links\PREV-RHOD-PEP\TI_asb-557-PREV-RHOD-PEP.txt","Contig17879_57")</f>
        <v>Contig17879_57</v>
      </c>
      <c r="BH351" s="26">
        <v>0.32</v>
      </c>
      <c r="BI351" s="26" t="str">
        <f>HYPERLINK(".\links\PREV-RHOD-PEP\TI_asb-557-PREV-RHOD-PEP.txt"," 2")</f>
        <v xml:space="preserve"> 2</v>
      </c>
      <c r="BJ351" s="26" t="s">
        <v>3152</v>
      </c>
      <c r="BK351" s="26">
        <v>32</v>
      </c>
      <c r="BL351" s="26">
        <v>46</v>
      </c>
      <c r="BM351" s="26">
        <v>444</v>
      </c>
      <c r="BN351" s="26">
        <v>39</v>
      </c>
      <c r="BO351" s="26">
        <v>10</v>
      </c>
      <c r="BP351" s="26">
        <v>28</v>
      </c>
      <c r="BQ351" s="26">
        <v>0</v>
      </c>
      <c r="BR351" s="26">
        <v>183</v>
      </c>
      <c r="BS351" s="26">
        <v>190</v>
      </c>
      <c r="BT351" s="26">
        <v>1</v>
      </c>
      <c r="BU351" s="26" t="s">
        <v>64</v>
      </c>
      <c r="BV351" s="26" t="s">
        <v>3279</v>
      </c>
      <c r="BW351" s="26" t="s">
        <v>56</v>
      </c>
      <c r="BX351" s="26" t="str">
        <f>HYPERLINK(".\links\PREV-RHOD-CDS\TI_asb-557-PREV-RHOD-CDS.txt","Contig8197_1")</f>
        <v>Contig8197_1</v>
      </c>
      <c r="BY351" s="28">
        <v>5.0000000000000003E-10</v>
      </c>
      <c r="BZ351" s="26" t="s">
        <v>3154</v>
      </c>
      <c r="CA351" s="26">
        <v>65.900000000000006</v>
      </c>
      <c r="CB351" s="26">
        <v>56</v>
      </c>
      <c r="CC351" s="26">
        <v>75</v>
      </c>
      <c r="CD351" s="26">
        <v>89</v>
      </c>
      <c r="CE351" s="26">
        <v>76</v>
      </c>
      <c r="CF351" s="26">
        <v>6</v>
      </c>
      <c r="CG351" s="26">
        <v>0</v>
      </c>
      <c r="CH351" s="26">
        <v>1</v>
      </c>
      <c r="CI351" s="26">
        <v>343</v>
      </c>
      <c r="CJ351" s="26">
        <v>1</v>
      </c>
      <c r="CK351" s="26" t="s">
        <v>54</v>
      </c>
      <c r="CL351" s="26" t="s">
        <v>3213</v>
      </c>
      <c r="CM351" s="26">
        <f>HYPERLINK(".\links\GO\TI_asb-557-GO.txt",7.7)</f>
        <v>7.7</v>
      </c>
      <c r="CN351" s="26" t="s">
        <v>1104</v>
      </c>
      <c r="CO351" s="26" t="s">
        <v>102</v>
      </c>
      <c r="CP351" s="26" t="s">
        <v>103</v>
      </c>
      <c r="CQ351" s="26" t="s">
        <v>1105</v>
      </c>
      <c r="CR351" s="26">
        <v>7.7</v>
      </c>
      <c r="CS351" s="26" t="s">
        <v>105</v>
      </c>
      <c r="CT351" s="26" t="s">
        <v>75</v>
      </c>
      <c r="CU351" s="26" t="s">
        <v>106</v>
      </c>
      <c r="CV351" s="26" t="s">
        <v>107</v>
      </c>
      <c r="CW351" s="26">
        <v>7.7</v>
      </c>
      <c r="CX351" s="26" t="s">
        <v>1106</v>
      </c>
      <c r="CY351" s="26" t="s">
        <v>102</v>
      </c>
      <c r="CZ351" s="26" t="s">
        <v>103</v>
      </c>
      <c r="DA351" s="26" t="s">
        <v>1107</v>
      </c>
      <c r="DB351" s="26">
        <v>7.7</v>
      </c>
      <c r="DC351" s="26" t="s">
        <v>56</v>
      </c>
      <c r="DD351" s="26" t="s">
        <v>56</v>
      </c>
      <c r="DE351" s="26" t="s">
        <v>56</v>
      </c>
      <c r="DF351" s="26" t="str">
        <f>HYPERLINK(".\links\PFAM\TI_asb-557-PFAM.txt","YMF19")</f>
        <v>YMF19</v>
      </c>
      <c r="DG351" s="26" t="str">
        <f>HYPERLINK("http://pfam.sanger.ac.uk/family?acc=PF02326","0.033")</f>
        <v>0.033</v>
      </c>
      <c r="DH351" s="26" t="str">
        <f>HYPERLINK(".\links\PRK\TI_asb-557-PRK.txt","NADH dehydrogenase subunit 5")</f>
        <v>NADH dehydrogenase subunit 5</v>
      </c>
      <c r="DI351" s="28">
        <v>4.0000000000000002E-4</v>
      </c>
      <c r="DJ351" s="26" t="s">
        <v>56</v>
      </c>
      <c r="DN351" s="26" t="str">
        <f>HYPERLINK(".\links\SMART\TI_asb-557-SMART.txt","PH")</f>
        <v>PH</v>
      </c>
      <c r="DO351" s="26" t="str">
        <f>HYPERLINK("http://smart.embl-heidelberg.de/smart/do_annotation.pl?DOMAIN=PH&amp;BLAST=DUMMY","0.071")</f>
        <v>0.071</v>
      </c>
      <c r="DP351" s="26" t="str">
        <f>HYPERLINK(".\links\RRNA\TI_asb-557-RRNA.txt","Pycnoscelus surinamensis mitochondrion 16S ribosomal RNA, partial sequence")</f>
        <v>Pycnoscelus surinamensis mitochondrion 16S ribosomal RNA, partial sequence</v>
      </c>
      <c r="DQ351" s="26" t="str">
        <f>HYPERLINK("http://www.ncbi.nlm.nih.gov/entrez/viewer.fcgi?db=nucleotide&amp;val=623319","3E-040")</f>
        <v>3E-040</v>
      </c>
      <c r="DR351" s="26" t="str">
        <f>HYPERLINK("http://www.ncbi.nlm.nih.gov/entrez/viewer.fcgi?db=nucleotide&amp;val=623319","gi|623319")</f>
        <v>gi|623319</v>
      </c>
      <c r="DS351" s="26">
        <v>163</v>
      </c>
      <c r="DT351" s="26">
        <v>189</v>
      </c>
      <c r="DU351" s="26">
        <v>418</v>
      </c>
      <c r="DV351" s="26">
        <v>86</v>
      </c>
      <c r="DW351" s="26">
        <v>45</v>
      </c>
      <c r="DX351" s="26">
        <v>26</v>
      </c>
      <c r="DY351" s="26">
        <v>1</v>
      </c>
      <c r="DZ351" s="26">
        <v>180</v>
      </c>
      <c r="EA351" s="26">
        <v>199</v>
      </c>
      <c r="EB351" s="26">
        <v>1</v>
      </c>
      <c r="EC351" s="26" t="s">
        <v>64</v>
      </c>
      <c r="ED351" s="26" t="str">
        <f>HYPERLINK(".\links\MIT-PLA\TI_asb-557-MIT-PLA.txt","Triatoma dimidiata mitochondrial DNA, complete genome")</f>
        <v>Triatoma dimidiata mitochondrial DNA, complete genome</v>
      </c>
      <c r="EE351" s="26" t="str">
        <f>HYPERLINK("http://www.ncbi.nlm.nih.gov/entrez/viewer.fcgi?db=nucleotide&amp;val=11139100","1E-138")</f>
        <v>1E-138</v>
      </c>
      <c r="EF351" s="26" t="str">
        <f>HYPERLINK("http://www.ncbi.nlm.nih.gov/entrez/viewer.fcgi?db=nucleotide&amp;val=11139100","gi|11139100")</f>
        <v>gi|11139100</v>
      </c>
      <c r="EG351" s="26">
        <v>490</v>
      </c>
      <c r="EH351" s="26">
        <v>368</v>
      </c>
      <c r="EI351" s="26">
        <v>17019</v>
      </c>
      <c r="EJ351" s="26">
        <v>91</v>
      </c>
      <c r="EK351" s="26">
        <v>2</v>
      </c>
      <c r="EL351" s="26">
        <v>30</v>
      </c>
      <c r="EM351" s="26">
        <v>1</v>
      </c>
      <c r="EN351" s="26">
        <v>13061</v>
      </c>
      <c r="EO351" s="26">
        <v>114</v>
      </c>
      <c r="EP351" s="26">
        <v>1</v>
      </c>
      <c r="EQ351" s="26" t="s">
        <v>64</v>
      </c>
    </row>
    <row r="352" spans="1:147">
      <c r="A352" t="str">
        <f>HYPERLINK(".\links\seq\TI_asb-558-seq.txt","TI_asb-558")</f>
        <v>TI_asb-558</v>
      </c>
      <c r="B352">
        <v>558</v>
      </c>
      <c r="C352" t="str">
        <f>HYPERLINK(".\links\tsa\TI_asb-558-tsa.txt","1")</f>
        <v>1</v>
      </c>
      <c r="D352">
        <v>1</v>
      </c>
      <c r="E352">
        <v>182</v>
      </c>
      <c r="F352">
        <v>159</v>
      </c>
      <c r="G352" t="str">
        <f>HYPERLINK(".\links\qual\TI_asb-558-qual.txt","33")</f>
        <v>33</v>
      </c>
      <c r="H352">
        <v>1</v>
      </c>
      <c r="I352">
        <v>0</v>
      </c>
      <c r="J352">
        <f t="shared" si="16"/>
        <v>1</v>
      </c>
      <c r="K352" s="6">
        <f t="shared" si="17"/>
        <v>1</v>
      </c>
      <c r="L352" s="6" t="s">
        <v>3868</v>
      </c>
      <c r="M352" s="6" t="s">
        <v>3869</v>
      </c>
      <c r="N352" s="6"/>
      <c r="O352" s="6"/>
      <c r="P352" s="6"/>
      <c r="Q352" s="3">
        <v>182</v>
      </c>
      <c r="R352" s="3">
        <v>132</v>
      </c>
      <c r="S352" s="3" t="s">
        <v>3831</v>
      </c>
      <c r="T352" s="3">
        <v>3</v>
      </c>
      <c r="U352" t="s">
        <v>56</v>
      </c>
      <c r="V352" t="s">
        <v>56</v>
      </c>
      <c r="W352" t="s">
        <v>56</v>
      </c>
      <c r="X352" t="s">
        <v>56</v>
      </c>
      <c r="Y352" t="s">
        <v>56</v>
      </c>
      <c r="Z352" t="s">
        <v>56</v>
      </c>
      <c r="AA352" t="s">
        <v>56</v>
      </c>
      <c r="AB352" t="s">
        <v>56</v>
      </c>
      <c r="AC352" t="s">
        <v>56</v>
      </c>
      <c r="AD352" t="s">
        <v>56</v>
      </c>
      <c r="AE352" t="s">
        <v>56</v>
      </c>
      <c r="AF352" t="s">
        <v>56</v>
      </c>
      <c r="AG352" t="s">
        <v>56</v>
      </c>
      <c r="AH352" t="s">
        <v>56</v>
      </c>
      <c r="AI352" t="s">
        <v>56</v>
      </c>
      <c r="AJ352" t="s">
        <v>56</v>
      </c>
      <c r="AK352" t="s">
        <v>56</v>
      </c>
      <c r="AL352" t="s">
        <v>56</v>
      </c>
      <c r="AM352" t="s">
        <v>56</v>
      </c>
      <c r="AN352" s="19" t="s">
        <v>56</v>
      </c>
      <c r="AO352" t="s">
        <v>56</v>
      </c>
      <c r="AP352" t="s">
        <v>56</v>
      </c>
      <c r="AQ352" t="s">
        <v>56</v>
      </c>
      <c r="AR352" t="s">
        <v>56</v>
      </c>
      <c r="AS352" t="s">
        <v>56</v>
      </c>
      <c r="AT352" t="s">
        <v>56</v>
      </c>
      <c r="AU352" t="s">
        <v>56</v>
      </c>
      <c r="AV352" t="s">
        <v>56</v>
      </c>
      <c r="AW352" t="s">
        <v>56</v>
      </c>
      <c r="AX352" t="s">
        <v>56</v>
      </c>
      <c r="AY352" t="s">
        <v>56</v>
      </c>
      <c r="AZ352" t="s">
        <v>56</v>
      </c>
      <c r="BA352" t="s">
        <v>56</v>
      </c>
      <c r="BB352" t="s">
        <v>56</v>
      </c>
      <c r="BC352" t="s">
        <v>56</v>
      </c>
      <c r="BD352" t="s">
        <v>56</v>
      </c>
      <c r="BE352" t="s">
        <v>56</v>
      </c>
      <c r="BF352" t="s">
        <v>56</v>
      </c>
      <c r="BG352" t="s">
        <v>56</v>
      </c>
      <c r="BH352" s="6" t="s">
        <v>56</v>
      </c>
      <c r="BI352" t="s">
        <v>56</v>
      </c>
      <c r="BJ352" t="s">
        <v>56</v>
      </c>
      <c r="BK352" t="s">
        <v>56</v>
      </c>
      <c r="BL352" t="s">
        <v>56</v>
      </c>
      <c r="BM352" t="s">
        <v>56</v>
      </c>
      <c r="BN352" t="s">
        <v>56</v>
      </c>
      <c r="BO352" t="s">
        <v>56</v>
      </c>
      <c r="BP352" t="s">
        <v>56</v>
      </c>
      <c r="BQ352" t="s">
        <v>56</v>
      </c>
      <c r="BR352" t="s">
        <v>56</v>
      </c>
      <c r="BS352" t="s">
        <v>56</v>
      </c>
      <c r="BT352" t="s">
        <v>56</v>
      </c>
      <c r="BU352" t="s">
        <v>56</v>
      </c>
      <c r="BV352" t="s">
        <v>56</v>
      </c>
      <c r="BW352" t="s">
        <v>56</v>
      </c>
      <c r="BX352" t="str">
        <f>HYPERLINK(".\links\PREV-RHOD-CDS\TI_asb-558-PREV-RHOD-CDS.txt","Contig18064_35")</f>
        <v>Contig18064_35</v>
      </c>
      <c r="BY352" s="6">
        <v>0.33</v>
      </c>
      <c r="BZ352" t="s">
        <v>3280</v>
      </c>
      <c r="CA352">
        <v>34.200000000000003</v>
      </c>
      <c r="CB352">
        <v>16</v>
      </c>
      <c r="CC352">
        <v>1392</v>
      </c>
      <c r="CD352">
        <v>100</v>
      </c>
      <c r="CE352">
        <v>1</v>
      </c>
      <c r="CF352">
        <v>0</v>
      </c>
      <c r="CG352">
        <v>0</v>
      </c>
      <c r="CH352">
        <v>1335</v>
      </c>
      <c r="CI352">
        <v>8</v>
      </c>
      <c r="CJ352">
        <v>1</v>
      </c>
      <c r="CK352" t="s">
        <v>54</v>
      </c>
      <c r="CL352" t="s">
        <v>56</v>
      </c>
      <c r="CM352" t="s">
        <v>56</v>
      </c>
      <c r="CN352" t="s">
        <v>56</v>
      </c>
      <c r="CO352" t="s">
        <v>56</v>
      </c>
      <c r="CP352" t="s">
        <v>56</v>
      </c>
      <c r="CQ352" t="s">
        <v>56</v>
      </c>
      <c r="CR352" s="6" t="s">
        <v>56</v>
      </c>
      <c r="CS352" t="s">
        <v>56</v>
      </c>
      <c r="CT352" t="s">
        <v>56</v>
      </c>
      <c r="CU352" t="s">
        <v>56</v>
      </c>
      <c r="CV352" t="s">
        <v>56</v>
      </c>
      <c r="CW352" s="6" t="s">
        <v>56</v>
      </c>
      <c r="CX352" t="s">
        <v>56</v>
      </c>
      <c r="CY352" t="s">
        <v>56</v>
      </c>
      <c r="CZ352" t="s">
        <v>56</v>
      </c>
      <c r="DA352" t="s">
        <v>56</v>
      </c>
      <c r="DB352" s="6" t="s">
        <v>56</v>
      </c>
      <c r="DC352" t="s">
        <v>56</v>
      </c>
      <c r="DD352" t="s">
        <v>56</v>
      </c>
      <c r="DE352" t="s">
        <v>56</v>
      </c>
      <c r="DF352" t="s">
        <v>56</v>
      </c>
      <c r="DG352" t="s">
        <v>56</v>
      </c>
      <c r="DH352" t="s">
        <v>56</v>
      </c>
      <c r="DI352" s="6" t="s">
        <v>56</v>
      </c>
      <c r="DJ352" s="6" t="s">
        <v>56</v>
      </c>
      <c r="DN352" t="s">
        <v>56</v>
      </c>
      <c r="DO352" t="s">
        <v>56</v>
      </c>
      <c r="DP352" s="3" t="s">
        <v>56</v>
      </c>
      <c r="ED352" s="3" t="s">
        <v>56</v>
      </c>
    </row>
    <row r="353" spans="1:147">
      <c r="A353" t="str">
        <f>HYPERLINK(".\links\seq\TI_asb-560-seq.txt","TI_asb-560")</f>
        <v>TI_asb-560</v>
      </c>
      <c r="B353">
        <v>560</v>
      </c>
      <c r="C353" t="str">
        <f>HYPERLINK(".\links\tsa\TI_asb-560-tsa.txt","1")</f>
        <v>1</v>
      </c>
      <c r="D353">
        <v>1</v>
      </c>
      <c r="E353">
        <v>381</v>
      </c>
      <c r="G353" t="str">
        <f>HYPERLINK(".\links\qual\TI_asb-560-qual.txt","38")</f>
        <v>38</v>
      </c>
      <c r="H353">
        <v>0</v>
      </c>
      <c r="I353">
        <v>1</v>
      </c>
      <c r="J353">
        <f t="shared" si="16"/>
        <v>1</v>
      </c>
      <c r="K353" s="6">
        <f t="shared" si="17"/>
        <v>-1</v>
      </c>
      <c r="L353" s="6" t="s">
        <v>4068</v>
      </c>
      <c r="M353" s="6" t="s">
        <v>3886</v>
      </c>
      <c r="N353" s="6" t="s">
        <v>3872</v>
      </c>
      <c r="O353" s="7">
        <v>1E-25</v>
      </c>
      <c r="P353" s="6">
        <v>58.2</v>
      </c>
      <c r="Q353" s="3">
        <v>381</v>
      </c>
      <c r="R353" s="3">
        <v>309</v>
      </c>
      <c r="S353" s="6" t="s">
        <v>3832</v>
      </c>
      <c r="T353" s="3">
        <v>1</v>
      </c>
      <c r="U353" t="str">
        <f>HYPERLINK(".\links\NR-LIGHT\TI_asb-560-NR-LIGHT.txt","tetratricopeptide repeat protein, putative")</f>
        <v>tetratricopeptide repeat protein, putative</v>
      </c>
      <c r="V353" t="str">
        <f>HYPERLINK("http://www.ncbi.nlm.nih.gov/sutils/blink.cgi?pid=241333867","1E-018")</f>
        <v>1E-018</v>
      </c>
      <c r="W353" t="str">
        <f>HYPERLINK(".\links\NR-LIGHT\TI_asb-560-NR-LIGHT.txt"," 10")</f>
        <v xml:space="preserve"> 10</v>
      </c>
      <c r="X353" t="str">
        <f>HYPERLINK("http://www.ncbi.nlm.nih.gov/protein/241333867","gi|241333867")</f>
        <v>gi|241333867</v>
      </c>
      <c r="Y353">
        <v>94.4</v>
      </c>
      <c r="Z353">
        <v>93</v>
      </c>
      <c r="AA353">
        <v>180</v>
      </c>
      <c r="AB353">
        <v>49</v>
      </c>
      <c r="AC353">
        <v>52</v>
      </c>
      <c r="AD353">
        <v>47</v>
      </c>
      <c r="AE353">
        <v>1</v>
      </c>
      <c r="AF353">
        <v>33</v>
      </c>
      <c r="AG353">
        <v>100</v>
      </c>
      <c r="AH353">
        <v>1</v>
      </c>
      <c r="AI353">
        <v>1</v>
      </c>
      <c r="AJ353" t="s">
        <v>53</v>
      </c>
      <c r="AK353" t="s">
        <v>54</v>
      </c>
      <c r="AL353" t="s">
        <v>1018</v>
      </c>
      <c r="AM353" t="str">
        <f>HYPERLINK(".\links\SWISSP\TI_asb-560-SWISSP.txt","Tetratricopeptide repeat protein 36 homolog OS=Drosophila melanogaster")</f>
        <v>Tetratricopeptide repeat protein 36 homolog OS=Drosophila melanogaster</v>
      </c>
      <c r="AN353" s="19" t="str">
        <f>HYPERLINK("http://www.uniprot.org/uniprot/Q9VU70","3E-019")</f>
        <v>3E-019</v>
      </c>
      <c r="AO353" t="str">
        <f>HYPERLINK(".\links\SWISSP\TI_asb-560-SWISSP.txt"," 10")</f>
        <v xml:space="preserve"> 10</v>
      </c>
      <c r="AP353" t="s">
        <v>3281</v>
      </c>
      <c r="AQ353">
        <v>94</v>
      </c>
      <c r="AR353">
        <v>101</v>
      </c>
      <c r="AS353">
        <v>185</v>
      </c>
      <c r="AT353">
        <v>46</v>
      </c>
      <c r="AU353">
        <v>55</v>
      </c>
      <c r="AV353">
        <v>54</v>
      </c>
      <c r="AW353">
        <v>1</v>
      </c>
      <c r="AX353">
        <v>37</v>
      </c>
      <c r="AY353">
        <v>79</v>
      </c>
      <c r="AZ353">
        <v>1</v>
      </c>
      <c r="BA353">
        <v>1</v>
      </c>
      <c r="BB353" t="s">
        <v>53</v>
      </c>
      <c r="BC353" t="s">
        <v>54</v>
      </c>
      <c r="BD353" t="s">
        <v>143</v>
      </c>
      <c r="BE353" t="s">
        <v>3282</v>
      </c>
      <c r="BF353" t="s">
        <v>3283</v>
      </c>
      <c r="BG353" t="str">
        <f>HYPERLINK(".\links\PREV-RHOD-PEP\TI_asb-560-PREV-RHOD-PEP.txt","Contig4177_4")</f>
        <v>Contig4177_4</v>
      </c>
      <c r="BH353" s="7">
        <v>9E-47</v>
      </c>
      <c r="BI353" t="str">
        <f>HYPERLINK(".\links\PREV-RHOD-PEP\TI_asb-560-PREV-RHOD-PEP.txt"," 10")</f>
        <v xml:space="preserve"> 10</v>
      </c>
      <c r="BJ353" t="s">
        <v>3284</v>
      </c>
      <c r="BK353">
        <v>181</v>
      </c>
      <c r="BL353">
        <v>127</v>
      </c>
      <c r="BM353">
        <v>160</v>
      </c>
      <c r="BN353">
        <v>74</v>
      </c>
      <c r="BO353">
        <v>79</v>
      </c>
      <c r="BP353">
        <v>32</v>
      </c>
      <c r="BQ353">
        <v>0</v>
      </c>
      <c r="BR353">
        <v>6</v>
      </c>
      <c r="BS353">
        <v>1</v>
      </c>
      <c r="BT353">
        <v>1</v>
      </c>
      <c r="BU353" t="s">
        <v>54</v>
      </c>
      <c r="BV353" t="s">
        <v>3285</v>
      </c>
      <c r="BW353" t="s">
        <v>56</v>
      </c>
      <c r="BX353" t="str">
        <f>HYPERLINK(".\links\PREV-RHOD-CDS\TI_asb-560-PREV-RHOD-CDS.txt","Contig4177_4")</f>
        <v>Contig4177_4</v>
      </c>
      <c r="BY353" s="7">
        <v>4.9999999999999998E-73</v>
      </c>
      <c r="BZ353" t="s">
        <v>3284</v>
      </c>
      <c r="CA353">
        <v>274</v>
      </c>
      <c r="CB353">
        <v>368</v>
      </c>
      <c r="CC353">
        <v>483</v>
      </c>
      <c r="CD353">
        <v>86</v>
      </c>
      <c r="CE353">
        <v>76</v>
      </c>
      <c r="CF353">
        <v>39</v>
      </c>
      <c r="CG353">
        <v>0</v>
      </c>
      <c r="CH353">
        <v>16</v>
      </c>
      <c r="CI353">
        <v>1</v>
      </c>
      <c r="CJ353">
        <v>2</v>
      </c>
      <c r="CK353" t="s">
        <v>54</v>
      </c>
      <c r="CL353" t="s">
        <v>3286</v>
      </c>
      <c r="CM353">
        <f>HYPERLINK(".\links\GO\TI_asb-560-GO.txt",0.000000000000000003)</f>
        <v>2.9999999999999998E-18</v>
      </c>
      <c r="CN353" t="s">
        <v>1965</v>
      </c>
      <c r="CO353" t="s">
        <v>185</v>
      </c>
      <c r="CP353" t="s">
        <v>186</v>
      </c>
      <c r="CQ353" t="s">
        <v>1966</v>
      </c>
      <c r="CR353">
        <v>2E-3</v>
      </c>
      <c r="CS353" t="s">
        <v>3287</v>
      </c>
      <c r="CT353" t="s">
        <v>268</v>
      </c>
      <c r="CU353" t="s">
        <v>269</v>
      </c>
      <c r="CV353" t="s">
        <v>3288</v>
      </c>
      <c r="CW353">
        <v>2E-3</v>
      </c>
      <c r="CX353" t="s">
        <v>628</v>
      </c>
      <c r="CY353" t="s">
        <v>185</v>
      </c>
      <c r="CZ353" t="s">
        <v>186</v>
      </c>
      <c r="DA353" t="s">
        <v>629</v>
      </c>
      <c r="DB353">
        <v>2E-3</v>
      </c>
      <c r="DC353" t="str">
        <f>HYPERLINK(".\links\CDD\TI_asb-560-CDD.txt","TPR")</f>
        <v>TPR</v>
      </c>
      <c r="DD353" t="str">
        <f>HYPERLINK("http://www.ncbi.nlm.nih.gov/Structure/cdd/cddsrv.cgi?uid=cd00189&amp;version=v4.0","7E-006")</f>
        <v>7E-006</v>
      </c>
      <c r="DE353" t="s">
        <v>3289</v>
      </c>
      <c r="DF353" t="str">
        <f>HYPERLINK(".\links\PFAM\TI_asb-560-PFAM.txt","MIT")</f>
        <v>MIT</v>
      </c>
      <c r="DG353" t="str">
        <f>HYPERLINK("http://pfam.sanger.ac.uk/family?acc=PF04212","4E-004")</f>
        <v>4E-004</v>
      </c>
      <c r="DH353" t="str">
        <f>HYPERLINK(".\links\PRK\TI_asb-560-PRK.txt","NADH dehydrogenase subunit 4")</f>
        <v>NADH dehydrogenase subunit 4</v>
      </c>
      <c r="DI353" s="6">
        <v>0.06</v>
      </c>
      <c r="DJ353" s="6" t="str">
        <f>HYPERLINK(".\links\KOG\TI_asb-560-KOG.txt","TPR repeat-containing protein")</f>
        <v>TPR repeat-containing protein</v>
      </c>
      <c r="DK353" s="6" t="str">
        <f>HYPERLINK("http://www.ncbi.nlm.nih.gov/COG/grace/shokog.cgi?KOG4555","1E-025")</f>
        <v>1E-025</v>
      </c>
      <c r="DL353" s="6" t="s">
        <v>4347</v>
      </c>
      <c r="DM353" s="6" t="str">
        <f>HYPERLINK(".\links\KOG\TI_asb-560-KOG.txt","KOG4555")</f>
        <v>KOG4555</v>
      </c>
      <c r="DN353" t="str">
        <f>HYPERLINK(".\links\SMART\TI_asb-560-SMART.txt","TPR")</f>
        <v>TPR</v>
      </c>
      <c r="DO353" t="str">
        <f>HYPERLINK("http://smart.embl-heidelberg.de/smart/do_annotation.pl?DOMAIN=TPR&amp;BLAST=DUMMY","4E-005")</f>
        <v>4E-005</v>
      </c>
      <c r="DP353" s="3" t="s">
        <v>56</v>
      </c>
      <c r="ED353" s="3" t="s">
        <v>56</v>
      </c>
    </row>
    <row r="354" spans="1:147">
      <c r="A354" t="str">
        <f>HYPERLINK(".\links\seq\TI_asb-561-seq.txt","TI_asb-561")</f>
        <v>TI_asb-561</v>
      </c>
      <c r="B354">
        <v>561</v>
      </c>
      <c r="C354" t="str">
        <f>HYPERLINK(".\links\tsa\TI_asb-561-tsa.txt","1")</f>
        <v>1</v>
      </c>
      <c r="D354">
        <v>1</v>
      </c>
      <c r="E354">
        <v>759</v>
      </c>
      <c r="G354" t="str">
        <f>HYPERLINK(".\links\qual\TI_asb-561-qual.txt","32")</f>
        <v>32</v>
      </c>
      <c r="H354">
        <v>0</v>
      </c>
      <c r="I354">
        <v>1</v>
      </c>
      <c r="J354">
        <f t="shared" si="16"/>
        <v>1</v>
      </c>
      <c r="K354" s="6">
        <f t="shared" si="17"/>
        <v>-1</v>
      </c>
      <c r="L354" s="6" t="s">
        <v>4068</v>
      </c>
      <c r="M354" s="6" t="s">
        <v>3886</v>
      </c>
      <c r="N354" s="6" t="s">
        <v>3872</v>
      </c>
      <c r="O354" s="7">
        <v>6E-52</v>
      </c>
      <c r="P354" s="6">
        <v>101.1</v>
      </c>
      <c r="Q354" s="3">
        <v>759</v>
      </c>
      <c r="R354" s="3">
        <v>618</v>
      </c>
      <c r="S354" s="6" t="s">
        <v>3833</v>
      </c>
      <c r="T354" s="3">
        <v>3</v>
      </c>
      <c r="U354" t="str">
        <f>HYPERLINK(".\links\NR-LIGHT\TI_asb-561-NR-LIGHT.txt","hypothetical protein BRAFLDRAFT_122687")</f>
        <v>hypothetical protein BRAFLDRAFT_122687</v>
      </c>
      <c r="V354" t="str">
        <f>HYPERLINK("http://www.ncbi.nlm.nih.gov/sutils/blink.cgi?pid=260793432","3E-039")</f>
        <v>3E-039</v>
      </c>
      <c r="W354" t="str">
        <f>HYPERLINK(".\links\NR-LIGHT\TI_asb-561-NR-LIGHT.txt"," 10")</f>
        <v xml:space="preserve"> 10</v>
      </c>
      <c r="X354" t="str">
        <f>HYPERLINK("http://www.ncbi.nlm.nih.gov/protein/260793432","gi|260793432")</f>
        <v>gi|260793432</v>
      </c>
      <c r="Y354">
        <v>164</v>
      </c>
      <c r="Z354">
        <v>180</v>
      </c>
      <c r="AA354">
        <v>184</v>
      </c>
      <c r="AB354">
        <v>50</v>
      </c>
      <c r="AC354">
        <v>98</v>
      </c>
      <c r="AD354">
        <v>90</v>
      </c>
      <c r="AE354">
        <v>1</v>
      </c>
      <c r="AF354">
        <v>5</v>
      </c>
      <c r="AG354">
        <v>18</v>
      </c>
      <c r="AH354">
        <v>1</v>
      </c>
      <c r="AI354">
        <v>3</v>
      </c>
      <c r="AJ354" t="s">
        <v>53</v>
      </c>
      <c r="AK354" t="s">
        <v>54</v>
      </c>
      <c r="AL354" t="s">
        <v>2787</v>
      </c>
      <c r="AM354" t="str">
        <f>HYPERLINK(".\links\SWISSP\TI_asb-561-SWISSP.txt","Tetratricopeptide repeat protein 36 OS=Danio rerio GN=ttc36 PE=2 SV=1")</f>
        <v>Tetratricopeptide repeat protein 36 OS=Danio rerio GN=ttc36 PE=2 SV=1</v>
      </c>
      <c r="AN354" s="19" t="str">
        <f>HYPERLINK("http://www.uniprot.org/uniprot/A8E7I5","2E-038")</f>
        <v>2E-038</v>
      </c>
      <c r="AO354" t="str">
        <f>HYPERLINK(".\links\SWISSP\TI_asb-561-SWISSP.txt"," 10")</f>
        <v xml:space="preserve"> 10</v>
      </c>
      <c r="AP354" t="s">
        <v>3290</v>
      </c>
      <c r="AQ354">
        <v>159</v>
      </c>
      <c r="AR354">
        <v>183</v>
      </c>
      <c r="AS354">
        <v>187</v>
      </c>
      <c r="AT354">
        <v>47</v>
      </c>
      <c r="AU354">
        <v>98</v>
      </c>
      <c r="AV354">
        <v>96</v>
      </c>
      <c r="AW354">
        <v>2</v>
      </c>
      <c r="AX354">
        <v>3</v>
      </c>
      <c r="AY354">
        <v>12</v>
      </c>
      <c r="AZ354">
        <v>1</v>
      </c>
      <c r="BA354">
        <v>3</v>
      </c>
      <c r="BB354" t="s">
        <v>53</v>
      </c>
      <c r="BC354" t="s">
        <v>54</v>
      </c>
      <c r="BD354" t="s">
        <v>202</v>
      </c>
      <c r="BE354" t="s">
        <v>3291</v>
      </c>
      <c r="BF354" t="s">
        <v>3292</v>
      </c>
      <c r="BG354" t="str">
        <f>HYPERLINK(".\links\PREV-RHOD-PEP\TI_asb-561-PREV-RHOD-PEP.txt","Contig4177_4")</f>
        <v>Contig4177_4</v>
      </c>
      <c r="BH354" s="7">
        <v>3.0000000000000001E-72</v>
      </c>
      <c r="BI354" t="str">
        <f>HYPERLINK(".\links\PREV-RHOD-PEP\TI_asb-561-PREV-RHOD-PEP.txt"," 10")</f>
        <v xml:space="preserve"> 10</v>
      </c>
      <c r="BJ354" t="s">
        <v>3284</v>
      </c>
      <c r="BK354">
        <v>267</v>
      </c>
      <c r="BL354">
        <v>158</v>
      </c>
      <c r="BM354">
        <v>160</v>
      </c>
      <c r="BN354">
        <v>85</v>
      </c>
      <c r="BO354">
        <v>99</v>
      </c>
      <c r="BP354">
        <v>23</v>
      </c>
      <c r="BQ354">
        <v>0</v>
      </c>
      <c r="BR354">
        <v>2</v>
      </c>
      <c r="BS354">
        <v>3</v>
      </c>
      <c r="BT354">
        <v>1</v>
      </c>
      <c r="BU354" t="s">
        <v>54</v>
      </c>
      <c r="BV354" t="s">
        <v>3293</v>
      </c>
      <c r="BW354" t="s">
        <v>56</v>
      </c>
      <c r="BX354" t="str">
        <f>HYPERLINK(".\links\PREV-RHOD-CDS\TI_asb-561-PREV-RHOD-CDS.txt","Contig4177_4")</f>
        <v>Contig4177_4</v>
      </c>
      <c r="BY354" s="7">
        <v>9.9999999999999999E-119</v>
      </c>
      <c r="BZ354" t="s">
        <v>3284</v>
      </c>
      <c r="CA354">
        <v>424</v>
      </c>
      <c r="CB354">
        <v>425</v>
      </c>
      <c r="CC354">
        <v>483</v>
      </c>
      <c r="CD354">
        <v>87</v>
      </c>
      <c r="CE354">
        <v>88</v>
      </c>
      <c r="CF354">
        <v>53</v>
      </c>
      <c r="CG354">
        <v>0</v>
      </c>
      <c r="CH354">
        <v>46</v>
      </c>
      <c r="CI354">
        <v>45</v>
      </c>
      <c r="CJ354">
        <v>1</v>
      </c>
      <c r="CK354" t="s">
        <v>54</v>
      </c>
      <c r="CL354" t="s">
        <v>3286</v>
      </c>
      <c r="CM354">
        <f>HYPERLINK(".\links\GO\TI_asb-561-GO.txt",5E-39)</f>
        <v>4.9999999999999998E-39</v>
      </c>
      <c r="CN354" t="s">
        <v>1965</v>
      </c>
      <c r="CO354" t="s">
        <v>185</v>
      </c>
      <c r="CP354" t="s">
        <v>186</v>
      </c>
      <c r="CQ354" t="s">
        <v>1966</v>
      </c>
      <c r="CR354" s="6">
        <v>6.0000000000000002E-6</v>
      </c>
      <c r="CS354" t="s">
        <v>3287</v>
      </c>
      <c r="CT354" t="s">
        <v>268</v>
      </c>
      <c r="CU354" t="s">
        <v>269</v>
      </c>
      <c r="CV354" t="s">
        <v>3288</v>
      </c>
      <c r="CW354" s="6">
        <v>6.0000000000000002E-6</v>
      </c>
      <c r="CX354" t="s">
        <v>628</v>
      </c>
      <c r="CY354" t="s">
        <v>185</v>
      </c>
      <c r="CZ354" t="s">
        <v>186</v>
      </c>
      <c r="DA354" t="s">
        <v>629</v>
      </c>
      <c r="DB354" s="6">
        <v>6.0000000000000002E-6</v>
      </c>
      <c r="DC354" t="str">
        <f>HYPERLINK(".\links\CDD\TI_asb-561-CDD.txt","TPR")</f>
        <v>TPR</v>
      </c>
      <c r="DD354" t="str">
        <f>HYPERLINK("http://www.ncbi.nlm.nih.gov/Structure/cdd/cddsrv.cgi?uid=cd00189&amp;version=v4.0","4E-008")</f>
        <v>4E-008</v>
      </c>
      <c r="DE354" t="s">
        <v>3294</v>
      </c>
      <c r="DF354" t="str">
        <f>HYPERLINK(".\links\PFAM\TI_asb-561-PFAM.txt","7TM_GPCR_Srz")</f>
        <v>7TM_GPCR_Srz</v>
      </c>
      <c r="DG354" t="str">
        <f>HYPERLINK("http://pfam.sanger.ac.uk/family?acc=PF10325","4E-006")</f>
        <v>4E-006</v>
      </c>
      <c r="DH354" t="str">
        <f>HYPERLINK(".\links\PRK\TI_asb-561-PRK.txt","NADH dehydrogenase subunit 4")</f>
        <v>NADH dehydrogenase subunit 4</v>
      </c>
      <c r="DI354" s="7">
        <v>1.9999999999999999E-6</v>
      </c>
      <c r="DJ354" s="6" t="str">
        <f>HYPERLINK(".\links\KOG\TI_asb-561-KOG.txt","TPR repeat-containing protein")</f>
        <v>TPR repeat-containing protein</v>
      </c>
      <c r="DK354" s="6" t="str">
        <f>HYPERLINK("http://www.ncbi.nlm.nih.gov/COG/grace/shokog.cgi?KOG4555","6E-052")</f>
        <v>6E-052</v>
      </c>
      <c r="DL354" s="6" t="s">
        <v>4347</v>
      </c>
      <c r="DM354" s="6" t="str">
        <f>HYPERLINK(".\links\KOG\TI_asb-561-KOG.txt","KOG4555")</f>
        <v>KOG4555</v>
      </c>
      <c r="DN354" t="str">
        <f>HYPERLINK(".\links\SMART\TI_asb-561-SMART.txt","PSN")</f>
        <v>PSN</v>
      </c>
      <c r="DO354" t="str">
        <f>HYPERLINK("http://smart.embl-heidelberg.de/smart/do_annotation.pl?DOMAIN=PSN&amp;BLAST=DUMMY","2E-005")</f>
        <v>2E-005</v>
      </c>
      <c r="DP354" s="3" t="s">
        <v>56</v>
      </c>
      <c r="ED354" s="3" t="s">
        <v>56</v>
      </c>
    </row>
    <row r="355" spans="1:147">
      <c r="A355" t="str">
        <f>HYPERLINK(".\links\seq\TI_asb-562-seq.txt","TI_asb-562")</f>
        <v>TI_asb-562</v>
      </c>
      <c r="B355">
        <v>562</v>
      </c>
      <c r="C355" t="str">
        <f>HYPERLINK(".\links\tsa\TI_asb-562-tsa.txt","1")</f>
        <v>1</v>
      </c>
      <c r="D355">
        <v>1</v>
      </c>
      <c r="E355">
        <v>830</v>
      </c>
      <c r="F355">
        <v>807</v>
      </c>
      <c r="G355" t="str">
        <f>HYPERLINK(".\links\qual\TI_asb-562-qual.txt","47")</f>
        <v>47</v>
      </c>
      <c r="H355">
        <v>1</v>
      </c>
      <c r="I355">
        <v>0</v>
      </c>
      <c r="J355">
        <f t="shared" si="16"/>
        <v>1</v>
      </c>
      <c r="K355" s="6">
        <f t="shared" si="17"/>
        <v>1</v>
      </c>
      <c r="L355" s="6" t="s">
        <v>3868</v>
      </c>
      <c r="M355" s="6" t="s">
        <v>3869</v>
      </c>
      <c r="N355" s="6"/>
      <c r="O355" s="6"/>
      <c r="P355" s="6"/>
      <c r="Q355" s="3">
        <v>830</v>
      </c>
      <c r="R355" s="3">
        <v>669</v>
      </c>
      <c r="S355" s="3" t="s">
        <v>3834</v>
      </c>
      <c r="T355" s="3">
        <v>2</v>
      </c>
      <c r="U355" t="str">
        <f>HYPERLINK(".\links\NR-LIGHT\TI_asb-562-NR-LIGHT.txt","ACYPI37407")</f>
        <v>ACYPI37407</v>
      </c>
      <c r="V355" t="str">
        <f>HYPERLINK("http://www.ncbi.nlm.nih.gov/sutils/blink.cgi?pid=239789926","0.051")</f>
        <v>0.051</v>
      </c>
      <c r="W355" t="str">
        <f>HYPERLINK(".\links\NR-LIGHT\TI_asb-562-NR-LIGHT.txt"," 10")</f>
        <v xml:space="preserve"> 10</v>
      </c>
      <c r="X355" t="str">
        <f>HYPERLINK("http://www.ncbi.nlm.nih.gov/protein/239789926","gi|239789926")</f>
        <v>gi|239789926</v>
      </c>
      <c r="Y355">
        <v>40.799999999999997</v>
      </c>
      <c r="Z355">
        <v>159</v>
      </c>
      <c r="AA355">
        <v>214</v>
      </c>
      <c r="AB355">
        <v>23</v>
      </c>
      <c r="AC355">
        <v>74</v>
      </c>
      <c r="AD355">
        <v>122</v>
      </c>
      <c r="AE355">
        <v>5</v>
      </c>
      <c r="AF355">
        <v>21</v>
      </c>
      <c r="AG355">
        <v>206</v>
      </c>
      <c r="AH355">
        <v>1</v>
      </c>
      <c r="AI355">
        <v>2</v>
      </c>
      <c r="AJ355" t="s">
        <v>53</v>
      </c>
      <c r="AK355" t="s">
        <v>54</v>
      </c>
      <c r="AL355" t="s">
        <v>177</v>
      </c>
      <c r="AM355" t="str">
        <f>HYPERLINK(".\links\SWISSP\TI_asb-562-SWISSP.txt","Reticulocyte-binding protein PFD0110w OS=Plasmodium falciparum (isolate 3D7)")</f>
        <v>Reticulocyte-binding protein PFD0110w OS=Plasmodium falciparum (isolate 3D7)</v>
      </c>
      <c r="AN355" s="19" t="str">
        <f>HYPERLINK("http://www.uniprot.org/uniprot/P86148","0.48")</f>
        <v>0.48</v>
      </c>
      <c r="AO355" t="str">
        <f>HYPERLINK(".\links\SWISSP\TI_asb-562-SWISSP.txt"," 6")</f>
        <v xml:space="preserve"> 6</v>
      </c>
      <c r="AP355" t="s">
        <v>3295</v>
      </c>
      <c r="AQ355">
        <v>35.4</v>
      </c>
      <c r="AR355">
        <v>193</v>
      </c>
      <c r="AS355">
        <v>2971</v>
      </c>
      <c r="AT355">
        <v>20</v>
      </c>
      <c r="AU355">
        <v>6</v>
      </c>
      <c r="AV355">
        <v>153</v>
      </c>
      <c r="AW355">
        <v>20</v>
      </c>
      <c r="AX355">
        <v>1626</v>
      </c>
      <c r="AY355">
        <v>161</v>
      </c>
      <c r="AZ355">
        <v>1</v>
      </c>
      <c r="BA355">
        <v>2</v>
      </c>
      <c r="BB355" t="s">
        <v>53</v>
      </c>
      <c r="BC355" t="s">
        <v>54</v>
      </c>
      <c r="BD355" t="s">
        <v>1763</v>
      </c>
      <c r="BE355" t="s">
        <v>3296</v>
      </c>
      <c r="BF355" t="s">
        <v>3297</v>
      </c>
      <c r="BG355" t="str">
        <f>HYPERLINK(".\links\PREV-RHOD-PEP\TI_asb-562-PREV-RHOD-PEP.txt","Contig17710_43")</f>
        <v>Contig17710_43</v>
      </c>
      <c r="BH355" s="7">
        <v>3.9999999999999998E-75</v>
      </c>
      <c r="BI355" t="str">
        <f>HYPERLINK(".\links\PREV-RHOD-PEP\TI_asb-562-PREV-RHOD-PEP.txt"," 7")</f>
        <v xml:space="preserve"> 7</v>
      </c>
      <c r="BJ355" t="s">
        <v>3298</v>
      </c>
      <c r="BK355">
        <v>277</v>
      </c>
      <c r="BL355">
        <v>205</v>
      </c>
      <c r="BM355">
        <v>223</v>
      </c>
      <c r="BN355">
        <v>66</v>
      </c>
      <c r="BO355">
        <v>92</v>
      </c>
      <c r="BP355">
        <v>69</v>
      </c>
      <c r="BQ355">
        <v>2</v>
      </c>
      <c r="BR355">
        <v>3</v>
      </c>
      <c r="BS355">
        <v>110</v>
      </c>
      <c r="BT355">
        <v>1</v>
      </c>
      <c r="BU355" t="s">
        <v>54</v>
      </c>
      <c r="BV355" t="s">
        <v>3299</v>
      </c>
      <c r="BW355" t="s">
        <v>439</v>
      </c>
      <c r="BX355" t="str">
        <f>HYPERLINK(".\links\PREV-RHOD-CDS\TI_asb-562-PREV-RHOD-CDS.txt","Contig17710_43")</f>
        <v>Contig17710_43</v>
      </c>
      <c r="BY355" s="7">
        <v>1E-22</v>
      </c>
      <c r="BZ355" t="s">
        <v>3298</v>
      </c>
      <c r="CA355">
        <v>107</v>
      </c>
      <c r="CB355">
        <v>329</v>
      </c>
      <c r="CC355">
        <v>672</v>
      </c>
      <c r="CD355">
        <v>79</v>
      </c>
      <c r="CE355">
        <v>49</v>
      </c>
      <c r="CF355">
        <v>69</v>
      </c>
      <c r="CG355">
        <v>0</v>
      </c>
      <c r="CH355">
        <v>208</v>
      </c>
      <c r="CI355">
        <v>308</v>
      </c>
      <c r="CJ355">
        <v>1</v>
      </c>
      <c r="CK355" t="s">
        <v>54</v>
      </c>
      <c r="CL355" t="s">
        <v>3300</v>
      </c>
      <c r="CM355">
        <f>HYPERLINK(".\links\GO\TI_asb-562-GO.txt",0.047)</f>
        <v>4.7E-2</v>
      </c>
      <c r="CN355" t="s">
        <v>2141</v>
      </c>
      <c r="CO355" t="s">
        <v>185</v>
      </c>
      <c r="CP355" t="s">
        <v>222</v>
      </c>
      <c r="CQ355" t="s">
        <v>2142</v>
      </c>
      <c r="CR355">
        <v>4.7E-2</v>
      </c>
      <c r="CS355" t="s">
        <v>60</v>
      </c>
      <c r="CT355" t="s">
        <v>60</v>
      </c>
      <c r="CV355" t="s">
        <v>61</v>
      </c>
      <c r="CW355">
        <v>4.7E-2</v>
      </c>
      <c r="CX355" t="s">
        <v>881</v>
      </c>
      <c r="CY355" t="s">
        <v>185</v>
      </c>
      <c r="CZ355" t="s">
        <v>222</v>
      </c>
      <c r="DA355" t="s">
        <v>882</v>
      </c>
      <c r="DB355">
        <v>4.7E-2</v>
      </c>
      <c r="DC355" t="s">
        <v>56</v>
      </c>
      <c r="DD355" t="s">
        <v>56</v>
      </c>
      <c r="DE355" t="s">
        <v>56</v>
      </c>
      <c r="DF355" t="s">
        <v>56</v>
      </c>
      <c r="DG355" t="s">
        <v>56</v>
      </c>
      <c r="DH355" t="str">
        <f>HYPERLINK(".\links\PRK\TI_asb-562-PRK.txt","NADH dehydrogenase subunit 3")</f>
        <v>NADH dehydrogenase subunit 3</v>
      </c>
      <c r="DI355" s="6">
        <v>7.9000000000000001E-2</v>
      </c>
      <c r="DJ355" s="6" t="str">
        <f>HYPERLINK(".\links\KOG\TI_asb-562-KOG.txt","Protein kinase C substrate, 80 KD protein, heavy chain")</f>
        <v>Protein kinase C substrate, 80 KD protein, heavy chain</v>
      </c>
      <c r="DK355" s="6" t="str">
        <f>HYPERLINK("http://www.ncbi.nlm.nih.gov/COG/grace/shokog.cgi?KOG2397","0.077")</f>
        <v>0.077</v>
      </c>
      <c r="DL355" s="6" t="s">
        <v>4342</v>
      </c>
      <c r="DM355" s="6" t="str">
        <f>HYPERLINK(".\links\KOG\TI_asb-562-KOG.txt","KOG2397")</f>
        <v>KOG2397</v>
      </c>
      <c r="DN355" t="str">
        <f>HYPERLINK(".\links\SMART\TI_asb-562-SMART.txt","PKS_KS")</f>
        <v>PKS_KS</v>
      </c>
      <c r="DO355" t="str">
        <f>HYPERLINK("http://smart.embl-heidelberg.de/smart/do_annotation.pl?DOMAIN=PKS_KS&amp;BLAST=DUMMY","0.062")</f>
        <v>0.062</v>
      </c>
      <c r="DP355" s="3" t="s">
        <v>56</v>
      </c>
      <c r="ED355" s="3" t="s">
        <v>56</v>
      </c>
    </row>
    <row r="356" spans="1:147">
      <c r="A356" t="str">
        <f>HYPERLINK(".\links\seq\TI_asb-563-seq.txt","TI_asb-563")</f>
        <v>TI_asb-563</v>
      </c>
      <c r="B356">
        <v>563</v>
      </c>
      <c r="C356" t="str">
        <f>HYPERLINK(".\links\tsa\TI_asb-563-tsa.txt","1")</f>
        <v>1</v>
      </c>
      <c r="D356">
        <v>1</v>
      </c>
      <c r="E356">
        <v>504</v>
      </c>
      <c r="G356" t="str">
        <f>HYPERLINK(".\links\qual\TI_asb-563-qual.txt","40")</f>
        <v>40</v>
      </c>
      <c r="H356">
        <v>1</v>
      </c>
      <c r="I356">
        <v>0</v>
      </c>
      <c r="J356">
        <f t="shared" si="16"/>
        <v>1</v>
      </c>
      <c r="K356" s="6">
        <f t="shared" si="17"/>
        <v>1</v>
      </c>
      <c r="L356" s="6" t="s">
        <v>3868</v>
      </c>
      <c r="M356" s="6" t="s">
        <v>3869</v>
      </c>
      <c r="N356" s="6"/>
      <c r="O356" s="6"/>
      <c r="P356" s="6"/>
      <c r="Q356" s="3">
        <v>504</v>
      </c>
      <c r="R356" s="3">
        <v>288</v>
      </c>
      <c r="S356" s="3" t="s">
        <v>3835</v>
      </c>
      <c r="T356" s="3">
        <v>1</v>
      </c>
      <c r="U356" t="str">
        <f>HYPERLINK(".\links\NR-LIGHT\TI_asb-563-NR-LIGHT.txt","zinc finger protein GLI1")</f>
        <v>zinc finger protein GLI1</v>
      </c>
      <c r="V356" t="str">
        <f>HYPERLINK("http://www.ncbi.nlm.nih.gov/sutils/blink.cgi?pid=170035164","3.6")</f>
        <v>3.6</v>
      </c>
      <c r="W356" t="str">
        <f>HYPERLINK(".\links\NR-LIGHT\TI_asb-563-NR-LIGHT.txt"," 2")</f>
        <v xml:space="preserve"> 2</v>
      </c>
      <c r="X356" t="str">
        <f>HYPERLINK("http://www.ncbi.nlm.nih.gov/protein/170035164","gi|170035164")</f>
        <v>gi|170035164</v>
      </c>
      <c r="Y356">
        <v>33.1</v>
      </c>
      <c r="Z356">
        <v>40</v>
      </c>
      <c r="AA356">
        <v>670</v>
      </c>
      <c r="AB356">
        <v>37</v>
      </c>
      <c r="AC356">
        <v>6</v>
      </c>
      <c r="AD356">
        <v>25</v>
      </c>
      <c r="AE356">
        <v>0</v>
      </c>
      <c r="AF356">
        <v>176</v>
      </c>
      <c r="AG356">
        <v>19</v>
      </c>
      <c r="AH356">
        <v>1</v>
      </c>
      <c r="AI356">
        <v>-1</v>
      </c>
      <c r="AJ356" t="s">
        <v>53</v>
      </c>
      <c r="AK356" t="s">
        <v>64</v>
      </c>
      <c r="AL356" t="s">
        <v>111</v>
      </c>
      <c r="AM356" t="str">
        <f>HYPERLINK(".\links\SWISSP\TI_asb-563-SWISSP.txt","Soluble pyridine nucleotide transhydrogenase OS=Pseudomonas stutzeri (strain")</f>
        <v>Soluble pyridine nucleotide transhydrogenase OS=Pseudomonas stutzeri (strain</v>
      </c>
      <c r="AN356" s="19" t="str">
        <f>HYPERLINK("http://www.uniprot.org/uniprot/A4VMU6","4.5")</f>
        <v>4.5</v>
      </c>
      <c r="AO356" t="str">
        <f>HYPERLINK(".\links\SWISSP\TI_asb-563-SWISSP.txt"," 2")</f>
        <v xml:space="preserve"> 2</v>
      </c>
      <c r="AP356" t="s">
        <v>3301</v>
      </c>
      <c r="AQ356">
        <v>30.8</v>
      </c>
      <c r="AR356">
        <v>41</v>
      </c>
      <c r="AS356">
        <v>464</v>
      </c>
      <c r="AT356">
        <v>41</v>
      </c>
      <c r="AU356">
        <v>9</v>
      </c>
      <c r="AV356">
        <v>24</v>
      </c>
      <c r="AW356">
        <v>5</v>
      </c>
      <c r="AX356">
        <v>230</v>
      </c>
      <c r="AY356">
        <v>199</v>
      </c>
      <c r="AZ356">
        <v>1</v>
      </c>
      <c r="BA356">
        <v>1</v>
      </c>
      <c r="BB356" t="s">
        <v>53</v>
      </c>
      <c r="BC356" t="s">
        <v>54</v>
      </c>
      <c r="BD356" t="s">
        <v>3302</v>
      </c>
      <c r="BE356" t="s">
        <v>3303</v>
      </c>
      <c r="BF356" t="s">
        <v>3304</v>
      </c>
      <c r="BG356" t="str">
        <f>HYPERLINK(".\links\PREV-RHOD-PEP\TI_asb-563-PREV-RHOD-PEP.txt","Contig17710_43")</f>
        <v>Contig17710_43</v>
      </c>
      <c r="BH356" s="7">
        <v>3.9999999999999999E-48</v>
      </c>
      <c r="BI356" t="str">
        <f>HYPERLINK(".\links\PREV-RHOD-PEP\TI_asb-563-PREV-RHOD-PEP.txt"," 4")</f>
        <v xml:space="preserve"> 4</v>
      </c>
      <c r="BJ356" t="s">
        <v>3298</v>
      </c>
      <c r="BK356">
        <v>155</v>
      </c>
      <c r="BL356">
        <v>109</v>
      </c>
      <c r="BM356">
        <v>223</v>
      </c>
      <c r="BN356">
        <v>66</v>
      </c>
      <c r="BO356">
        <v>49</v>
      </c>
      <c r="BP356">
        <v>36</v>
      </c>
      <c r="BQ356">
        <v>0</v>
      </c>
      <c r="BR356">
        <v>3</v>
      </c>
      <c r="BS356">
        <v>44</v>
      </c>
      <c r="BT356">
        <v>2</v>
      </c>
      <c r="BU356" t="s">
        <v>54</v>
      </c>
      <c r="BV356" t="s">
        <v>3305</v>
      </c>
      <c r="BW356" t="s">
        <v>56</v>
      </c>
      <c r="BX356" t="str">
        <f>HYPERLINK(".\links\PREV-RHOD-CDS\TI_asb-563-PREV-RHOD-CDS.txt","Contig17710_43")</f>
        <v>Contig17710_43</v>
      </c>
      <c r="BY356" s="7">
        <v>2.9999999999999999E-19</v>
      </c>
      <c r="BZ356" t="s">
        <v>3298</v>
      </c>
      <c r="CA356">
        <v>95.6</v>
      </c>
      <c r="CB356">
        <v>354</v>
      </c>
      <c r="CC356">
        <v>672</v>
      </c>
      <c r="CD356">
        <v>80</v>
      </c>
      <c r="CE356">
        <v>53</v>
      </c>
      <c r="CF356">
        <v>41</v>
      </c>
      <c r="CG356">
        <v>0</v>
      </c>
      <c r="CH356">
        <v>65</v>
      </c>
      <c r="CI356">
        <v>99</v>
      </c>
      <c r="CJ356">
        <v>2</v>
      </c>
      <c r="CK356" t="s">
        <v>54</v>
      </c>
      <c r="CL356" t="s">
        <v>3306</v>
      </c>
      <c r="CM356">
        <f>HYPERLINK(".\links\GO\TI_asb-563-GO.txt",3)</f>
        <v>3</v>
      </c>
      <c r="CN356" t="s">
        <v>58</v>
      </c>
      <c r="CO356" t="s">
        <v>58</v>
      </c>
      <c r="CQ356" t="s">
        <v>59</v>
      </c>
      <c r="CR356" s="6">
        <v>3</v>
      </c>
      <c r="CS356" t="s">
        <v>1311</v>
      </c>
      <c r="CT356" t="s">
        <v>75</v>
      </c>
      <c r="CU356" t="s">
        <v>76</v>
      </c>
      <c r="CV356" t="s">
        <v>1312</v>
      </c>
      <c r="CW356" s="6">
        <v>3</v>
      </c>
      <c r="CX356" t="s">
        <v>1313</v>
      </c>
      <c r="CY356" t="s">
        <v>58</v>
      </c>
      <c r="DA356" t="s">
        <v>1314</v>
      </c>
      <c r="DB356" s="6">
        <v>3</v>
      </c>
      <c r="DC356" t="s">
        <v>56</v>
      </c>
      <c r="DD356" t="s">
        <v>56</v>
      </c>
      <c r="DE356" t="s">
        <v>56</v>
      </c>
      <c r="DF356" t="s">
        <v>56</v>
      </c>
      <c r="DG356" t="s">
        <v>56</v>
      </c>
      <c r="DH356" t="s">
        <v>56</v>
      </c>
      <c r="DI356" s="6" t="s">
        <v>56</v>
      </c>
      <c r="DJ356" s="6" t="s">
        <v>56</v>
      </c>
      <c r="DN356" t="str">
        <f>HYPERLINK(".\links\SMART\TI_asb-563-SMART.txt","PKS_KS")</f>
        <v>PKS_KS</v>
      </c>
      <c r="DO356" t="str">
        <f>HYPERLINK("http://smart.embl-heidelberg.de/smart/do_annotation.pl?DOMAIN=PKS_KS&amp;BLAST=DUMMY","0.040")</f>
        <v>0.040</v>
      </c>
      <c r="DP356" s="3" t="s">
        <v>56</v>
      </c>
      <c r="ED356" s="3" t="s">
        <v>56</v>
      </c>
    </row>
    <row r="357" spans="1:147">
      <c r="A357" t="str">
        <f>HYPERLINK(".\links\seq\TI_asb-564-seq.txt","TI_asb-564")</f>
        <v>TI_asb-564</v>
      </c>
      <c r="B357">
        <v>564</v>
      </c>
      <c r="C357" t="str">
        <f>HYPERLINK(".\links\tsa\TI_asb-564-tsa.txt","4")</f>
        <v>4</v>
      </c>
      <c r="D357">
        <v>4</v>
      </c>
      <c r="E357">
        <v>743</v>
      </c>
      <c r="F357">
        <v>717</v>
      </c>
      <c r="G357" t="str">
        <f>HYPERLINK(".\links\qual\TI_asb-564-qual.txt","79")</f>
        <v>79</v>
      </c>
      <c r="H357">
        <v>4</v>
      </c>
      <c r="I357">
        <v>0</v>
      </c>
      <c r="J357">
        <f t="shared" si="16"/>
        <v>4</v>
      </c>
      <c r="K357" s="6">
        <f t="shared" si="17"/>
        <v>4</v>
      </c>
      <c r="L357" s="6" t="s">
        <v>4069</v>
      </c>
      <c r="M357" s="6" t="s">
        <v>3863</v>
      </c>
      <c r="N357" s="6" t="s">
        <v>3864</v>
      </c>
      <c r="O357" s="6">
        <v>1.9999999999999999E-11</v>
      </c>
      <c r="P357" s="6">
        <v>82.4</v>
      </c>
      <c r="Q357" s="3">
        <v>743</v>
      </c>
      <c r="R357" s="3">
        <v>630</v>
      </c>
      <c r="S357" s="3" t="s">
        <v>3836</v>
      </c>
      <c r="T357" s="3">
        <v>1</v>
      </c>
      <c r="U357" t="str">
        <f>HYPERLINK(".\links\NR-LIGHT\TI_asb-564-NR-LIGHT.txt","rhodnius biogenic aminebinding-like protein")</f>
        <v>rhodnius biogenic aminebinding-like protein</v>
      </c>
      <c r="V357" t="str">
        <f>HYPERLINK("http://www.ncbi.nlm.nih.gov/sutils/blink.cgi?pid=307094890","2E-060")</f>
        <v>2E-060</v>
      </c>
      <c r="W357" t="str">
        <f>HYPERLINK(".\links\NR-LIGHT\TI_asb-564-NR-LIGHT.txt"," 10")</f>
        <v xml:space="preserve"> 10</v>
      </c>
      <c r="X357" t="str">
        <f>HYPERLINK("http://www.ncbi.nlm.nih.gov/protein/307094890","gi|307094890")</f>
        <v>gi|307094890</v>
      </c>
      <c r="Y357">
        <v>234</v>
      </c>
      <c r="Z357">
        <v>193</v>
      </c>
      <c r="AA357">
        <v>211</v>
      </c>
      <c r="AB357">
        <v>56</v>
      </c>
      <c r="AC357">
        <v>91</v>
      </c>
      <c r="AD357">
        <v>84</v>
      </c>
      <c r="AE357">
        <v>1</v>
      </c>
      <c r="AF357">
        <v>9</v>
      </c>
      <c r="AG357">
        <v>61</v>
      </c>
      <c r="AH357">
        <v>1</v>
      </c>
      <c r="AI357">
        <v>1</v>
      </c>
      <c r="AJ357" t="s">
        <v>53</v>
      </c>
      <c r="AK357" t="s">
        <v>54</v>
      </c>
      <c r="AL357" t="s">
        <v>258</v>
      </c>
      <c r="AM357" t="str">
        <f>HYPERLINK(".\links\SWISSP\TI_asb-564-SWISSP.txt","Apolipoprotein D OS=Macaca fascicularis GN=APOD PE=2 SV=1")</f>
        <v>Apolipoprotein D OS=Macaca fascicularis GN=APOD PE=2 SV=1</v>
      </c>
      <c r="AN357" s="19" t="str">
        <f>HYPERLINK("http://www.uniprot.org/uniprot/Q8SPI0","2E-005")</f>
        <v>2E-005</v>
      </c>
      <c r="AO357" t="str">
        <f>HYPERLINK(".\links\SWISSP\TI_asb-564-SWISSP.txt"," 10")</f>
        <v xml:space="preserve"> 10</v>
      </c>
      <c r="AP357" t="s">
        <v>2448</v>
      </c>
      <c r="AQ357">
        <v>49.7</v>
      </c>
      <c r="AR357">
        <v>203</v>
      </c>
      <c r="AS357">
        <v>189</v>
      </c>
      <c r="AT357">
        <v>24</v>
      </c>
      <c r="AU357">
        <v>107</v>
      </c>
      <c r="AV357">
        <v>153</v>
      </c>
      <c r="AW357">
        <v>10</v>
      </c>
      <c r="AX357">
        <v>5</v>
      </c>
      <c r="AY357">
        <v>58</v>
      </c>
      <c r="AZ357">
        <v>1</v>
      </c>
      <c r="BA357">
        <v>1</v>
      </c>
      <c r="BB357" t="s">
        <v>53</v>
      </c>
      <c r="BC357" t="s">
        <v>54</v>
      </c>
      <c r="BD357" t="s">
        <v>2449</v>
      </c>
      <c r="BE357" t="s">
        <v>3307</v>
      </c>
      <c r="BF357" t="s">
        <v>3308</v>
      </c>
      <c r="BG357" t="str">
        <f>HYPERLINK(".\links\PREV-RHOD-PEP\TI_asb-564-PREV-RHOD-PEP.txt","Contig1709_3")</f>
        <v>Contig1709_3</v>
      </c>
      <c r="BH357" s="7">
        <v>7.0000000000000005E-55</v>
      </c>
      <c r="BI357" t="str">
        <f>HYPERLINK(".\links\PREV-RHOD-PEP\TI_asb-564-PREV-RHOD-PEP.txt"," 10")</f>
        <v xml:space="preserve"> 10</v>
      </c>
      <c r="BJ357" t="s">
        <v>3309</v>
      </c>
      <c r="BK357">
        <v>209</v>
      </c>
      <c r="BL357">
        <v>198</v>
      </c>
      <c r="BM357">
        <v>206</v>
      </c>
      <c r="BN357">
        <v>47</v>
      </c>
      <c r="BO357">
        <v>96</v>
      </c>
      <c r="BP357">
        <v>103</v>
      </c>
      <c r="BQ357">
        <v>2</v>
      </c>
      <c r="BR357">
        <v>6</v>
      </c>
      <c r="BS357">
        <v>52</v>
      </c>
      <c r="BT357">
        <v>1</v>
      </c>
      <c r="BU357" t="s">
        <v>54</v>
      </c>
      <c r="BV357" t="s">
        <v>3310</v>
      </c>
      <c r="BW357" t="s">
        <v>56</v>
      </c>
      <c r="BX357" t="str">
        <f>HYPERLINK(".\links\PREV-RHOD-CDS\TI_asb-564-PREV-RHOD-CDS.txt","Contig17600_6")</f>
        <v>Contig17600_6</v>
      </c>
      <c r="BY357" s="6">
        <v>0.37</v>
      </c>
      <c r="BZ357" t="s">
        <v>3311</v>
      </c>
      <c r="CA357">
        <v>36.200000000000003</v>
      </c>
      <c r="CB357">
        <v>17</v>
      </c>
      <c r="CC357">
        <v>180</v>
      </c>
      <c r="CD357">
        <v>100</v>
      </c>
      <c r="CE357">
        <v>10</v>
      </c>
      <c r="CF357">
        <v>0</v>
      </c>
      <c r="CG357">
        <v>0</v>
      </c>
      <c r="CH357">
        <v>112</v>
      </c>
      <c r="CI357">
        <v>574</v>
      </c>
      <c r="CJ357">
        <v>1</v>
      </c>
      <c r="CK357" t="s">
        <v>54</v>
      </c>
      <c r="CL357" t="s">
        <v>2454</v>
      </c>
      <c r="CM357">
        <f>HYPERLINK(".\links\GO\TI_asb-564-GO.txt",0.067)</f>
        <v>6.7000000000000004E-2</v>
      </c>
      <c r="CN357" t="s">
        <v>337</v>
      </c>
      <c r="CO357" t="s">
        <v>185</v>
      </c>
      <c r="CP357" t="s">
        <v>338</v>
      </c>
      <c r="CQ357" t="s">
        <v>339</v>
      </c>
      <c r="CR357">
        <v>0.96</v>
      </c>
      <c r="CS357" t="s">
        <v>3312</v>
      </c>
      <c r="CT357" t="s">
        <v>268</v>
      </c>
      <c r="CU357" t="s">
        <v>269</v>
      </c>
      <c r="CV357" t="s">
        <v>3313</v>
      </c>
      <c r="CW357" s="6">
        <v>0.96</v>
      </c>
      <c r="CX357" t="s">
        <v>3314</v>
      </c>
      <c r="CY357" t="s">
        <v>185</v>
      </c>
      <c r="CZ357" t="s">
        <v>338</v>
      </c>
      <c r="DA357" t="s">
        <v>3315</v>
      </c>
      <c r="DB357">
        <v>0.96</v>
      </c>
      <c r="DC357" t="str">
        <f>HYPERLINK(".\links\CDD\TI_asb-564-CDD.txt","Nitrophorin")</f>
        <v>Nitrophorin</v>
      </c>
      <c r="DD357" t="str">
        <f>HYPERLINK("http://www.ncbi.nlm.nih.gov/Structure/cdd/cddsrv.cgi?uid=pfam02087&amp;version=v4.0","5E-007")</f>
        <v>5E-007</v>
      </c>
      <c r="DE357" t="s">
        <v>3316</v>
      </c>
      <c r="DF357" t="str">
        <f>HYPERLINK(".\links\PFAM\TI_asb-564-PFAM.txt","Nitrophorin")</f>
        <v>Nitrophorin</v>
      </c>
      <c r="DG357" t="str">
        <f>HYPERLINK("http://pfam.sanger.ac.uk/family?acc=PF02087","1E-006")</f>
        <v>1E-006</v>
      </c>
      <c r="DH357" t="str">
        <f>HYPERLINK(".\links\PRK\TI_asb-564-PRK.txt","NADH dehydrogenase subunit 5")</f>
        <v>NADH dehydrogenase subunit 5</v>
      </c>
      <c r="DI357" s="7">
        <v>5.9999999999999995E-4</v>
      </c>
      <c r="DJ357" s="6" t="s">
        <v>56</v>
      </c>
      <c r="DN357" t="str">
        <f>HYPERLINK(".\links\SMART\TI_asb-564-SMART.txt","PSN")</f>
        <v>PSN</v>
      </c>
      <c r="DO357" t="str">
        <f>HYPERLINK("http://smart.embl-heidelberg.de/smart/do_annotation.pl?DOMAIN=PSN&amp;BLAST=DUMMY","0.020")</f>
        <v>0.020</v>
      </c>
      <c r="DP357" s="3" t="s">
        <v>56</v>
      </c>
      <c r="ED357" s="3" t="s">
        <v>56</v>
      </c>
    </row>
    <row r="358" spans="1:147">
      <c r="A358" t="str">
        <f>HYPERLINK(".\links\seq\TI_asb-565-seq.txt","TI_asb-565")</f>
        <v>TI_asb-565</v>
      </c>
      <c r="B358">
        <v>565</v>
      </c>
      <c r="C358" t="str">
        <f>HYPERLINK(".\links\tsa\TI_asb-565-tsa.txt","4")</f>
        <v>4</v>
      </c>
      <c r="D358">
        <v>4</v>
      </c>
      <c r="E358">
        <v>590</v>
      </c>
      <c r="G358" t="str">
        <f>HYPERLINK(".\links\qual\TI_asb-565-qual.txt","84")</f>
        <v>84</v>
      </c>
      <c r="H358">
        <v>4</v>
      </c>
      <c r="I358">
        <v>0</v>
      </c>
      <c r="J358">
        <f t="shared" si="16"/>
        <v>4</v>
      </c>
      <c r="K358" s="6">
        <f t="shared" si="17"/>
        <v>4</v>
      </c>
      <c r="L358" s="6" t="s">
        <v>4070</v>
      </c>
      <c r="M358" s="6" t="s">
        <v>3886</v>
      </c>
      <c r="N358" s="6" t="s">
        <v>3864</v>
      </c>
      <c r="O358" s="7">
        <v>9.9999999999999997E-48</v>
      </c>
      <c r="P358" s="6">
        <v>84.8</v>
      </c>
      <c r="Q358" s="3">
        <v>590</v>
      </c>
      <c r="R358" s="3">
        <v>588</v>
      </c>
      <c r="S358" s="3" t="s">
        <v>3837</v>
      </c>
      <c r="T358" s="3">
        <v>1</v>
      </c>
      <c r="U358" t="str">
        <f>HYPERLINK(".\links\NR-LIGHT\TI_asb-565-NR-LIGHT.txt","rhodnius biogenic aminebinding-like protein")</f>
        <v>rhodnius biogenic aminebinding-like protein</v>
      </c>
      <c r="V358" t="str">
        <f>HYPERLINK("http://www.ncbi.nlm.nih.gov/sutils/blink.cgi?pid=307094890","1E-047")</f>
        <v>1E-047</v>
      </c>
      <c r="W358" t="str">
        <f>HYPERLINK(".\links\NR-LIGHT\TI_asb-565-NR-LIGHT.txt"," 10")</f>
        <v xml:space="preserve"> 10</v>
      </c>
      <c r="X358" t="str">
        <f>HYPERLINK("http://www.ncbi.nlm.nih.gov/protein/307094890","gi|307094890")</f>
        <v>gi|307094890</v>
      </c>
      <c r="Y358">
        <v>191</v>
      </c>
      <c r="Z358">
        <v>179</v>
      </c>
      <c r="AA358">
        <v>211</v>
      </c>
      <c r="AB358">
        <v>53</v>
      </c>
      <c r="AC358">
        <v>85</v>
      </c>
      <c r="AD358">
        <v>84</v>
      </c>
      <c r="AE358">
        <v>2</v>
      </c>
      <c r="AF358">
        <v>1</v>
      </c>
      <c r="AG358">
        <v>58</v>
      </c>
      <c r="AH358">
        <v>1</v>
      </c>
      <c r="AI358">
        <v>1</v>
      </c>
      <c r="AJ358" t="s">
        <v>53</v>
      </c>
      <c r="AK358" t="s">
        <v>54</v>
      </c>
      <c r="AL358" t="s">
        <v>258</v>
      </c>
      <c r="AM358" t="str">
        <f>HYPERLINK(".\links\SWISSP\TI_asb-565-SWISSP.txt","Crustacyanin-A2 subunit OS=Homarus gammarus PE=1 SV=1")</f>
        <v>Crustacyanin-A2 subunit OS=Homarus gammarus PE=1 SV=1</v>
      </c>
      <c r="AN358" s="19" t="str">
        <f>HYPERLINK("http://www.uniprot.org/uniprot/P80007","0.001")</f>
        <v>0.001</v>
      </c>
      <c r="AO358" t="str">
        <f>HYPERLINK(".\links\SWISSP\TI_asb-565-SWISSP.txt"," 10")</f>
        <v xml:space="preserve"> 10</v>
      </c>
      <c r="AP358" t="s">
        <v>3317</v>
      </c>
      <c r="AQ358">
        <v>43.1</v>
      </c>
      <c r="AR358">
        <v>134</v>
      </c>
      <c r="AS358">
        <v>174</v>
      </c>
      <c r="AT358">
        <v>22</v>
      </c>
      <c r="AU358">
        <v>77</v>
      </c>
      <c r="AV358">
        <v>104</v>
      </c>
      <c r="AW358">
        <v>0</v>
      </c>
      <c r="AX358">
        <v>11</v>
      </c>
      <c r="AY358">
        <v>127</v>
      </c>
      <c r="AZ358">
        <v>1</v>
      </c>
      <c r="BA358">
        <v>1</v>
      </c>
      <c r="BB358" t="s">
        <v>53</v>
      </c>
      <c r="BC358" t="s">
        <v>54</v>
      </c>
      <c r="BD358" t="s">
        <v>3318</v>
      </c>
      <c r="BE358" t="s">
        <v>3319</v>
      </c>
      <c r="BF358" t="s">
        <v>3320</v>
      </c>
      <c r="BG358" t="str">
        <f>HYPERLINK(".\links\PREV-RHOD-PEP\TI_asb-565-PREV-RHOD-PEP.txt","Contig1709_3")</f>
        <v>Contig1709_3</v>
      </c>
      <c r="BH358" s="7">
        <v>3.9999999999999999E-45</v>
      </c>
      <c r="BI358" t="str">
        <f>HYPERLINK(".\links\PREV-RHOD-PEP\TI_asb-565-PREV-RHOD-PEP.txt"," 10")</f>
        <v xml:space="preserve"> 10</v>
      </c>
      <c r="BJ358" t="s">
        <v>3309</v>
      </c>
      <c r="BK358">
        <v>177</v>
      </c>
      <c r="BL358">
        <v>168</v>
      </c>
      <c r="BM358">
        <v>206</v>
      </c>
      <c r="BN358">
        <v>50</v>
      </c>
      <c r="BO358">
        <v>82</v>
      </c>
      <c r="BP358">
        <v>84</v>
      </c>
      <c r="BQ358">
        <v>1</v>
      </c>
      <c r="BR358">
        <v>2</v>
      </c>
      <c r="BS358">
        <v>58</v>
      </c>
      <c r="BT358">
        <v>1</v>
      </c>
      <c r="BU358" t="s">
        <v>54</v>
      </c>
      <c r="BV358" t="s">
        <v>3321</v>
      </c>
      <c r="BW358" t="s">
        <v>56</v>
      </c>
      <c r="BX358" t="str">
        <f>HYPERLINK(".\links\PREV-RHOD-CDS\TI_asb-565-PREV-RHOD-CDS.txt","Contig1709_3")</f>
        <v>Contig1709_3</v>
      </c>
      <c r="BY358" s="6">
        <v>5.0000000000000001E-3</v>
      </c>
      <c r="BZ358" t="s">
        <v>3309</v>
      </c>
      <c r="CA358">
        <v>42.1</v>
      </c>
      <c r="CB358">
        <v>171</v>
      </c>
      <c r="CC358">
        <v>621</v>
      </c>
      <c r="CD358">
        <v>84</v>
      </c>
      <c r="CE358">
        <v>28</v>
      </c>
      <c r="CF358">
        <v>8</v>
      </c>
      <c r="CG358">
        <v>0</v>
      </c>
      <c r="CH358">
        <v>222</v>
      </c>
      <c r="CI358">
        <v>276</v>
      </c>
      <c r="CJ358">
        <v>2</v>
      </c>
      <c r="CK358" t="s">
        <v>54</v>
      </c>
      <c r="CL358" t="s">
        <v>2454</v>
      </c>
      <c r="CM358">
        <f>HYPERLINK(".\links\GO\TI_asb-565-GO.txt",0.034)</f>
        <v>3.4000000000000002E-2</v>
      </c>
      <c r="CN358" t="s">
        <v>58</v>
      </c>
      <c r="CO358" t="s">
        <v>58</v>
      </c>
      <c r="CQ358" t="s">
        <v>59</v>
      </c>
      <c r="CR358" s="6">
        <v>0.49</v>
      </c>
      <c r="CS358" t="s">
        <v>105</v>
      </c>
      <c r="CT358" t="s">
        <v>75</v>
      </c>
      <c r="CU358" t="s">
        <v>106</v>
      </c>
      <c r="CV358" t="s">
        <v>107</v>
      </c>
      <c r="CW358" s="6">
        <v>0.49</v>
      </c>
      <c r="CX358" t="s">
        <v>2126</v>
      </c>
      <c r="CY358" t="s">
        <v>58</v>
      </c>
      <c r="DA358" t="s">
        <v>2127</v>
      </c>
      <c r="DB358" s="6">
        <v>0.49</v>
      </c>
      <c r="DC358" t="str">
        <f>HYPERLINK(".\links\CDD\TI_asb-565-CDD.txt","Nitrophorin")</f>
        <v>Nitrophorin</v>
      </c>
      <c r="DD358" t="str">
        <f>HYPERLINK("http://www.ncbi.nlm.nih.gov/Structure/cdd/cddsrv.cgi?uid=pfam02087&amp;version=v4.0","1E-005")</f>
        <v>1E-005</v>
      </c>
      <c r="DE358" t="s">
        <v>3322</v>
      </c>
      <c r="DF358" t="str">
        <f>HYPERLINK(".\links\PFAM\TI_asb-565-PFAM.txt","Nitrophorin")</f>
        <v>Nitrophorin</v>
      </c>
      <c r="DG358" t="str">
        <f>HYPERLINK("http://pfam.sanger.ac.uk/family?acc=PF02087","4E-006")</f>
        <v>4E-006</v>
      </c>
      <c r="DH358" t="s">
        <v>56</v>
      </c>
      <c r="DI358" s="6" t="s">
        <v>56</v>
      </c>
      <c r="DJ358" s="6" t="s">
        <v>56</v>
      </c>
      <c r="DN358" t="s">
        <v>56</v>
      </c>
      <c r="DO358" t="s">
        <v>56</v>
      </c>
      <c r="DP358" s="3" t="s">
        <v>56</v>
      </c>
      <c r="ED358" s="3" t="s">
        <v>56</v>
      </c>
    </row>
    <row r="359" spans="1:147">
      <c r="A359" t="str">
        <f>HYPERLINK(".\links\seq\TI_asb-566-seq.txt","TI_asb-566")</f>
        <v>TI_asb-566</v>
      </c>
      <c r="B359">
        <v>566</v>
      </c>
      <c r="C359" s="49" t="str">
        <f>HYPERLINK(".\links\tsa\TI_asb-566-tsa.txt","1")</f>
        <v>1</v>
      </c>
      <c r="D359">
        <v>2</v>
      </c>
      <c r="E359">
        <v>639</v>
      </c>
      <c r="G359" t="str">
        <f>HYPERLINK(".\links\qual\TI_asb-566-qual.txt","62")</f>
        <v>62</v>
      </c>
      <c r="H359">
        <v>0</v>
      </c>
      <c r="I359">
        <v>1</v>
      </c>
      <c r="J359">
        <f t="shared" si="16"/>
        <v>1</v>
      </c>
      <c r="K359" s="6">
        <f t="shared" si="17"/>
        <v>-1</v>
      </c>
      <c r="L359" s="6" t="s">
        <v>4037</v>
      </c>
      <c r="M359" s="6" t="s">
        <v>3984</v>
      </c>
      <c r="N359" s="6" t="s">
        <v>3867</v>
      </c>
      <c r="O359" s="7">
        <v>1E-52</v>
      </c>
      <c r="P359" s="6">
        <v>46.8</v>
      </c>
      <c r="Q359" s="3">
        <v>639</v>
      </c>
      <c r="R359" s="3">
        <v>630</v>
      </c>
      <c r="S359" s="3" t="s">
        <v>3838</v>
      </c>
      <c r="T359" s="3">
        <v>2</v>
      </c>
      <c r="U359" t="str">
        <f>HYPERLINK(".\links\NR-LIGHT\TI_asb-566-NR-LIGHT.txt","cathepsin D")</f>
        <v>cathepsin D</v>
      </c>
      <c r="V359" t="str">
        <f>HYPERLINK("http://www.ncbi.nlm.nih.gov/sutils/blink.cgi?pid=301030231","5E-050")</f>
        <v>5E-050</v>
      </c>
      <c r="W359" t="str">
        <f>HYPERLINK(".\links\NR-LIGHT\TI_asb-566-NR-LIGHT.txt"," 10")</f>
        <v xml:space="preserve"> 10</v>
      </c>
      <c r="X359" t="str">
        <f>HYPERLINK("http://www.ncbi.nlm.nih.gov/protein/301030231","gi|301030231")</f>
        <v>gi|301030231</v>
      </c>
      <c r="Y359">
        <v>199</v>
      </c>
      <c r="Z359">
        <v>194</v>
      </c>
      <c r="AA359">
        <v>390</v>
      </c>
      <c r="AB359">
        <v>52</v>
      </c>
      <c r="AC359">
        <v>50</v>
      </c>
      <c r="AD359">
        <v>92</v>
      </c>
      <c r="AE359">
        <v>0</v>
      </c>
      <c r="AF359">
        <v>23</v>
      </c>
      <c r="AG359">
        <v>56</v>
      </c>
      <c r="AH359">
        <v>1</v>
      </c>
      <c r="AI359">
        <v>2</v>
      </c>
      <c r="AJ359" t="s">
        <v>53</v>
      </c>
      <c r="AK359" t="s">
        <v>54</v>
      </c>
      <c r="AL359" t="s">
        <v>55</v>
      </c>
      <c r="AM359" t="str">
        <f>HYPERLINK(".\links\SWISSP\TI_asb-566-SWISSP.txt","Cathepsin D OS=Gallus gallus GN=CTSD PE=1 SV=1")</f>
        <v>Cathepsin D OS=Gallus gallus GN=CTSD PE=1 SV=1</v>
      </c>
      <c r="AN359" s="19" t="str">
        <f>HYPERLINK("http://www.uniprot.org/uniprot/Q05744","8E-042")</f>
        <v>8E-042</v>
      </c>
      <c r="AO359" t="str">
        <f>HYPERLINK(".\links\SWISSP\TI_asb-566-SWISSP.txt"," 10")</f>
        <v xml:space="preserve"> 10</v>
      </c>
      <c r="AP359" t="s">
        <v>158</v>
      </c>
      <c r="AQ359">
        <v>170</v>
      </c>
      <c r="AR359">
        <v>156</v>
      </c>
      <c r="AS359">
        <v>398</v>
      </c>
      <c r="AT359">
        <v>51</v>
      </c>
      <c r="AU359">
        <v>39</v>
      </c>
      <c r="AV359">
        <v>76</v>
      </c>
      <c r="AW359">
        <v>1</v>
      </c>
      <c r="AX359">
        <v>68</v>
      </c>
      <c r="AY359">
        <v>173</v>
      </c>
      <c r="AZ359">
        <v>1</v>
      </c>
      <c r="BA359">
        <v>2</v>
      </c>
      <c r="BB359" t="s">
        <v>53</v>
      </c>
      <c r="BC359" t="s">
        <v>54</v>
      </c>
      <c r="BD359" t="s">
        <v>159</v>
      </c>
      <c r="BE359" t="s">
        <v>3323</v>
      </c>
      <c r="BF359" t="s">
        <v>3324</v>
      </c>
      <c r="BG359" t="str">
        <f>HYPERLINK(".\links\PREV-RHOD-PEP\TI_asb-566-PREV-RHOD-PEP.txt","Contig808_2")</f>
        <v>Contig808_2</v>
      </c>
      <c r="BH359" s="7">
        <v>8.9999999999999997E-82</v>
      </c>
      <c r="BI359" t="str">
        <f>HYPERLINK(".\links\PREV-RHOD-PEP\TI_asb-566-PREV-RHOD-PEP.txt"," 10")</f>
        <v xml:space="preserve"> 10</v>
      </c>
      <c r="BJ359" t="s">
        <v>3325</v>
      </c>
      <c r="BK359">
        <v>298</v>
      </c>
      <c r="BL359">
        <v>201</v>
      </c>
      <c r="BM359">
        <v>628</v>
      </c>
      <c r="BN359">
        <v>71</v>
      </c>
      <c r="BO359">
        <v>32</v>
      </c>
      <c r="BP359">
        <v>58</v>
      </c>
      <c r="BQ359">
        <v>0</v>
      </c>
      <c r="BR359">
        <v>15</v>
      </c>
      <c r="BS359">
        <v>35</v>
      </c>
      <c r="BT359">
        <v>2</v>
      </c>
      <c r="BU359" t="s">
        <v>54</v>
      </c>
      <c r="BV359" t="s">
        <v>3326</v>
      </c>
      <c r="BW359" t="s">
        <v>56</v>
      </c>
      <c r="BX359" t="str">
        <f>HYPERLINK(".\links\PREV-RHOD-CDS\TI_asb-566-PREV-RHOD-CDS.txt","Contig808_2")</f>
        <v>Contig808_2</v>
      </c>
      <c r="BY359" s="7">
        <v>1.9999999999999999E-36</v>
      </c>
      <c r="BZ359" t="s">
        <v>3325</v>
      </c>
      <c r="CA359">
        <v>153</v>
      </c>
      <c r="CB359">
        <v>476</v>
      </c>
      <c r="CC359">
        <v>1887</v>
      </c>
      <c r="CD359">
        <v>79</v>
      </c>
      <c r="CE359">
        <v>25</v>
      </c>
      <c r="CF359">
        <v>100</v>
      </c>
      <c r="CG359">
        <v>0</v>
      </c>
      <c r="CH359">
        <v>171</v>
      </c>
      <c r="CI359">
        <v>163</v>
      </c>
      <c r="CJ359">
        <v>1</v>
      </c>
      <c r="CK359" t="s">
        <v>54</v>
      </c>
      <c r="CL359" t="s">
        <v>2528</v>
      </c>
      <c r="CM359">
        <f>HYPERLINK(".\links\GO\TI_asb-566-GO.txt",6E-43)</f>
        <v>6.0000000000000001E-43</v>
      </c>
      <c r="CN359" t="s">
        <v>165</v>
      </c>
      <c r="CO359" t="s">
        <v>129</v>
      </c>
      <c r="CP359" t="s">
        <v>166</v>
      </c>
      <c r="CQ359" t="s">
        <v>167</v>
      </c>
      <c r="CR359" s="7">
        <v>3.9999999999999997E-40</v>
      </c>
      <c r="CS359" t="s">
        <v>1225</v>
      </c>
      <c r="CT359" t="s">
        <v>75</v>
      </c>
      <c r="CU359" t="s">
        <v>76</v>
      </c>
      <c r="CV359" t="s">
        <v>1226</v>
      </c>
      <c r="CW359" s="7">
        <v>3.9999999999999997E-40</v>
      </c>
      <c r="CX359" t="s">
        <v>301</v>
      </c>
      <c r="CY359" t="s">
        <v>129</v>
      </c>
      <c r="CZ359" t="s">
        <v>166</v>
      </c>
      <c r="DA359" t="s">
        <v>302</v>
      </c>
      <c r="DB359" s="7">
        <v>3.9999999999999997E-40</v>
      </c>
      <c r="DC359" t="str">
        <f>HYPERLINK(".\links\CDD\TI_asb-566-CDD.txt","Asp")</f>
        <v>Asp</v>
      </c>
      <c r="DD359" t="str">
        <f>HYPERLINK("http://www.ncbi.nlm.nih.gov/Structure/cdd/cddsrv.cgi?uid=pfam00026&amp;version=v4.0","3E-047")</f>
        <v>3E-047</v>
      </c>
      <c r="DE359" t="s">
        <v>3327</v>
      </c>
      <c r="DF359" t="str">
        <f>HYPERLINK(".\links\PFAM\TI_asb-566-PFAM.txt","Asp")</f>
        <v>Asp</v>
      </c>
      <c r="DG359" t="str">
        <f>HYPERLINK("http://pfam.sanger.ac.uk/family?acc=PF00026","1E-052")</f>
        <v>1E-052</v>
      </c>
      <c r="DH359" t="str">
        <f>HYPERLINK(".\links\PRK\TI_asb-566-PRK.txt","aspartyl protease")</f>
        <v>aspartyl protease</v>
      </c>
      <c r="DI359" s="7">
        <v>2.0000000000000001E-33</v>
      </c>
      <c r="DJ359" s="6" t="str">
        <f>HYPERLINK(".\links\KOG\TI_asb-566-KOG.txt","Aspartyl protease")</f>
        <v>Aspartyl protease</v>
      </c>
      <c r="DK359" s="6" t="str">
        <f>HYPERLINK("http://www.ncbi.nlm.nih.gov/COG/grace/shokog.cgi?KOG1339","2E-030")</f>
        <v>2E-030</v>
      </c>
      <c r="DL359" s="6" t="s">
        <v>4340</v>
      </c>
      <c r="DM359" s="6" t="str">
        <f>HYPERLINK(".\links\KOG\TI_asb-566-KOG.txt","KOG1339")</f>
        <v>KOG1339</v>
      </c>
      <c r="DN359" t="s">
        <v>56</v>
      </c>
      <c r="DO359" t="s">
        <v>56</v>
      </c>
      <c r="DP359" s="3" t="s">
        <v>56</v>
      </c>
      <c r="ED359" s="3" t="s">
        <v>56</v>
      </c>
    </row>
    <row r="360" spans="1:147">
      <c r="A360" t="str">
        <f>HYPERLINK(".\links\seq\TI_asb-567-seq.txt","TI_asb-567")</f>
        <v>TI_asb-567</v>
      </c>
      <c r="B360">
        <v>567</v>
      </c>
      <c r="C360" t="str">
        <f>HYPERLINK(".\links\tsa\TI_asb-567-tsa.txt","1")</f>
        <v>1</v>
      </c>
      <c r="D360">
        <v>1</v>
      </c>
      <c r="E360">
        <v>962</v>
      </c>
      <c r="F360">
        <v>920</v>
      </c>
      <c r="G360" t="str">
        <f>HYPERLINK(".\links\qual\TI_asb-567-qual.txt","37")</f>
        <v>37</v>
      </c>
      <c r="H360">
        <v>1</v>
      </c>
      <c r="I360">
        <v>0</v>
      </c>
      <c r="J360">
        <f t="shared" si="16"/>
        <v>1</v>
      </c>
      <c r="K360" s="6">
        <f t="shared" si="17"/>
        <v>1</v>
      </c>
      <c r="L360" s="6" t="s">
        <v>3880</v>
      </c>
      <c r="M360" s="6" t="s">
        <v>3881</v>
      </c>
      <c r="N360" s="6" t="s">
        <v>3864</v>
      </c>
      <c r="O360" s="6">
        <v>1E-14</v>
      </c>
      <c r="P360" s="6">
        <v>23</v>
      </c>
      <c r="Q360" s="3">
        <v>962</v>
      </c>
      <c r="R360" s="3">
        <v>315</v>
      </c>
      <c r="S360" s="6" t="s">
        <v>3839</v>
      </c>
      <c r="T360" s="3">
        <v>2</v>
      </c>
      <c r="U360" t="str">
        <f>HYPERLINK(".\links\NR-LIGHT\TI_asb-567-NR-LIGHT.txt","cathepsin D")</f>
        <v>cathepsin D</v>
      </c>
      <c r="V360" t="str">
        <f>HYPERLINK("http://www.ncbi.nlm.nih.gov/sutils/blink.cgi?pid=301030231","1E-014")</f>
        <v>1E-014</v>
      </c>
      <c r="W360" t="str">
        <f>HYPERLINK(".\links\NR-LIGHT\TI_asb-567-NR-LIGHT.txt"," 10")</f>
        <v xml:space="preserve"> 10</v>
      </c>
      <c r="X360" t="str">
        <f>HYPERLINK("http://www.ncbi.nlm.nih.gov/protein/301030231","gi|301030231")</f>
        <v>gi|301030231</v>
      </c>
      <c r="Y360">
        <v>76.3</v>
      </c>
      <c r="Z360">
        <v>90</v>
      </c>
      <c r="AA360">
        <v>390</v>
      </c>
      <c r="AB360">
        <v>45</v>
      </c>
      <c r="AC360">
        <v>23</v>
      </c>
      <c r="AD360">
        <v>49</v>
      </c>
      <c r="AE360">
        <v>0</v>
      </c>
      <c r="AF360">
        <v>3</v>
      </c>
      <c r="AG360">
        <v>2</v>
      </c>
      <c r="AH360">
        <v>2</v>
      </c>
      <c r="AI360">
        <v>2</v>
      </c>
      <c r="AJ360" t="s">
        <v>65</v>
      </c>
      <c r="AK360" t="s">
        <v>54</v>
      </c>
      <c r="AL360" t="s">
        <v>55</v>
      </c>
      <c r="AM360" t="str">
        <f>HYPERLINK(".\links\SWISSP\TI_asb-567-SWISSP.txt","Procardosin-B OS=Cynara cardunculus GN=cardB PE=1 SV=1")</f>
        <v>Procardosin-B OS=Cynara cardunculus GN=cardB PE=1 SV=1</v>
      </c>
      <c r="AN360" s="19" t="str">
        <f>HYPERLINK("http://www.uniprot.org/uniprot/Q9XFX4","7E-010")</f>
        <v>7E-010</v>
      </c>
      <c r="AO360" t="str">
        <f>HYPERLINK(".\links\SWISSP\TI_asb-567-SWISSP.txt"," 10")</f>
        <v xml:space="preserve"> 10</v>
      </c>
      <c r="AP360" t="s">
        <v>3328</v>
      </c>
      <c r="AQ360">
        <v>51.6</v>
      </c>
      <c r="AR360">
        <v>100</v>
      </c>
      <c r="AS360">
        <v>506</v>
      </c>
      <c r="AT360">
        <v>40</v>
      </c>
      <c r="AU360">
        <v>20</v>
      </c>
      <c r="AV360">
        <v>60</v>
      </c>
      <c r="AW360">
        <v>10</v>
      </c>
      <c r="AX360">
        <v>6</v>
      </c>
      <c r="AY360">
        <v>2</v>
      </c>
      <c r="AZ360">
        <v>2</v>
      </c>
      <c r="BA360">
        <v>2</v>
      </c>
      <c r="BB360" t="s">
        <v>65</v>
      </c>
      <c r="BC360" t="s">
        <v>54</v>
      </c>
      <c r="BD360" t="s">
        <v>3329</v>
      </c>
      <c r="BE360" t="s">
        <v>3330</v>
      </c>
      <c r="BF360" t="s">
        <v>3331</v>
      </c>
      <c r="BG360" t="str">
        <f>HYPERLINK(".\links\PREV-RHOD-PEP\TI_asb-567-PREV-RHOD-PEP.txt","Contig5279_3")</f>
        <v>Contig5279_3</v>
      </c>
      <c r="BH360" s="7">
        <v>1.9999999999999999E-36</v>
      </c>
      <c r="BI360" t="str">
        <f>HYPERLINK(".\links\PREV-RHOD-PEP\TI_asb-567-PREV-RHOD-PEP.txt"," 10")</f>
        <v xml:space="preserve"> 10</v>
      </c>
      <c r="BJ360" t="s">
        <v>3332</v>
      </c>
      <c r="BK360">
        <v>131</v>
      </c>
      <c r="BL360">
        <v>90</v>
      </c>
      <c r="BM360">
        <v>151</v>
      </c>
      <c r="BN360">
        <v>67</v>
      </c>
      <c r="BO360">
        <v>60</v>
      </c>
      <c r="BP360">
        <v>29</v>
      </c>
      <c r="BQ360">
        <v>0</v>
      </c>
      <c r="BR360">
        <v>2</v>
      </c>
      <c r="BS360">
        <v>2</v>
      </c>
      <c r="BT360">
        <v>2</v>
      </c>
      <c r="BU360" t="s">
        <v>54</v>
      </c>
      <c r="BV360" t="s">
        <v>3333</v>
      </c>
      <c r="BW360" t="s">
        <v>56</v>
      </c>
      <c r="BX360" t="str">
        <f>HYPERLINK(".\links\PREV-RHOD-CDS\TI_asb-567-PREV-RHOD-CDS.txt","Contig27523_1")</f>
        <v>Contig27523_1</v>
      </c>
      <c r="BY360" s="7">
        <v>2E-19</v>
      </c>
      <c r="BZ360" t="s">
        <v>3334</v>
      </c>
      <c r="CA360">
        <v>97.6</v>
      </c>
      <c r="CB360">
        <v>160</v>
      </c>
      <c r="CC360">
        <v>330</v>
      </c>
      <c r="CD360">
        <v>83</v>
      </c>
      <c r="CE360">
        <v>49</v>
      </c>
      <c r="CF360">
        <v>27</v>
      </c>
      <c r="CG360">
        <v>1</v>
      </c>
      <c r="CH360">
        <v>162</v>
      </c>
      <c r="CI360">
        <v>172</v>
      </c>
      <c r="CJ360">
        <v>1</v>
      </c>
      <c r="CK360" t="s">
        <v>54</v>
      </c>
      <c r="CL360" t="s">
        <v>2528</v>
      </c>
      <c r="CM360">
        <f>HYPERLINK(".\links\GO\TI_asb-567-GO.txt",0.000000007)</f>
        <v>6.9999999999999998E-9</v>
      </c>
      <c r="CN360" t="s">
        <v>393</v>
      </c>
      <c r="CO360" t="s">
        <v>129</v>
      </c>
      <c r="CP360" t="s">
        <v>166</v>
      </c>
      <c r="CQ360" t="s">
        <v>394</v>
      </c>
      <c r="CR360" s="6">
        <v>5.9999999999999995E-8</v>
      </c>
      <c r="CS360" t="s">
        <v>1061</v>
      </c>
      <c r="CT360" t="s">
        <v>75</v>
      </c>
      <c r="CU360" t="s">
        <v>555</v>
      </c>
      <c r="CV360" t="s">
        <v>1062</v>
      </c>
      <c r="CW360" s="6">
        <v>5.9999999999999995E-8</v>
      </c>
      <c r="CX360" t="s">
        <v>2898</v>
      </c>
      <c r="CY360" t="s">
        <v>129</v>
      </c>
      <c r="CZ360" t="s">
        <v>166</v>
      </c>
      <c r="DA360" t="s">
        <v>2899</v>
      </c>
      <c r="DB360" s="6">
        <v>5.9999999999999995E-8</v>
      </c>
      <c r="DC360" t="str">
        <f>HYPERLINK(".\links\CDD\TI_asb-567-CDD.txt","phytepsin")</f>
        <v>phytepsin</v>
      </c>
      <c r="DD360" t="str">
        <f>HYPERLINK("http://www.ncbi.nlm.nih.gov/Structure/cdd/cddsrv.cgi?uid=cd06098&amp;version=v4.0","2E-009")</f>
        <v>2E-009</v>
      </c>
      <c r="DE360" t="s">
        <v>3335</v>
      </c>
      <c r="DF360" t="str">
        <f>HYPERLINK(".\links\PFAM\TI_asb-567-PFAM.txt","Asp")</f>
        <v>Asp</v>
      </c>
      <c r="DG360" t="str">
        <f>HYPERLINK("http://pfam.sanger.ac.uk/family?acc=PF00026","1E-006")</f>
        <v>1E-006</v>
      </c>
      <c r="DH360" t="str">
        <f>HYPERLINK(".\links\PRK\TI_asb-567-PRK.txt","aspartyl protease")</f>
        <v>aspartyl protease</v>
      </c>
      <c r="DI360" s="7">
        <v>2.9999999999999999E-7</v>
      </c>
      <c r="DJ360" s="6" t="str">
        <f>HYPERLINK(".\links\KOG\TI_asb-567-KOG.txt","Aspartyl protease")</f>
        <v>Aspartyl protease</v>
      </c>
      <c r="DK360" s="6" t="str">
        <f>HYPERLINK("http://www.ncbi.nlm.nih.gov/COG/grace/shokog.cgi?KOG1339","7E-006")</f>
        <v>7E-006</v>
      </c>
      <c r="DL360" s="6" t="s">
        <v>4340</v>
      </c>
      <c r="DM360" s="6" t="str">
        <f>HYPERLINK(".\links\KOG\TI_asb-567-KOG.txt","KOG1339")</f>
        <v>KOG1339</v>
      </c>
      <c r="DN360" t="str">
        <f>HYPERLINK(".\links\SMART\TI_asb-567-SMART.txt","acidPPc")</f>
        <v>acidPPc</v>
      </c>
      <c r="DO360" t="str">
        <f>HYPERLINK("http://smart.embl-heidelberg.de/smart/do_annotation.pl?DOMAIN=acidPPc&amp;BLAST=DUMMY","0.028")</f>
        <v>0.028</v>
      </c>
      <c r="DP360" s="3" t="s">
        <v>56</v>
      </c>
      <c r="ED360" s="3" t="s">
        <v>56</v>
      </c>
    </row>
    <row r="361" spans="1:147">
      <c r="A361" t="str">
        <f>HYPERLINK(".\links\seq\TI_asb-568-seq.txt","TI_asb-568")</f>
        <v>TI_asb-568</v>
      </c>
      <c r="B361">
        <v>568</v>
      </c>
      <c r="C361" t="str">
        <f>HYPERLINK(".\links\tsa\TI_asb-568-tsa.txt","1")</f>
        <v>1</v>
      </c>
      <c r="D361">
        <v>1</v>
      </c>
      <c r="E361">
        <v>734</v>
      </c>
      <c r="G361" t="str">
        <f>HYPERLINK(".\links\qual\TI_asb-568-qual.txt","58")</f>
        <v>58</v>
      </c>
      <c r="H361">
        <v>1</v>
      </c>
      <c r="I361">
        <v>0</v>
      </c>
      <c r="J361">
        <f t="shared" si="16"/>
        <v>1</v>
      </c>
      <c r="K361" s="6">
        <f t="shared" si="17"/>
        <v>1</v>
      </c>
      <c r="L361" s="6" t="s">
        <v>4071</v>
      </c>
      <c r="M361" s="6" t="s">
        <v>3881</v>
      </c>
      <c r="N361" s="6" t="s">
        <v>3872</v>
      </c>
      <c r="O361" s="7">
        <v>8.9999999999999995E-65</v>
      </c>
      <c r="P361" s="6">
        <v>81.900000000000006</v>
      </c>
      <c r="Q361" s="3">
        <v>734</v>
      </c>
      <c r="R361" s="3">
        <v>594</v>
      </c>
      <c r="S361" s="3" t="s">
        <v>3840</v>
      </c>
      <c r="T361" s="3">
        <v>2</v>
      </c>
      <c r="U361" t="str">
        <f>HYPERLINK(".\links\NR-LIGHT\TI_asb-568-NR-LIGHT.txt","similar to ubiquitin conjugating enzyme E2, J2")</f>
        <v>similar to ubiquitin conjugating enzyme E2, J2</v>
      </c>
      <c r="V361" t="str">
        <f>HYPERLINK("http://www.ncbi.nlm.nih.gov/sutils/blink.cgi?pid=91082969","5E-055")</f>
        <v>5E-055</v>
      </c>
      <c r="W361" t="str">
        <f>HYPERLINK(".\links\NR-LIGHT\TI_asb-568-NR-LIGHT.txt"," 10")</f>
        <v xml:space="preserve"> 10</v>
      </c>
      <c r="X361" t="str">
        <f>HYPERLINK("http://www.ncbi.nlm.nih.gov/protein/91082969","gi|91082969")</f>
        <v>gi|91082969</v>
      </c>
      <c r="Y361">
        <v>216</v>
      </c>
      <c r="Z361">
        <v>187</v>
      </c>
      <c r="AA361">
        <v>225</v>
      </c>
      <c r="AB361">
        <v>58</v>
      </c>
      <c r="AC361">
        <v>83</v>
      </c>
      <c r="AD361">
        <v>77</v>
      </c>
      <c r="AE361">
        <v>0</v>
      </c>
      <c r="AF361">
        <v>41</v>
      </c>
      <c r="AG361">
        <v>170</v>
      </c>
      <c r="AH361">
        <v>1</v>
      </c>
      <c r="AI361">
        <v>2</v>
      </c>
      <c r="AJ361" t="s">
        <v>53</v>
      </c>
      <c r="AK361" t="s">
        <v>54</v>
      </c>
      <c r="AL361" t="s">
        <v>79</v>
      </c>
      <c r="AM361" t="str">
        <f>HYPERLINK(".\links\SWISSP\TI_asb-568-SWISSP.txt","Ubiquitin-conjugating enzyme E2 J2 OS=Mus musculus GN=Ube2j2 PE=1 SV=1")</f>
        <v>Ubiquitin-conjugating enzyme E2 J2 OS=Mus musculus GN=Ube2j2 PE=1 SV=1</v>
      </c>
      <c r="AN361" s="19" t="str">
        <f>HYPERLINK("http://www.uniprot.org/uniprot/Q6P073","3E-054")</f>
        <v>3E-054</v>
      </c>
      <c r="AO361" t="str">
        <f>HYPERLINK(".\links\SWISSP\TI_asb-568-SWISSP.txt"," 10")</f>
        <v xml:space="preserve"> 10</v>
      </c>
      <c r="AP361" t="s">
        <v>3336</v>
      </c>
      <c r="AQ361">
        <v>211</v>
      </c>
      <c r="AR361">
        <v>201</v>
      </c>
      <c r="AS361">
        <v>259</v>
      </c>
      <c r="AT361">
        <v>57</v>
      </c>
      <c r="AU361">
        <v>78</v>
      </c>
      <c r="AV361">
        <v>85</v>
      </c>
      <c r="AW361">
        <v>14</v>
      </c>
      <c r="AX361">
        <v>45</v>
      </c>
      <c r="AY361">
        <v>170</v>
      </c>
      <c r="AZ361">
        <v>1</v>
      </c>
      <c r="BA361">
        <v>2</v>
      </c>
      <c r="BB361" t="s">
        <v>53</v>
      </c>
      <c r="BC361" t="s">
        <v>54</v>
      </c>
      <c r="BD361" t="s">
        <v>214</v>
      </c>
      <c r="BE361" t="s">
        <v>3337</v>
      </c>
      <c r="BF361" t="s">
        <v>3338</v>
      </c>
      <c r="BG361" t="str">
        <f>HYPERLINK(".\links\PREV-RHOD-PEP\TI_asb-568-PREV-RHOD-PEP.txt","Contig18057_340")</f>
        <v>Contig18057_340</v>
      </c>
      <c r="BH361" s="7">
        <v>5.9999999999999999E-89</v>
      </c>
      <c r="BI361" t="str">
        <f>HYPERLINK(".\links\PREV-RHOD-PEP\TI_asb-568-PREV-RHOD-PEP.txt"," 10")</f>
        <v xml:space="preserve"> 10</v>
      </c>
      <c r="BJ361" t="s">
        <v>3339</v>
      </c>
      <c r="BK361">
        <v>323</v>
      </c>
      <c r="BL361">
        <v>188</v>
      </c>
      <c r="BM361">
        <v>240</v>
      </c>
      <c r="BN361">
        <v>85</v>
      </c>
      <c r="BO361">
        <v>78</v>
      </c>
      <c r="BP361">
        <v>27</v>
      </c>
      <c r="BQ361">
        <v>0</v>
      </c>
      <c r="BR361">
        <v>40</v>
      </c>
      <c r="BS361">
        <v>170</v>
      </c>
      <c r="BT361">
        <v>1</v>
      </c>
      <c r="BU361" t="s">
        <v>54</v>
      </c>
      <c r="BV361" t="s">
        <v>3340</v>
      </c>
      <c r="BW361" t="s">
        <v>56</v>
      </c>
      <c r="BX361" t="str">
        <f>HYPERLINK(".\links\PREV-RHOD-CDS\TI_asb-568-PREV-RHOD-CDS.txt","Contig18057_340")</f>
        <v>Contig18057_340</v>
      </c>
      <c r="BY361" s="7">
        <v>1E-175</v>
      </c>
      <c r="BZ361" t="s">
        <v>3339</v>
      </c>
      <c r="CA361">
        <v>613</v>
      </c>
      <c r="CB361">
        <v>565</v>
      </c>
      <c r="CC361">
        <v>723</v>
      </c>
      <c r="CD361">
        <v>88</v>
      </c>
      <c r="CE361">
        <v>78</v>
      </c>
      <c r="CF361">
        <v>66</v>
      </c>
      <c r="CG361">
        <v>0</v>
      </c>
      <c r="CH361">
        <v>117</v>
      </c>
      <c r="CI361">
        <v>169</v>
      </c>
      <c r="CJ361">
        <v>1</v>
      </c>
      <c r="CK361" t="s">
        <v>54</v>
      </c>
      <c r="CL361" t="s">
        <v>3341</v>
      </c>
      <c r="CM361">
        <f>HYPERLINK(".\links\GO\TI_asb-568-GO.txt",4E-55)</f>
        <v>4E-55</v>
      </c>
      <c r="CN361" t="s">
        <v>467</v>
      </c>
      <c r="CO361" t="s">
        <v>129</v>
      </c>
      <c r="CP361" t="s">
        <v>239</v>
      </c>
      <c r="CQ361" t="s">
        <v>468</v>
      </c>
      <c r="CR361" s="7">
        <v>9.0000000000000002E-39</v>
      </c>
      <c r="CS361" t="s">
        <v>1298</v>
      </c>
      <c r="CT361" t="s">
        <v>247</v>
      </c>
      <c r="CU361" t="s">
        <v>247</v>
      </c>
      <c r="CV361" t="s">
        <v>1299</v>
      </c>
      <c r="CW361" s="7">
        <v>9.0000000000000002E-39</v>
      </c>
      <c r="CX361" t="s">
        <v>988</v>
      </c>
      <c r="CY361" t="s">
        <v>129</v>
      </c>
      <c r="CZ361" t="s">
        <v>239</v>
      </c>
      <c r="DA361" t="s">
        <v>989</v>
      </c>
      <c r="DB361" s="7">
        <v>9.0000000000000002E-39</v>
      </c>
      <c r="DC361" t="str">
        <f>HYPERLINK(".\links\CDD\TI_asb-568-CDD.txt","UBCc")</f>
        <v>UBCc</v>
      </c>
      <c r="DD361" t="str">
        <f>HYPERLINK("http://www.ncbi.nlm.nih.gov/Structure/cdd/cddsrv.cgi?uid=cd00195&amp;version=v4.0","2E-024")</f>
        <v>2E-024</v>
      </c>
      <c r="DE361" t="s">
        <v>3342</v>
      </c>
      <c r="DF361" t="str">
        <f>HYPERLINK(".\links\PFAM\TI_asb-568-PFAM.txt","UQ_con")</f>
        <v>UQ_con</v>
      </c>
      <c r="DG361" t="str">
        <f>HYPERLINK("http://pfam.sanger.ac.uk/family?acc=PF00179","1E-022")</f>
        <v>1E-022</v>
      </c>
      <c r="DH361" t="str">
        <f>HYPERLINK(".\links\PRK\TI_asb-568-PRK.txt","ubiquitin conjugating enzyme")</f>
        <v>ubiquitin conjugating enzyme</v>
      </c>
      <c r="DI361" s="7">
        <v>8.9999999999999999E-11</v>
      </c>
      <c r="DJ361" s="6" t="str">
        <f>HYPERLINK(".\links\KOG\TI_asb-568-KOG.txt","Ubiquitin-protein ligase")</f>
        <v>Ubiquitin-protein ligase</v>
      </c>
      <c r="DK361" s="6" t="str">
        <f>HYPERLINK("http://www.ncbi.nlm.nih.gov/COG/grace/shokog.cgi?KOG0894","9E-065")</f>
        <v>9E-065</v>
      </c>
      <c r="DL361" s="6" t="s">
        <v>4340</v>
      </c>
      <c r="DM361" s="6" t="str">
        <f>HYPERLINK(".\links\KOG\TI_asb-568-KOG.txt","KOG0894")</f>
        <v>KOG0894</v>
      </c>
      <c r="DN361" t="str">
        <f>HYPERLINK(".\links\SMART\TI_asb-568-SMART.txt","UBCc")</f>
        <v>UBCc</v>
      </c>
      <c r="DO361" t="str">
        <f>HYPERLINK("http://smart.embl-heidelberg.de/smart/do_annotation.pl?DOMAIN=UBCc&amp;BLAST=DUMMY","4E-022")</f>
        <v>4E-022</v>
      </c>
      <c r="DP361" s="3" t="s">
        <v>56</v>
      </c>
      <c r="ED361" s="3" t="s">
        <v>56</v>
      </c>
    </row>
    <row r="362" spans="1:147">
      <c r="A362" t="str">
        <f>HYPERLINK(".\links\seq\TI_asb-569-seq.txt","TI_asb-569")</f>
        <v>TI_asb-569</v>
      </c>
      <c r="B362">
        <v>569</v>
      </c>
      <c r="C362" t="str">
        <f>HYPERLINK(".\links\tsa\TI_asb-569-tsa.txt","1")</f>
        <v>1</v>
      </c>
      <c r="D362">
        <v>1</v>
      </c>
      <c r="E362">
        <v>989</v>
      </c>
      <c r="G362" t="str">
        <f>HYPERLINK(".\links\qual\TI_asb-569-qual.txt","25")</f>
        <v>25</v>
      </c>
      <c r="H362">
        <v>0</v>
      </c>
      <c r="I362">
        <v>1</v>
      </c>
      <c r="J362">
        <f t="shared" si="16"/>
        <v>1</v>
      </c>
      <c r="K362" s="6">
        <f t="shared" si="17"/>
        <v>-1</v>
      </c>
      <c r="L362" s="6" t="s">
        <v>4071</v>
      </c>
      <c r="M362" s="6" t="s">
        <v>3881</v>
      </c>
      <c r="N362" s="6" t="s">
        <v>3872</v>
      </c>
      <c r="O362" s="7">
        <v>5.9999999999999997E-46</v>
      </c>
      <c r="P362" s="6">
        <v>51.2</v>
      </c>
      <c r="Q362" s="3">
        <v>989</v>
      </c>
      <c r="R362" s="3">
        <v>297</v>
      </c>
      <c r="S362" s="3" t="s">
        <v>3841</v>
      </c>
      <c r="T362" s="3">
        <v>3</v>
      </c>
      <c r="U362" t="str">
        <f>HYPERLINK(".\links\NR-LIGHT\TI_asb-569-NR-LIGHT.txt","similar to ubiquitin conjugating enzyme E2, J2")</f>
        <v>similar to ubiquitin conjugating enzyme E2, J2</v>
      </c>
      <c r="V362" t="str">
        <f>HYPERLINK("http://www.ncbi.nlm.nih.gov/sutils/blink.cgi?pid=91082969","2E-040")</f>
        <v>2E-040</v>
      </c>
      <c r="W362" t="str">
        <f>HYPERLINK(".\links\NR-LIGHT\TI_asb-569-NR-LIGHT.txt"," 10")</f>
        <v xml:space="preserve"> 10</v>
      </c>
      <c r="X362" t="str">
        <f>HYPERLINK("http://www.ncbi.nlm.nih.gov/protein/91082969","gi|91082969")</f>
        <v>gi|91082969</v>
      </c>
      <c r="Y362">
        <v>168</v>
      </c>
      <c r="Z362">
        <v>118</v>
      </c>
      <c r="AA362">
        <v>225</v>
      </c>
      <c r="AB362">
        <v>67</v>
      </c>
      <c r="AC362">
        <v>52</v>
      </c>
      <c r="AD362">
        <v>38</v>
      </c>
      <c r="AE362">
        <v>0</v>
      </c>
      <c r="AF362">
        <v>41</v>
      </c>
      <c r="AG362">
        <v>165</v>
      </c>
      <c r="AH362">
        <v>1</v>
      </c>
      <c r="AI362">
        <v>3</v>
      </c>
      <c r="AJ362" t="s">
        <v>53</v>
      </c>
      <c r="AK362" t="s">
        <v>54</v>
      </c>
      <c r="AL362" t="s">
        <v>79</v>
      </c>
      <c r="AM362" t="str">
        <f>HYPERLINK(".\links\SWISSP\TI_asb-569-SWISSP.txt","Ubiquitin-conjugating enzyme E2 J2 OS=Mus musculus GN=Ube2j2 PE=1 SV=1")</f>
        <v>Ubiquitin-conjugating enzyme E2 J2 OS=Mus musculus GN=Ube2j2 PE=1 SV=1</v>
      </c>
      <c r="AN362" s="19" t="str">
        <f>HYPERLINK("http://www.uniprot.org/uniprot/Q6P073","2E-040")</f>
        <v>2E-040</v>
      </c>
      <c r="AO362" t="str">
        <f>HYPERLINK(".\links\SWISSP\TI_asb-569-SWISSP.txt"," 10")</f>
        <v xml:space="preserve"> 10</v>
      </c>
      <c r="AP362" t="s">
        <v>3336</v>
      </c>
      <c r="AQ362">
        <v>166</v>
      </c>
      <c r="AR362">
        <v>120</v>
      </c>
      <c r="AS362">
        <v>259</v>
      </c>
      <c r="AT362">
        <v>68</v>
      </c>
      <c r="AU362">
        <v>46</v>
      </c>
      <c r="AV362">
        <v>38</v>
      </c>
      <c r="AW362">
        <v>0</v>
      </c>
      <c r="AX362">
        <v>45</v>
      </c>
      <c r="AY362">
        <v>165</v>
      </c>
      <c r="AZ362">
        <v>1</v>
      </c>
      <c r="BA362">
        <v>3</v>
      </c>
      <c r="BB362" t="s">
        <v>53</v>
      </c>
      <c r="BC362" t="s">
        <v>54</v>
      </c>
      <c r="BD362" t="s">
        <v>214</v>
      </c>
      <c r="BE362" t="s">
        <v>3343</v>
      </c>
      <c r="BF362" t="s">
        <v>3344</v>
      </c>
      <c r="BG362" t="str">
        <f>HYPERLINK(".\links\PREV-RHOD-PEP\TI_asb-569-PREV-RHOD-PEP.txt","Contig18057_340")</f>
        <v>Contig18057_340</v>
      </c>
      <c r="BH362" s="7">
        <v>9.9999999999999994E-50</v>
      </c>
      <c r="BI362" t="str">
        <f>HYPERLINK(".\links\PREV-RHOD-PEP\TI_asb-569-PREV-RHOD-PEP.txt"," 10")</f>
        <v xml:space="preserve"> 10</v>
      </c>
      <c r="BJ362" t="s">
        <v>3339</v>
      </c>
      <c r="BK362">
        <v>193</v>
      </c>
      <c r="BL362">
        <v>118</v>
      </c>
      <c r="BM362">
        <v>240</v>
      </c>
      <c r="BN362">
        <v>77</v>
      </c>
      <c r="BO362">
        <v>49</v>
      </c>
      <c r="BP362">
        <v>26</v>
      </c>
      <c r="BQ362">
        <v>0</v>
      </c>
      <c r="BR362">
        <v>40</v>
      </c>
      <c r="BS362">
        <v>165</v>
      </c>
      <c r="BT362">
        <v>1</v>
      </c>
      <c r="BU362" t="s">
        <v>54</v>
      </c>
      <c r="BV362" t="s">
        <v>3345</v>
      </c>
      <c r="BW362" t="s">
        <v>56</v>
      </c>
      <c r="BX362" t="str">
        <f>HYPERLINK(".\links\PREV-RHOD-CDS\TI_asb-569-PREV-RHOD-CDS.txt","Contig18057_340")</f>
        <v>Contig18057_340</v>
      </c>
      <c r="BY362" s="7">
        <v>2E-92</v>
      </c>
      <c r="BZ362" t="s">
        <v>3339</v>
      </c>
      <c r="CA362">
        <v>339</v>
      </c>
      <c r="CB362">
        <v>242</v>
      </c>
      <c r="CC362">
        <v>723</v>
      </c>
      <c r="CD362">
        <v>92</v>
      </c>
      <c r="CE362">
        <v>34</v>
      </c>
      <c r="CF362">
        <v>18</v>
      </c>
      <c r="CG362">
        <v>0</v>
      </c>
      <c r="CH362">
        <v>117</v>
      </c>
      <c r="CI362">
        <v>164</v>
      </c>
      <c r="CJ362">
        <v>1</v>
      </c>
      <c r="CK362" t="s">
        <v>54</v>
      </c>
      <c r="CL362" t="s">
        <v>3341</v>
      </c>
      <c r="CM362">
        <f>HYPERLINK(".\links\GO\TI_asb-569-GO.txt",5E-41)</f>
        <v>4.9999999999999996E-41</v>
      </c>
      <c r="CN362" t="s">
        <v>467</v>
      </c>
      <c r="CO362" t="s">
        <v>129</v>
      </c>
      <c r="CP362" t="s">
        <v>239</v>
      </c>
      <c r="CQ362" t="s">
        <v>468</v>
      </c>
      <c r="CR362" s="7">
        <v>1.0000000000000001E-31</v>
      </c>
      <c r="CS362" t="s">
        <v>1298</v>
      </c>
      <c r="CT362" t="s">
        <v>247</v>
      </c>
      <c r="CU362" t="s">
        <v>247</v>
      </c>
      <c r="CV362" t="s">
        <v>1299</v>
      </c>
      <c r="CW362" s="7">
        <v>1.0000000000000001E-31</v>
      </c>
      <c r="CX362" t="s">
        <v>988</v>
      </c>
      <c r="CY362" t="s">
        <v>129</v>
      </c>
      <c r="CZ362" t="s">
        <v>239</v>
      </c>
      <c r="DA362" t="s">
        <v>989</v>
      </c>
      <c r="DB362" s="7">
        <v>1.0000000000000001E-31</v>
      </c>
      <c r="DC362" t="str">
        <f>HYPERLINK(".\links\CDD\TI_asb-569-CDD.txt","UBCc")</f>
        <v>UBCc</v>
      </c>
      <c r="DD362" t="str">
        <f>HYPERLINK("http://www.ncbi.nlm.nih.gov/Structure/cdd/cddsrv.cgi?uid=cd00195&amp;version=v4.0","2E-024")</f>
        <v>2E-024</v>
      </c>
      <c r="DE362" t="s">
        <v>3346</v>
      </c>
      <c r="DF362" t="str">
        <f>HYPERLINK(".\links\PFAM\TI_asb-569-PFAM.txt","UQ_con")</f>
        <v>UQ_con</v>
      </c>
      <c r="DG362" t="str">
        <f>HYPERLINK("http://pfam.sanger.ac.uk/family?acc=PF00179","2E-022")</f>
        <v>2E-022</v>
      </c>
      <c r="DH362" t="str">
        <f>HYPERLINK(".\links\PRK\TI_asb-569-PRK.txt","ubiquitin conjugating enzyme")</f>
        <v>ubiquitin conjugating enzyme</v>
      </c>
      <c r="DI362" s="7">
        <v>6.9999999999999996E-10</v>
      </c>
      <c r="DJ362" s="6" t="str">
        <f>HYPERLINK(".\links\KOG\TI_asb-569-KOG.txt","Nuclear protein, contains WD40 repeats")</f>
        <v>Nuclear protein, contains WD40 repeats</v>
      </c>
      <c r="DK362" s="6" t="str">
        <f>HYPERLINK("http://www.ncbi.nlm.nih.gov/COG/grace/shokog.cgi?KOG1916","0.0")</f>
        <v>0.0</v>
      </c>
      <c r="DL362" s="6" t="s">
        <v>4337</v>
      </c>
      <c r="DM362" s="6" t="str">
        <f>HYPERLINK(".\links\KOG\TI_asb-569-KOG.txt","KOG1916")</f>
        <v>KOG1916</v>
      </c>
      <c r="DN362" t="str">
        <f>HYPERLINK(".\links\SMART\TI_asb-569-SMART.txt","UBCc")</f>
        <v>UBCc</v>
      </c>
      <c r="DO362" t="str">
        <f>HYPERLINK("http://smart.embl-heidelberg.de/smart/do_annotation.pl?DOMAIN=UBCc&amp;BLAST=DUMMY","5E-022")</f>
        <v>5E-022</v>
      </c>
      <c r="DP362" s="3" t="s">
        <v>56</v>
      </c>
      <c r="ED362" s="3" t="s">
        <v>56</v>
      </c>
    </row>
    <row r="363" spans="1:147" s="26" customFormat="1">
      <c r="A363" s="26" t="str">
        <f>HYPERLINK(".\links\seq\TI_asb-570-seq.txt","TI_asb-570")</f>
        <v>TI_asb-570</v>
      </c>
      <c r="B363" s="26">
        <v>570</v>
      </c>
      <c r="C363" s="27" t="str">
        <f>HYPERLINK(".\links\tsa\TI_asb-570-tsa.txt","4")</f>
        <v>4</v>
      </c>
      <c r="D363" s="26">
        <v>4</v>
      </c>
      <c r="E363" s="26">
        <v>686</v>
      </c>
      <c r="F363" s="26">
        <v>627</v>
      </c>
      <c r="G363" s="26" t="str">
        <f>HYPERLINK(".\links\qual\TI_asb-570-qual.txt","66")</f>
        <v>66</v>
      </c>
      <c r="H363" s="26">
        <v>0</v>
      </c>
      <c r="I363" s="26">
        <v>4</v>
      </c>
      <c r="J363" s="26">
        <f t="shared" si="16"/>
        <v>4</v>
      </c>
      <c r="K363" s="26">
        <f t="shared" si="17"/>
        <v>-4</v>
      </c>
      <c r="L363" s="26" t="s">
        <v>3888</v>
      </c>
      <c r="M363" s="26" t="s">
        <v>3886</v>
      </c>
      <c r="N363" s="26" t="s">
        <v>3872</v>
      </c>
      <c r="O363" s="26">
        <v>0</v>
      </c>
      <c r="P363" s="26">
        <v>4.9000000000000004</v>
      </c>
      <c r="Q363" s="26">
        <v>686</v>
      </c>
      <c r="R363" s="26">
        <v>261</v>
      </c>
      <c r="S363" s="26" t="s">
        <v>3842</v>
      </c>
      <c r="T363" s="26">
        <v>2</v>
      </c>
      <c r="U363" s="26" t="s">
        <v>56</v>
      </c>
      <c r="V363" s="26" t="s">
        <v>56</v>
      </c>
      <c r="W363" s="26" t="s">
        <v>56</v>
      </c>
      <c r="X363" s="26" t="s">
        <v>56</v>
      </c>
      <c r="Y363" s="26" t="s">
        <v>56</v>
      </c>
      <c r="Z363" s="26" t="s">
        <v>56</v>
      </c>
      <c r="AA363" s="26" t="s">
        <v>56</v>
      </c>
      <c r="AB363" s="26" t="s">
        <v>56</v>
      </c>
      <c r="AC363" s="26" t="s">
        <v>56</v>
      </c>
      <c r="AD363" s="26" t="s">
        <v>56</v>
      </c>
      <c r="AE363" s="26" t="s">
        <v>56</v>
      </c>
      <c r="AF363" s="26" t="s">
        <v>56</v>
      </c>
      <c r="AG363" s="26" t="s">
        <v>56</v>
      </c>
      <c r="AH363" s="26" t="s">
        <v>56</v>
      </c>
      <c r="AI363" s="26" t="s">
        <v>56</v>
      </c>
      <c r="AJ363" s="26" t="s">
        <v>56</v>
      </c>
      <c r="AK363" s="26" t="s">
        <v>56</v>
      </c>
      <c r="AL363" s="26" t="s">
        <v>56</v>
      </c>
      <c r="AM363" s="26" t="str">
        <f>HYPERLINK(".\links\SWISSP\TI_asb-570-SWISSP.txt","Tescalcin OS=Xenopus tropicalis GN=tesc PE=2 SV=1")</f>
        <v>Tescalcin OS=Xenopus tropicalis GN=tesc PE=2 SV=1</v>
      </c>
      <c r="AN363" s="29" t="str">
        <f>HYPERLINK("http://www.uniprot.org/uniprot/Q0V9B1","5.0")</f>
        <v>5.0</v>
      </c>
      <c r="AO363" s="26" t="str">
        <f>HYPERLINK(".\links\SWISSP\TI_asb-570-SWISSP.txt"," 1")</f>
        <v xml:space="preserve"> 1</v>
      </c>
      <c r="AP363" s="26" t="s">
        <v>3347</v>
      </c>
      <c r="AQ363" s="26">
        <v>31.6</v>
      </c>
      <c r="AR363" s="26">
        <v>26</v>
      </c>
      <c r="AS363" s="26">
        <v>214</v>
      </c>
      <c r="AT363" s="26">
        <v>46</v>
      </c>
      <c r="AU363" s="26">
        <v>12</v>
      </c>
      <c r="AV363" s="26">
        <v>14</v>
      </c>
      <c r="AW363" s="26">
        <v>0</v>
      </c>
      <c r="AX363" s="26">
        <v>64</v>
      </c>
      <c r="AY363" s="26">
        <v>98</v>
      </c>
      <c r="AZ363" s="26">
        <v>1</v>
      </c>
      <c r="BA363" s="26">
        <v>2</v>
      </c>
      <c r="BB363" s="26" t="s">
        <v>53</v>
      </c>
      <c r="BC363" s="26" t="s">
        <v>54</v>
      </c>
      <c r="BD363" s="26" t="s">
        <v>1302</v>
      </c>
      <c r="BE363" s="26" t="s">
        <v>3348</v>
      </c>
      <c r="BF363" s="26" t="s">
        <v>3349</v>
      </c>
      <c r="BG363" s="26" t="str">
        <f>HYPERLINK(".\links\PREV-RHOD-PEP\TI_asb-570-PREV-RHOD-PEP.txt","Contig17966_125")</f>
        <v>Contig17966_125</v>
      </c>
      <c r="BH363" s="26">
        <v>5.9</v>
      </c>
      <c r="BI363" s="26" t="str">
        <f>HYPERLINK(".\links\PREV-RHOD-PEP\TI_asb-570-PREV-RHOD-PEP.txt"," 2")</f>
        <v xml:space="preserve"> 2</v>
      </c>
      <c r="BJ363" s="26" t="s">
        <v>3350</v>
      </c>
      <c r="BK363" s="26">
        <v>27.3</v>
      </c>
      <c r="BL363" s="26">
        <v>35</v>
      </c>
      <c r="BM363" s="26">
        <v>248</v>
      </c>
      <c r="BN363" s="26">
        <v>40</v>
      </c>
      <c r="BO363" s="26">
        <v>14</v>
      </c>
      <c r="BP363" s="26">
        <v>21</v>
      </c>
      <c r="BQ363" s="26">
        <v>0</v>
      </c>
      <c r="BR363" s="26">
        <v>64</v>
      </c>
      <c r="BS363" s="26">
        <v>195</v>
      </c>
      <c r="BT363" s="26">
        <v>1</v>
      </c>
      <c r="BU363" s="26" t="s">
        <v>64</v>
      </c>
      <c r="BV363" s="26" t="s">
        <v>3351</v>
      </c>
      <c r="BW363" s="26" t="s">
        <v>56</v>
      </c>
      <c r="BX363" s="26" t="str">
        <f>HYPERLINK(".\links\PREV-RHOD-CDS\TI_asb-570-PREV-RHOD-CDS.txt","Contig18047_171")</f>
        <v>Contig18047_171</v>
      </c>
      <c r="BY363" s="26">
        <v>0.34</v>
      </c>
      <c r="BZ363" s="26" t="s">
        <v>3352</v>
      </c>
      <c r="CA363" s="26">
        <v>36.200000000000003</v>
      </c>
      <c r="CB363" s="26">
        <v>17</v>
      </c>
      <c r="CC363" s="26">
        <v>2880</v>
      </c>
      <c r="CD363" s="26">
        <v>100</v>
      </c>
      <c r="CE363" s="26">
        <v>1</v>
      </c>
      <c r="CF363" s="26">
        <v>0</v>
      </c>
      <c r="CG363" s="26">
        <v>0</v>
      </c>
      <c r="CH363" s="26">
        <v>1711</v>
      </c>
      <c r="CI363" s="26">
        <v>60</v>
      </c>
      <c r="CJ363" s="26">
        <v>1</v>
      </c>
      <c r="CK363" s="26" t="s">
        <v>54</v>
      </c>
      <c r="CL363" s="26" t="s">
        <v>56</v>
      </c>
      <c r="CM363" s="26" t="s">
        <v>56</v>
      </c>
      <c r="CN363" s="26" t="s">
        <v>56</v>
      </c>
      <c r="CO363" s="26" t="s">
        <v>56</v>
      </c>
      <c r="CP363" s="26" t="s">
        <v>56</v>
      </c>
      <c r="CQ363" s="26" t="s">
        <v>56</v>
      </c>
      <c r="CR363" s="26" t="s">
        <v>56</v>
      </c>
      <c r="CS363" s="26" t="s">
        <v>56</v>
      </c>
      <c r="CT363" s="26" t="s">
        <v>56</v>
      </c>
      <c r="CU363" s="26" t="s">
        <v>56</v>
      </c>
      <c r="CV363" s="26" t="s">
        <v>56</v>
      </c>
      <c r="CW363" s="26" t="s">
        <v>56</v>
      </c>
      <c r="CX363" s="26" t="s">
        <v>56</v>
      </c>
      <c r="CY363" s="26" t="s">
        <v>56</v>
      </c>
      <c r="CZ363" s="26" t="s">
        <v>56</v>
      </c>
      <c r="DA363" s="26" t="s">
        <v>56</v>
      </c>
      <c r="DB363" s="26" t="s">
        <v>56</v>
      </c>
      <c r="DC363" s="26" t="s">
        <v>56</v>
      </c>
      <c r="DD363" s="26" t="s">
        <v>56</v>
      </c>
      <c r="DE363" s="26" t="s">
        <v>56</v>
      </c>
      <c r="DF363" s="26" t="str">
        <f>HYPERLINK(".\links\PFAM\TI_asb-570-PFAM.txt","DUF1210")</f>
        <v>DUF1210</v>
      </c>
      <c r="DG363" s="26" t="str">
        <f>HYPERLINK("http://pfam.sanger.ac.uk/family?acc=PF06735","0.060")</f>
        <v>0.060</v>
      </c>
      <c r="DH363" s="26" t="str">
        <f>HYPERLINK(".\links\PRK\TI_asb-570-PRK.txt","cell division protein DedD")</f>
        <v>cell division protein DedD</v>
      </c>
      <c r="DI363" s="26">
        <v>5.1999999999999998E-2</v>
      </c>
      <c r="DJ363" s="26" t="str">
        <f>HYPERLINK(".\links\KOG\TI_asb-570-KOG.txt","Nuclear protein, contains WD40 repeats")</f>
        <v>Nuclear protein, contains WD40 repeats</v>
      </c>
      <c r="DK363" s="26" t="str">
        <f>HYPERLINK("http://www.ncbi.nlm.nih.gov/COG/grace/shokog.cgi?KOG1916","0.0")</f>
        <v>0.0</v>
      </c>
      <c r="DL363" s="26" t="s">
        <v>4337</v>
      </c>
      <c r="DM363" s="26" t="str">
        <f>HYPERLINK(".\links\KOG\TI_asb-570-KOG.txt","KOG1916")</f>
        <v>KOG1916</v>
      </c>
      <c r="DN363" s="26" t="str">
        <f>HYPERLINK(".\links\SMART\TI_asb-570-SMART.txt","Agouti")</f>
        <v>Agouti</v>
      </c>
      <c r="DO363" s="26" t="str">
        <f>HYPERLINK("http://smart.embl-heidelberg.de/smart/do_annotation.pl?DOMAIN=Agouti&amp;BLAST=DUMMY","0.007")</f>
        <v>0.007</v>
      </c>
      <c r="DP363" s="26" t="s">
        <v>56</v>
      </c>
      <c r="ED363" s="26" t="s">
        <v>56</v>
      </c>
    </row>
    <row r="364" spans="1:147">
      <c r="A364" t="str">
        <f>HYPERLINK(".\links\seq\TI_asb-571-seq.txt","TI_asb-571")</f>
        <v>TI_asb-571</v>
      </c>
      <c r="B364">
        <v>571</v>
      </c>
      <c r="C364" t="str">
        <f>HYPERLINK(".\links\tsa\TI_asb-571-tsa.txt","1")</f>
        <v>1</v>
      </c>
      <c r="D364">
        <v>1</v>
      </c>
      <c r="E364">
        <v>1015</v>
      </c>
      <c r="F364">
        <v>646</v>
      </c>
      <c r="G364" t="str">
        <f>HYPERLINK(".\links\qual\TI_asb-571-qual.txt","20")</f>
        <v>20</v>
      </c>
      <c r="H364">
        <v>0</v>
      </c>
      <c r="I364">
        <v>1</v>
      </c>
      <c r="J364">
        <f t="shared" si="16"/>
        <v>1</v>
      </c>
      <c r="K364" s="6">
        <f t="shared" si="17"/>
        <v>-1</v>
      </c>
      <c r="L364" s="6" t="s">
        <v>3923</v>
      </c>
      <c r="M364" s="6" t="s">
        <v>3894</v>
      </c>
      <c r="N364" s="6" t="str">
        <f>HYPERLINK(".\links\KOG\TI_asb-571-KOG.txt","KOG")</f>
        <v>KOG</v>
      </c>
      <c r="O364" s="6">
        <v>3E-9</v>
      </c>
      <c r="P364" s="6">
        <v>25.8</v>
      </c>
      <c r="Q364" s="3">
        <v>1015</v>
      </c>
      <c r="R364" s="3">
        <v>294</v>
      </c>
      <c r="S364" s="3" t="s">
        <v>3843</v>
      </c>
      <c r="T364" s="3">
        <v>4</v>
      </c>
      <c r="U364" t="str">
        <f>HYPERLINK(".\links\NR-LIGHT\TI_asb-571-NR-LIGHT.txt","CG13722")</f>
        <v>CG13722</v>
      </c>
      <c r="V364" t="str">
        <f>HYPERLINK("http://www.ncbi.nlm.nih.gov/sutils/blink.cgi?pid=24657755","0.008")</f>
        <v>0.008</v>
      </c>
      <c r="W364" t="str">
        <f>HYPERLINK(".\links\NR-LIGHT\TI_asb-571-NR-LIGHT.txt"," 10")</f>
        <v xml:space="preserve"> 10</v>
      </c>
      <c r="X364" t="str">
        <f>HYPERLINK("http://www.ncbi.nlm.nih.gov/protein/24657755","gi|24657755")</f>
        <v>gi|24657755</v>
      </c>
      <c r="Y364">
        <v>43.9</v>
      </c>
      <c r="Z364">
        <v>90</v>
      </c>
      <c r="AA364">
        <v>707</v>
      </c>
      <c r="AB364">
        <v>38</v>
      </c>
      <c r="AC364">
        <v>13</v>
      </c>
      <c r="AD364">
        <v>55</v>
      </c>
      <c r="AE364">
        <v>4</v>
      </c>
      <c r="AF364">
        <v>181</v>
      </c>
      <c r="AG364">
        <v>757</v>
      </c>
      <c r="AH364">
        <v>8</v>
      </c>
      <c r="AI364">
        <v>1</v>
      </c>
      <c r="AJ364" t="s">
        <v>53</v>
      </c>
      <c r="AK364" t="s">
        <v>54</v>
      </c>
      <c r="AL364" t="s">
        <v>143</v>
      </c>
      <c r="AM364" t="str">
        <f>HYPERLINK(".\links\SWISSP\TI_asb-571-SWISSP.txt","Pistil-specific extensin-like protein OS=Nicotiana tabacum PE=2 SV=1")</f>
        <v>Pistil-specific extensin-like protein OS=Nicotiana tabacum PE=2 SV=1</v>
      </c>
      <c r="AN364" s="19" t="str">
        <f>HYPERLINK("http://www.uniprot.org/uniprot/Q03211","0.001")</f>
        <v>0.001</v>
      </c>
      <c r="AO364" t="str">
        <f>HYPERLINK(".\links\SWISSP\TI_asb-571-SWISSP.txt"," 10")</f>
        <v xml:space="preserve"> 10</v>
      </c>
      <c r="AP364" t="s">
        <v>3353</v>
      </c>
      <c r="AQ364">
        <v>44.7</v>
      </c>
      <c r="AR364">
        <v>85</v>
      </c>
      <c r="AS364">
        <v>426</v>
      </c>
      <c r="AT364">
        <v>35</v>
      </c>
      <c r="AU364">
        <v>20</v>
      </c>
      <c r="AV364">
        <v>55</v>
      </c>
      <c r="AW364">
        <v>0</v>
      </c>
      <c r="AX364">
        <v>144</v>
      </c>
      <c r="AY364">
        <v>754</v>
      </c>
      <c r="AZ364">
        <v>2</v>
      </c>
      <c r="BA364">
        <v>1</v>
      </c>
      <c r="BB364" t="s">
        <v>53</v>
      </c>
      <c r="BC364" t="s">
        <v>54</v>
      </c>
      <c r="BD364" t="s">
        <v>3354</v>
      </c>
      <c r="BE364" t="s">
        <v>3355</v>
      </c>
      <c r="BF364" t="s">
        <v>3356</v>
      </c>
      <c r="BG364" t="str">
        <f>HYPERLINK(".\links\PREV-RHOD-PEP\TI_asb-571-PREV-RHOD-PEP.txt","Contig17943_145")</f>
        <v>Contig17943_145</v>
      </c>
      <c r="BH364" s="6">
        <v>6.0000000000000001E-3</v>
      </c>
      <c r="BI364" t="str">
        <f>HYPERLINK(".\links\PREV-RHOD-PEP\TI_asb-571-PREV-RHOD-PEP.txt"," 10")</f>
        <v xml:space="preserve"> 10</v>
      </c>
      <c r="BJ364" t="s">
        <v>3357</v>
      </c>
      <c r="BK364">
        <v>38.1</v>
      </c>
      <c r="BL364">
        <v>99</v>
      </c>
      <c r="BM364">
        <v>375</v>
      </c>
      <c r="BN364">
        <v>27</v>
      </c>
      <c r="BO364">
        <v>26</v>
      </c>
      <c r="BP364">
        <v>72</v>
      </c>
      <c r="BQ364">
        <v>18</v>
      </c>
      <c r="BR364">
        <v>251</v>
      </c>
      <c r="BS364">
        <v>772</v>
      </c>
      <c r="BT364">
        <v>1</v>
      </c>
      <c r="BU364" t="s">
        <v>54</v>
      </c>
      <c r="BV364" t="s">
        <v>3358</v>
      </c>
      <c r="BW364" t="s">
        <v>56</v>
      </c>
      <c r="BX364" t="str">
        <f>HYPERLINK(".\links\PREV-RHOD-CDS\TI_asb-571-PREV-RHOD-CDS.txt","Contig17689_31")</f>
        <v>Contig17689_31</v>
      </c>
      <c r="BY364">
        <v>0.13</v>
      </c>
      <c r="BZ364" t="s">
        <v>3359</v>
      </c>
      <c r="CA364">
        <v>38.200000000000003</v>
      </c>
      <c r="CB364">
        <v>18</v>
      </c>
      <c r="CC364">
        <v>4023</v>
      </c>
      <c r="CD364">
        <v>100</v>
      </c>
      <c r="CF364">
        <v>0</v>
      </c>
      <c r="CG364">
        <v>0</v>
      </c>
      <c r="CH364">
        <v>632</v>
      </c>
      <c r="CI364">
        <v>458</v>
      </c>
      <c r="CJ364">
        <v>1</v>
      </c>
      <c r="CK364" t="s">
        <v>54</v>
      </c>
      <c r="CL364" t="s">
        <v>3360</v>
      </c>
      <c r="CM364">
        <f>HYPERLINK(".\links\GO\TI_asb-571-GO.txt",0.003)</f>
        <v>3.0000000000000001E-3</v>
      </c>
      <c r="CN364" t="s">
        <v>58</v>
      </c>
      <c r="CO364" t="s">
        <v>58</v>
      </c>
      <c r="CQ364" t="s">
        <v>59</v>
      </c>
      <c r="CR364">
        <v>3.0000000000000001E-3</v>
      </c>
      <c r="CS364" t="s">
        <v>60</v>
      </c>
      <c r="CT364" t="s">
        <v>60</v>
      </c>
      <c r="CV364" t="s">
        <v>61</v>
      </c>
      <c r="CW364">
        <v>3.0000000000000001E-3</v>
      </c>
      <c r="CX364" t="s">
        <v>62</v>
      </c>
      <c r="CY364" t="s">
        <v>58</v>
      </c>
      <c r="DA364" t="s">
        <v>63</v>
      </c>
      <c r="DB364">
        <v>3.0000000000000001E-3</v>
      </c>
      <c r="DC364" t="str">
        <f>HYPERLINK(".\links\CDD\TI_asb-571-CDD.txt","PRK10819")</f>
        <v>PRK10819</v>
      </c>
      <c r="DD364" t="str">
        <f>HYPERLINK("http://www.ncbi.nlm.nih.gov/Structure/cdd/cddsrv.cgi?uid=PRK10819&amp;version=v4.0","3E-005")</f>
        <v>3E-005</v>
      </c>
      <c r="DE364" t="s">
        <v>3361</v>
      </c>
      <c r="DF364" t="str">
        <f>HYPERLINK(".\links\PFAM\TI_asb-571-PFAM.txt","Atrophin-1")</f>
        <v>Atrophin-1</v>
      </c>
      <c r="DG364" t="str">
        <f>HYPERLINK("http://pfam.sanger.ac.uk/family?acc=PF03154","1E-005")</f>
        <v>1E-005</v>
      </c>
      <c r="DH364" t="str">
        <f>HYPERLINK(".\links\PRK\TI_asb-571-PRK.txt","large tegument protein UL36")</f>
        <v>large tegument protein UL36</v>
      </c>
      <c r="DI364" s="7">
        <v>5.9999999999999997E-7</v>
      </c>
      <c r="DJ364" s="6" t="str">
        <f>HYPERLINK(".\links\KOG\TI_asb-571-KOG.txt","Actin regulatory protein (Wiskott-Aldrich syndrome protein)")</f>
        <v>Actin regulatory protein (Wiskott-Aldrich syndrome protein)</v>
      </c>
      <c r="DK364" s="6" t="str">
        <f>HYPERLINK("http://www.ncbi.nlm.nih.gov/COG/grace/shokog.cgi?KOG3671","3E-009")</f>
        <v>3E-009</v>
      </c>
      <c r="DL364" s="6" t="s">
        <v>4353</v>
      </c>
      <c r="DM364" s="6" t="str">
        <f>HYPERLINK(".\links\KOG\TI_asb-571-KOG.txt","KOG3671")</f>
        <v>KOG3671</v>
      </c>
      <c r="DN364" t="str">
        <f>HYPERLINK(".\links\SMART\TI_asb-571-SMART.txt","DM6")</f>
        <v>DM6</v>
      </c>
      <c r="DO364" t="str">
        <f>HYPERLINK("http://smart.embl-heidelberg.de/smart/do_annotation.pl?DOMAIN=DM6&amp;BLAST=DUMMY","3E-004")</f>
        <v>3E-004</v>
      </c>
      <c r="DP364" s="3" t="s">
        <v>56</v>
      </c>
      <c r="ED364" s="3" t="s">
        <v>56</v>
      </c>
    </row>
    <row r="365" spans="1:147" s="26" customFormat="1">
      <c r="A365" s="26" t="str">
        <f>HYPERLINK(".\links\seq\TI_asb-573-seq.txt","TI_asb-573")</f>
        <v>TI_asb-573</v>
      </c>
      <c r="B365" s="26">
        <v>573</v>
      </c>
      <c r="C365" s="27" t="str">
        <f>HYPERLINK(".\links\tsa\TI_asb-573-tsa.txt","9")</f>
        <v>9</v>
      </c>
      <c r="D365" s="26">
        <v>9</v>
      </c>
      <c r="E365" s="26">
        <v>849</v>
      </c>
      <c r="G365" s="26" t="str">
        <f>HYPERLINK(".\links\qual\TI_asb-573-qual.txt","84")</f>
        <v>84</v>
      </c>
      <c r="H365" s="26">
        <v>1</v>
      </c>
      <c r="I365" s="26">
        <v>8</v>
      </c>
      <c r="J365" s="26">
        <f t="shared" si="16"/>
        <v>7</v>
      </c>
      <c r="K365" s="26">
        <f t="shared" si="17"/>
        <v>-7</v>
      </c>
      <c r="L365" s="26" t="s">
        <v>4072</v>
      </c>
      <c r="M365" s="26" t="s">
        <v>3915</v>
      </c>
      <c r="N365" s="26" t="s">
        <v>3872</v>
      </c>
      <c r="O365" s="28">
        <v>2.0000000000000001E-58</v>
      </c>
      <c r="P365" s="26">
        <v>26.4</v>
      </c>
      <c r="Q365" s="26">
        <v>849</v>
      </c>
      <c r="R365" s="26">
        <v>414</v>
      </c>
      <c r="S365" s="26" t="s">
        <v>3844</v>
      </c>
      <c r="T365" s="26">
        <v>2</v>
      </c>
      <c r="U365" s="26" t="str">
        <f>HYPERLINK(".\links\NR-LIGHT\TI_asb-573-NR-LIGHT.txt","similar to thioredoxin reductase")</f>
        <v>similar to thioredoxin reductase</v>
      </c>
      <c r="V365" s="26" t="str">
        <f>HYPERLINK("http://www.ncbi.nlm.nih.gov/sutils/blink.cgi?pid=193645813","2E-053")</f>
        <v>2E-053</v>
      </c>
      <c r="W365" s="26" t="str">
        <f>HYPERLINK(".\links\NR-LIGHT\TI_asb-573-NR-LIGHT.txt"," 10")</f>
        <v xml:space="preserve"> 10</v>
      </c>
      <c r="X365" s="26" t="str">
        <f>HYPERLINK("http://www.ncbi.nlm.nih.gov/protein/193645813","gi|193645813")</f>
        <v>gi|193645813</v>
      </c>
      <c r="Y365" s="26">
        <v>211</v>
      </c>
      <c r="Z365" s="26">
        <v>134</v>
      </c>
      <c r="AA365" s="26">
        <v>493</v>
      </c>
      <c r="AB365" s="26">
        <v>71</v>
      </c>
      <c r="AC365" s="26">
        <v>27</v>
      </c>
      <c r="AD365" s="26">
        <v>38</v>
      </c>
      <c r="AE365" s="26">
        <v>0</v>
      </c>
      <c r="AF365" s="26">
        <v>360</v>
      </c>
      <c r="AG365" s="26">
        <v>26</v>
      </c>
      <c r="AH365" s="26">
        <v>1</v>
      </c>
      <c r="AI365" s="26">
        <v>2</v>
      </c>
      <c r="AJ365" s="26" t="s">
        <v>53</v>
      </c>
      <c r="AK365" s="26" t="s">
        <v>54</v>
      </c>
      <c r="AL365" s="26" t="s">
        <v>177</v>
      </c>
      <c r="AM365" s="26" t="str">
        <f>HYPERLINK(".\links\SWISSP\TI_asb-573-SWISSP.txt","Thioredoxin reductase 2, mitochondrial OS=Bos taurus GN=TXNRD2 PE=1 SV=2")</f>
        <v>Thioredoxin reductase 2, mitochondrial OS=Bos taurus GN=TXNRD2 PE=1 SV=2</v>
      </c>
      <c r="AN365" s="29" t="str">
        <f>HYPERLINK("http://www.uniprot.org/uniprot/Q9N2I8","3E-050")</f>
        <v>3E-050</v>
      </c>
      <c r="AO365" s="26" t="str">
        <f>HYPERLINK(".\links\SWISSP\TI_asb-573-SWISSP.txt"," 10")</f>
        <v xml:space="preserve"> 10</v>
      </c>
      <c r="AP365" s="26" t="s">
        <v>3362</v>
      </c>
      <c r="AQ365" s="26">
        <v>199</v>
      </c>
      <c r="AR365" s="26">
        <v>132</v>
      </c>
      <c r="AS365" s="26">
        <v>511</v>
      </c>
      <c r="AT365" s="26">
        <v>65</v>
      </c>
      <c r="AU365" s="26">
        <v>26</v>
      </c>
      <c r="AV365" s="26">
        <v>45</v>
      </c>
      <c r="AW365" s="26">
        <v>0</v>
      </c>
      <c r="AX365" s="26">
        <v>378</v>
      </c>
      <c r="AY365" s="26">
        <v>26</v>
      </c>
      <c r="AZ365" s="26">
        <v>1</v>
      </c>
      <c r="BA365" s="26">
        <v>2</v>
      </c>
      <c r="BB365" s="26" t="s">
        <v>53</v>
      </c>
      <c r="BC365" s="26" t="s">
        <v>54</v>
      </c>
      <c r="BD365" s="26" t="s">
        <v>113</v>
      </c>
      <c r="BE365" s="26" t="s">
        <v>3363</v>
      </c>
      <c r="BF365" s="26" t="s">
        <v>3364</v>
      </c>
      <c r="BG365" s="26" t="str">
        <f>HYPERLINK(".\links\PREV-RHOD-PEP\TI_asb-573-PREV-RHOD-PEP.txt","Contig17896_35")</f>
        <v>Contig17896_35</v>
      </c>
      <c r="BH365" s="28">
        <v>1.9999999999999998E-71</v>
      </c>
      <c r="BI365" s="26" t="str">
        <f>HYPERLINK(".\links\PREV-RHOD-PEP\TI_asb-573-PREV-RHOD-PEP.txt"," 9")</f>
        <v xml:space="preserve"> 9</v>
      </c>
      <c r="BJ365" s="26" t="s">
        <v>843</v>
      </c>
      <c r="BK365" s="26">
        <v>265</v>
      </c>
      <c r="BL365" s="26">
        <v>134</v>
      </c>
      <c r="BM365" s="26">
        <v>526</v>
      </c>
      <c r="BN365" s="26">
        <v>93</v>
      </c>
      <c r="BO365" s="26">
        <v>25</v>
      </c>
      <c r="BP365" s="26">
        <v>9</v>
      </c>
      <c r="BQ365" s="26">
        <v>0</v>
      </c>
      <c r="BR365" s="26">
        <v>393</v>
      </c>
      <c r="BS365" s="26">
        <v>26</v>
      </c>
      <c r="BT365" s="26">
        <v>1</v>
      </c>
      <c r="BU365" s="26" t="s">
        <v>54</v>
      </c>
      <c r="BV365" s="26" t="s">
        <v>3365</v>
      </c>
      <c r="BW365" s="26" t="s">
        <v>56</v>
      </c>
      <c r="BX365" s="26" t="str">
        <f>HYPERLINK(".\links\PREV-RHOD-CDS\TI_asb-573-PREV-RHOD-CDS.txt","Contig17896_35")</f>
        <v>Contig17896_35</v>
      </c>
      <c r="BY365" s="28">
        <v>1.0000000000000001E-111</v>
      </c>
      <c r="BZ365" s="26" t="s">
        <v>843</v>
      </c>
      <c r="CA365" s="26">
        <v>400</v>
      </c>
      <c r="CB365" s="26">
        <v>405</v>
      </c>
      <c r="CC365" s="26">
        <v>1581</v>
      </c>
      <c r="CD365" s="26">
        <v>87</v>
      </c>
      <c r="CE365" s="26">
        <v>26</v>
      </c>
      <c r="CF365" s="26">
        <v>51</v>
      </c>
      <c r="CG365" s="26">
        <v>0</v>
      </c>
      <c r="CH365" s="26">
        <v>1176</v>
      </c>
      <c r="CI365" s="26">
        <v>25</v>
      </c>
      <c r="CJ365" s="26">
        <v>1</v>
      </c>
      <c r="CK365" s="26" t="s">
        <v>54</v>
      </c>
      <c r="CL365" s="26" t="s">
        <v>3366</v>
      </c>
      <c r="CM365" s="26">
        <f>HYPERLINK(".\links\GO\TI_asb-573-GO.txt",3E-49)</f>
        <v>3E-49</v>
      </c>
      <c r="CN365" s="26" t="s">
        <v>3367</v>
      </c>
      <c r="CO365" s="26" t="s">
        <v>129</v>
      </c>
      <c r="CP365" s="26" t="s">
        <v>130</v>
      </c>
      <c r="CQ365" s="26" t="s">
        <v>3368</v>
      </c>
      <c r="CR365" s="28">
        <v>3E-49</v>
      </c>
      <c r="CS365" s="26" t="s">
        <v>74</v>
      </c>
      <c r="CT365" s="26" t="s">
        <v>75</v>
      </c>
      <c r="CU365" s="26" t="s">
        <v>76</v>
      </c>
      <c r="CV365" s="26" t="s">
        <v>77</v>
      </c>
      <c r="CW365" s="28">
        <v>3E-49</v>
      </c>
      <c r="CX365" s="26" t="s">
        <v>3017</v>
      </c>
      <c r="CY365" s="26" t="s">
        <v>129</v>
      </c>
      <c r="CZ365" s="26" t="s">
        <v>130</v>
      </c>
      <c r="DA365" s="26" t="s">
        <v>3018</v>
      </c>
      <c r="DB365" s="28">
        <v>3E-49</v>
      </c>
      <c r="DC365" s="26" t="str">
        <f>HYPERLINK(".\links\CDD\TI_asb-573-CDD.txt","PRK06116")</f>
        <v>PRK06116</v>
      </c>
      <c r="DD365" s="26" t="str">
        <f>HYPERLINK("http://www.ncbi.nlm.nih.gov/Structure/cdd/cddsrv.cgi?uid=PRK06116&amp;version=v4.0","4E-028")</f>
        <v>4E-028</v>
      </c>
      <c r="DE365" s="26" t="s">
        <v>3369</v>
      </c>
      <c r="DF365" s="26" t="str">
        <f>HYPERLINK(".\links\PFAM\TI_asb-573-PFAM.txt","Pyr_redox_dim")</f>
        <v>Pyr_redox_dim</v>
      </c>
      <c r="DG365" s="26" t="str">
        <f>HYPERLINK("http://pfam.sanger.ac.uk/family?acc=PF02852","1E-026")</f>
        <v>1E-026</v>
      </c>
      <c r="DH365" s="26" t="str">
        <f>HYPERLINK(".\links\PRK\TI_asb-573-PRK.txt","glutathione reductase")</f>
        <v>glutathione reductase</v>
      </c>
      <c r="DI365" s="28">
        <v>1.9999999999999999E-29</v>
      </c>
      <c r="DJ365" s="26" t="str">
        <f>HYPERLINK(".\links\KOG\TI_asb-573-KOG.txt","Nuclear protein, contains WD40 repeats")</f>
        <v>Nuclear protein, contains WD40 repeats</v>
      </c>
      <c r="DK365" s="26" t="str">
        <f>HYPERLINK("http://www.ncbi.nlm.nih.gov/COG/grace/shokog.cgi?KOG1916","0.0")</f>
        <v>0.0</v>
      </c>
      <c r="DL365" s="26" t="s">
        <v>4337</v>
      </c>
      <c r="DM365" s="26" t="str">
        <f>HYPERLINK(".\links\KOG\TI_asb-573-KOG.txt","KOG1916")</f>
        <v>KOG1916</v>
      </c>
      <c r="DN365" s="26" t="str">
        <f>HYPERLINK(".\links\SMART\TI_asb-573-SMART.txt","LITAF")</f>
        <v>LITAF</v>
      </c>
      <c r="DO365" s="26" t="str">
        <f>HYPERLINK("http://smart.embl-heidelberg.de/smart/do_annotation.pl?DOMAIN=LITAF&amp;BLAST=DUMMY","0.029")</f>
        <v>0.029</v>
      </c>
      <c r="DP365" s="26" t="s">
        <v>56</v>
      </c>
      <c r="ED365" s="26" t="s">
        <v>56</v>
      </c>
    </row>
    <row r="366" spans="1:147">
      <c r="A366" t="str">
        <f>HYPERLINK(".\links\seq\TI_asb-574-seq.txt","TI_asb-574")</f>
        <v>TI_asb-574</v>
      </c>
      <c r="B366">
        <v>574</v>
      </c>
      <c r="C366" t="str">
        <f>HYPERLINK(".\links\tsa\TI_asb-574-tsa.txt","1")</f>
        <v>1</v>
      </c>
      <c r="D366">
        <v>1</v>
      </c>
      <c r="E366">
        <v>849</v>
      </c>
      <c r="F366">
        <v>814</v>
      </c>
      <c r="G366" t="str">
        <f>HYPERLINK(".\links\qual\TI_asb-574-qual.txt","29")</f>
        <v>29</v>
      </c>
      <c r="H366">
        <v>0</v>
      </c>
      <c r="I366">
        <v>1</v>
      </c>
      <c r="J366">
        <f t="shared" si="16"/>
        <v>1</v>
      </c>
      <c r="K366" s="6">
        <f t="shared" si="17"/>
        <v>-1</v>
      </c>
      <c r="L366" s="6" t="s">
        <v>4072</v>
      </c>
      <c r="M366" s="26" t="s">
        <v>3915</v>
      </c>
      <c r="N366" s="6" t="s">
        <v>3872</v>
      </c>
      <c r="O366" s="7">
        <v>3.0000000000000003E-42</v>
      </c>
      <c r="P366" s="6">
        <v>26</v>
      </c>
      <c r="Q366" s="3">
        <v>849</v>
      </c>
      <c r="R366" s="3">
        <v>312</v>
      </c>
      <c r="S366" s="6" t="s">
        <v>3845</v>
      </c>
      <c r="T366" s="3">
        <v>3</v>
      </c>
      <c r="U366" t="str">
        <f>HYPERLINK(".\links\NR-LIGHT\TI_asb-574-NR-LIGHT.txt","similar to thioredoxin reductase isoform 2")</f>
        <v>similar to thioredoxin reductase isoform 2</v>
      </c>
      <c r="V366" t="str">
        <f>HYPERLINK("http://www.ncbi.nlm.nih.gov/sutils/blink.cgi?pid=91079422","6E-040")</f>
        <v>6E-040</v>
      </c>
      <c r="W366" t="str">
        <f>HYPERLINK(".\links\NR-LIGHT\TI_asb-574-NR-LIGHT.txt"," 10")</f>
        <v xml:space="preserve"> 10</v>
      </c>
      <c r="X366" t="str">
        <f>HYPERLINK("http://www.ncbi.nlm.nih.gov/protein/91079422","gi|91079422")</f>
        <v>gi|91079422</v>
      </c>
      <c r="Y366">
        <v>166</v>
      </c>
      <c r="Z366">
        <v>132</v>
      </c>
      <c r="AA366">
        <v>492</v>
      </c>
      <c r="AB366">
        <v>60</v>
      </c>
      <c r="AC366">
        <v>27</v>
      </c>
      <c r="AD366">
        <v>52</v>
      </c>
      <c r="AE366">
        <v>0</v>
      </c>
      <c r="AF366">
        <v>361</v>
      </c>
      <c r="AG366">
        <v>3</v>
      </c>
      <c r="AH366">
        <v>1</v>
      </c>
      <c r="AI366">
        <v>3</v>
      </c>
      <c r="AJ366" t="s">
        <v>53</v>
      </c>
      <c r="AK366" t="s">
        <v>54</v>
      </c>
      <c r="AL366" t="s">
        <v>79</v>
      </c>
      <c r="AM366" t="str">
        <f>HYPERLINK(".\links\SWISSP\TI_asb-574-SWISSP.txt","Thioredoxin reductase 2, mitochondrial OS=Bos taurus GN=TXNRD2 PE=1 SV=2")</f>
        <v>Thioredoxin reductase 2, mitochondrial OS=Bos taurus GN=TXNRD2 PE=1 SV=2</v>
      </c>
      <c r="AN366" s="19" t="str">
        <f>HYPERLINK("http://www.uniprot.org/uniprot/Q9N2I8","3E-036")</f>
        <v>3E-036</v>
      </c>
      <c r="AO366" t="str">
        <f>HYPERLINK(".\links\SWISSP\TI_asb-574-SWISSP.txt"," 10")</f>
        <v xml:space="preserve"> 10</v>
      </c>
      <c r="AP366" t="s">
        <v>3362</v>
      </c>
      <c r="AQ366">
        <v>152</v>
      </c>
      <c r="AR366">
        <v>129</v>
      </c>
      <c r="AS366">
        <v>511</v>
      </c>
      <c r="AT366">
        <v>55</v>
      </c>
      <c r="AU366">
        <v>25</v>
      </c>
      <c r="AV366">
        <v>57</v>
      </c>
      <c r="AW366">
        <v>0</v>
      </c>
      <c r="AX366">
        <v>381</v>
      </c>
      <c r="AY366">
        <v>6</v>
      </c>
      <c r="AZ366">
        <v>1</v>
      </c>
      <c r="BA366">
        <v>3</v>
      </c>
      <c r="BB366" t="s">
        <v>53</v>
      </c>
      <c r="BC366" t="s">
        <v>54</v>
      </c>
      <c r="BD366" t="s">
        <v>113</v>
      </c>
      <c r="BE366" t="s">
        <v>3370</v>
      </c>
      <c r="BF366" t="s">
        <v>3371</v>
      </c>
      <c r="BG366" t="str">
        <f>HYPERLINK(".\links\PREV-RHOD-PEP\TI_asb-574-PREV-RHOD-PEP.txt","Contig17896_35")</f>
        <v>Contig17896_35</v>
      </c>
      <c r="BH366" s="7">
        <v>1E-53</v>
      </c>
      <c r="BI366" t="str">
        <f>HYPERLINK(".\links\PREV-RHOD-PEP\TI_asb-574-PREV-RHOD-PEP.txt"," 10")</f>
        <v xml:space="preserve"> 10</v>
      </c>
      <c r="BJ366" t="s">
        <v>843</v>
      </c>
      <c r="BK366">
        <v>206</v>
      </c>
      <c r="BL366">
        <v>132</v>
      </c>
      <c r="BM366">
        <v>526</v>
      </c>
      <c r="BN366">
        <v>77</v>
      </c>
      <c r="BO366">
        <v>25</v>
      </c>
      <c r="BP366">
        <v>30</v>
      </c>
      <c r="BQ366">
        <v>0</v>
      </c>
      <c r="BR366">
        <v>395</v>
      </c>
      <c r="BS366">
        <v>3</v>
      </c>
      <c r="BT366">
        <v>1</v>
      </c>
      <c r="BU366" t="s">
        <v>54</v>
      </c>
      <c r="BV366" t="s">
        <v>3372</v>
      </c>
      <c r="BW366" t="s">
        <v>56</v>
      </c>
      <c r="BX366" t="str">
        <f>HYPERLINK(".\links\PREV-RHOD-CDS\TI_asb-574-PREV-RHOD-CDS.txt","Contig17896_35")</f>
        <v>Contig17896_35</v>
      </c>
      <c r="BY366" s="7">
        <v>3.9999999999999999E-69</v>
      </c>
      <c r="BZ366" t="s">
        <v>843</v>
      </c>
      <c r="CA366">
        <v>262</v>
      </c>
      <c r="CB366">
        <v>398</v>
      </c>
      <c r="CC366">
        <v>1581</v>
      </c>
      <c r="CD366">
        <v>88</v>
      </c>
      <c r="CE366">
        <v>25</v>
      </c>
      <c r="CF366">
        <v>27</v>
      </c>
      <c r="CG366">
        <v>0</v>
      </c>
      <c r="CH366">
        <v>1183</v>
      </c>
      <c r="CI366">
        <v>3</v>
      </c>
      <c r="CJ366">
        <v>2</v>
      </c>
      <c r="CK366" t="s">
        <v>54</v>
      </c>
      <c r="CL366" t="s">
        <v>3366</v>
      </c>
      <c r="CM366">
        <f>HYPERLINK(".\links\GO\TI_asb-574-GO.txt",6E-35)</f>
        <v>5.9999999999999998E-35</v>
      </c>
      <c r="CN366" t="s">
        <v>3367</v>
      </c>
      <c r="CO366" t="s">
        <v>129</v>
      </c>
      <c r="CP366" t="s">
        <v>130</v>
      </c>
      <c r="CQ366" t="s">
        <v>3368</v>
      </c>
      <c r="CR366" s="7">
        <v>5.9999999999999998E-35</v>
      </c>
      <c r="CS366" t="s">
        <v>74</v>
      </c>
      <c r="CT366" t="s">
        <v>75</v>
      </c>
      <c r="CU366" t="s">
        <v>76</v>
      </c>
      <c r="CV366" t="s">
        <v>77</v>
      </c>
      <c r="CW366" s="7">
        <v>5.9999999999999998E-35</v>
      </c>
      <c r="CX366" t="s">
        <v>3017</v>
      </c>
      <c r="CY366" t="s">
        <v>129</v>
      </c>
      <c r="CZ366" t="s">
        <v>130</v>
      </c>
      <c r="DA366" t="s">
        <v>3018</v>
      </c>
      <c r="DB366" s="7">
        <v>5.9999999999999998E-35</v>
      </c>
      <c r="DC366" t="str">
        <f>HYPERLINK(".\links\CDD\TI_asb-574-CDD.txt","PRK06116")</f>
        <v>PRK06116</v>
      </c>
      <c r="DD366" t="str">
        <f>HYPERLINK("http://www.ncbi.nlm.nih.gov/Structure/cdd/cddsrv.cgi?uid=PRK06116&amp;version=v4.0","1E-018")</f>
        <v>1E-018</v>
      </c>
      <c r="DE366" t="s">
        <v>3373</v>
      </c>
      <c r="DF366" t="str">
        <f>HYPERLINK(".\links\PFAM\TI_asb-574-PFAM.txt","Pyr_redox_dim")</f>
        <v>Pyr_redox_dim</v>
      </c>
      <c r="DG366" t="str">
        <f>HYPERLINK("http://pfam.sanger.ac.uk/family?acc=PF02852","2E-017")</f>
        <v>2E-017</v>
      </c>
      <c r="DH366" t="str">
        <f>HYPERLINK(".\links\PRK\TI_asb-574-PRK.txt","glutathione reductase")</f>
        <v>glutathione reductase</v>
      </c>
      <c r="DI366" s="7">
        <v>3.9999999999999999E-19</v>
      </c>
      <c r="DJ366" s="6" t="str">
        <f>HYPERLINK(".\links\KOG\TI_asb-574-KOG.txt","Nuclear protein, contains WD40 repeats")</f>
        <v>Nuclear protein, contains WD40 repeats</v>
      </c>
      <c r="DK366" s="6" t="str">
        <f>HYPERLINK("http://www.ncbi.nlm.nih.gov/COG/grace/shokog.cgi?KOG1916","0.0")</f>
        <v>0.0</v>
      </c>
      <c r="DL366" s="6" t="s">
        <v>4337</v>
      </c>
      <c r="DM366" s="6" t="str">
        <f>HYPERLINK(".\links\KOG\TI_asb-574-KOG.txt","KOG1916")</f>
        <v>KOG1916</v>
      </c>
      <c r="DN366" t="str">
        <f>HYPERLINK(".\links\SMART\TI_asb-574-SMART.txt","LITAF")</f>
        <v>LITAF</v>
      </c>
      <c r="DO366" t="str">
        <f>HYPERLINK("http://smart.embl-heidelberg.de/smart/do_annotation.pl?DOMAIN=LITAF&amp;BLAST=DUMMY","0.041")</f>
        <v>0.041</v>
      </c>
      <c r="DP366" s="3" t="s">
        <v>56</v>
      </c>
      <c r="ED366" s="3" t="s">
        <v>56</v>
      </c>
    </row>
    <row r="367" spans="1:147">
      <c r="A367" t="str">
        <f>HYPERLINK(".\links\seq\TI_asb-575-seq.txt","TI_asb-575")</f>
        <v>TI_asb-575</v>
      </c>
      <c r="B367">
        <v>575</v>
      </c>
      <c r="C367" t="str">
        <f>HYPERLINK(".\links\tsa\TI_asb-575-tsa.txt","6")</f>
        <v>6</v>
      </c>
      <c r="D367">
        <v>6</v>
      </c>
      <c r="E367">
        <v>772</v>
      </c>
      <c r="G367" t="str">
        <f>HYPERLINK(".\links\qual\TI_asb-575-qual.txt","81")</f>
        <v>81</v>
      </c>
      <c r="H367">
        <v>4</v>
      </c>
      <c r="I367">
        <v>2</v>
      </c>
      <c r="J367">
        <f t="shared" si="16"/>
        <v>2</v>
      </c>
      <c r="K367" s="6">
        <f t="shared" si="17"/>
        <v>2</v>
      </c>
      <c r="L367" s="6" t="s">
        <v>4073</v>
      </c>
      <c r="M367" s="6" t="s">
        <v>3871</v>
      </c>
      <c r="N367" s="6" t="s">
        <v>3884</v>
      </c>
      <c r="O367" s="6">
        <v>7.9999999999999998E-12</v>
      </c>
      <c r="P367" s="6">
        <v>49.1</v>
      </c>
      <c r="Q367" s="3">
        <v>772</v>
      </c>
      <c r="R367" s="3">
        <v>276</v>
      </c>
      <c r="S367" s="3" t="s">
        <v>3846</v>
      </c>
      <c r="T367" s="3">
        <v>2</v>
      </c>
      <c r="U367" t="str">
        <f>HYPERLINK(".\links\NR-LIGHT\TI_asb-575-NR-LIGHT.txt","truncated ATPase subunit 6")</f>
        <v>truncated ATPase subunit 6</v>
      </c>
      <c r="V367" t="str">
        <f>HYPERLINK("http://www.ncbi.nlm.nih.gov/sutils/blink.cgi?pid=149898887","3E-073")</f>
        <v>3E-073</v>
      </c>
      <c r="W367" t="str">
        <f>HYPERLINK(".\links\NR-LIGHT\TI_asb-575-NR-LIGHT.txt"," 10")</f>
        <v xml:space="preserve"> 10</v>
      </c>
      <c r="X367" t="str">
        <f>HYPERLINK("http://www.ncbi.nlm.nih.gov/protein/149898887","gi|149898887")</f>
        <v>gi|149898887</v>
      </c>
      <c r="Y367">
        <v>277</v>
      </c>
      <c r="Z367">
        <v>210</v>
      </c>
      <c r="AA367">
        <v>222</v>
      </c>
      <c r="AB367">
        <v>70</v>
      </c>
      <c r="AC367">
        <v>95</v>
      </c>
      <c r="AD367">
        <v>61</v>
      </c>
      <c r="AE367">
        <v>0</v>
      </c>
      <c r="AF367">
        <v>1</v>
      </c>
      <c r="AG367">
        <v>143</v>
      </c>
      <c r="AH367">
        <v>1</v>
      </c>
      <c r="AI367">
        <v>2</v>
      </c>
      <c r="AJ367" t="s">
        <v>53</v>
      </c>
      <c r="AK367" t="s">
        <v>54</v>
      </c>
      <c r="AL367" t="s">
        <v>55</v>
      </c>
      <c r="AM367" t="str">
        <f>HYPERLINK(".\links\SWISSP\TI_asb-575-SWISSP.txt","ATP synthase subunit a OS=Drosophila simulans GN=mt:ATPase6 PE=3 SV=1")</f>
        <v>ATP synthase subunit a OS=Drosophila simulans GN=mt:ATPase6 PE=3 SV=1</v>
      </c>
      <c r="AN367" s="19" t="str">
        <f>HYPERLINK("http://www.uniprot.org/uniprot/P50269","3E-047")</f>
        <v>3E-047</v>
      </c>
      <c r="AO367" t="str">
        <f>HYPERLINK(".\links\SWISSP\TI_asb-575-SWISSP.txt"," 10")</f>
        <v xml:space="preserve"> 10</v>
      </c>
      <c r="AP367" t="s">
        <v>1002</v>
      </c>
      <c r="AQ367">
        <v>188</v>
      </c>
      <c r="AR367">
        <v>211</v>
      </c>
      <c r="AS367">
        <v>224</v>
      </c>
      <c r="AT367">
        <v>47</v>
      </c>
      <c r="AU367">
        <v>94</v>
      </c>
      <c r="AV367">
        <v>110</v>
      </c>
      <c r="AW367">
        <v>1</v>
      </c>
      <c r="AX367">
        <v>1</v>
      </c>
      <c r="AY367">
        <v>143</v>
      </c>
      <c r="AZ367">
        <v>1</v>
      </c>
      <c r="BA367">
        <v>2</v>
      </c>
      <c r="BB367" t="s">
        <v>53</v>
      </c>
      <c r="BC367" t="s">
        <v>54</v>
      </c>
      <c r="BD367" t="s">
        <v>1003</v>
      </c>
      <c r="BE367" t="s">
        <v>3374</v>
      </c>
      <c r="BF367" t="s">
        <v>3375</v>
      </c>
      <c r="BG367" t="str">
        <f>HYPERLINK(".\links\PREV-RHOD-PEP\TI_asb-575-PREV-RHOD-PEP.txt","Contig7855_1")</f>
        <v>Contig7855_1</v>
      </c>
      <c r="BH367" s="6">
        <v>1.1000000000000001</v>
      </c>
      <c r="BI367" t="str">
        <f>HYPERLINK(".\links\PREV-RHOD-PEP\TI_asb-575-PREV-RHOD-PEP.txt"," 1")</f>
        <v xml:space="preserve"> 1</v>
      </c>
      <c r="BJ367" t="s">
        <v>3376</v>
      </c>
      <c r="BK367">
        <v>30</v>
      </c>
      <c r="BL367">
        <v>17</v>
      </c>
      <c r="BM367">
        <v>21</v>
      </c>
      <c r="BN367">
        <v>70</v>
      </c>
      <c r="BO367">
        <v>81</v>
      </c>
      <c r="BP367">
        <v>5</v>
      </c>
      <c r="BQ367">
        <v>0</v>
      </c>
      <c r="BR367">
        <v>1</v>
      </c>
      <c r="BS367">
        <v>2</v>
      </c>
      <c r="BT367">
        <v>1</v>
      </c>
      <c r="BU367" t="s">
        <v>64</v>
      </c>
      <c r="BV367" t="s">
        <v>3377</v>
      </c>
      <c r="BW367" t="s">
        <v>56</v>
      </c>
      <c r="BX367" t="str">
        <f>HYPERLINK(".\links\PREV-RHOD-CDS\TI_asb-575-PREV-RHOD-CDS.txt","Contig7855_1")</f>
        <v>Contig7855_1</v>
      </c>
      <c r="BY367" s="6">
        <v>2.5000000000000001E-2</v>
      </c>
      <c r="BZ367" t="s">
        <v>3376</v>
      </c>
      <c r="CA367">
        <v>40.1</v>
      </c>
      <c r="CB367">
        <v>51</v>
      </c>
      <c r="CC367">
        <v>66</v>
      </c>
      <c r="CD367">
        <v>84</v>
      </c>
      <c r="CE367">
        <v>79</v>
      </c>
      <c r="CF367">
        <v>8</v>
      </c>
      <c r="CG367">
        <v>0</v>
      </c>
      <c r="CH367">
        <v>1</v>
      </c>
      <c r="CI367">
        <v>1</v>
      </c>
      <c r="CJ367">
        <v>1</v>
      </c>
      <c r="CK367" t="s">
        <v>64</v>
      </c>
      <c r="CL367" t="s">
        <v>3378</v>
      </c>
      <c r="CM367">
        <f>HYPERLINK(".\links\GO\TI_asb-575-GO.txt",2E-47)</f>
        <v>1.9999999999999999E-47</v>
      </c>
      <c r="CN367" t="s">
        <v>375</v>
      </c>
      <c r="CO367" t="s">
        <v>129</v>
      </c>
      <c r="CP367" t="s">
        <v>166</v>
      </c>
      <c r="CQ367" t="s">
        <v>376</v>
      </c>
      <c r="CR367" s="7">
        <v>1.9999999999999999E-47</v>
      </c>
      <c r="CS367" t="s">
        <v>241</v>
      </c>
      <c r="CT367" t="s">
        <v>75</v>
      </c>
      <c r="CU367" t="s">
        <v>76</v>
      </c>
      <c r="CV367" t="s">
        <v>242</v>
      </c>
      <c r="CW367" s="7">
        <v>1.9999999999999999E-47</v>
      </c>
      <c r="CX367" t="s">
        <v>3379</v>
      </c>
      <c r="CY367" t="s">
        <v>129</v>
      </c>
      <c r="CZ367" t="s">
        <v>166</v>
      </c>
      <c r="DA367" t="s">
        <v>3380</v>
      </c>
      <c r="DB367" s="7">
        <v>1.9999999999999999E-47</v>
      </c>
      <c r="DC367" t="str">
        <f>HYPERLINK(".\links\CDD\TI_asb-575-CDD.txt","ATP6")</f>
        <v>ATP6</v>
      </c>
      <c r="DD367" t="str">
        <f>HYPERLINK("http://www.ncbi.nlm.nih.gov/Structure/cdd/cddsrv.cgi?uid=MTH00157&amp;version=v4.0","1E-093")</f>
        <v>1E-093</v>
      </c>
      <c r="DE367" t="s">
        <v>3381</v>
      </c>
      <c r="DF367" t="str">
        <f>HYPERLINK(".\links\PFAM\TI_asb-575-PFAM.txt","ATP-synt_A")</f>
        <v>ATP-synt_A</v>
      </c>
      <c r="DG367" t="str">
        <f>HYPERLINK("http://pfam.sanger.ac.uk/family?acc=PF00119","5E-050")</f>
        <v>5E-050</v>
      </c>
      <c r="DH367" t="str">
        <f>HYPERLINK(".\links\PRK\TI_asb-575-PRK.txt","ATP synthase F0 subunit 6")</f>
        <v>ATP synthase F0 subunit 6</v>
      </c>
      <c r="DI367" s="7">
        <v>1E-99</v>
      </c>
      <c r="DJ367" s="6" t="str">
        <f>HYPERLINK(".\links\KOG\TI_asb-575-KOG.txt","ATP synthase F0 subunit 6 and related proteins")</f>
        <v>ATP synthase F0 subunit 6 and related proteins</v>
      </c>
      <c r="DK367" s="6" t="str">
        <f>HYPERLINK("http://www.ncbi.nlm.nih.gov/COG/grace/shokog.cgi?KOG4665","9E-052")</f>
        <v>9E-052</v>
      </c>
      <c r="DL367" s="6" t="s">
        <v>4349</v>
      </c>
      <c r="DM367" s="6" t="str">
        <f>HYPERLINK(".\links\KOG\TI_asb-575-KOG.txt","KOG4665")</f>
        <v>KOG4665</v>
      </c>
      <c r="DN367" t="str">
        <f>HYPERLINK(".\links\SMART\TI_asb-575-SMART.txt","AgrB")</f>
        <v>AgrB</v>
      </c>
      <c r="DO367" t="str">
        <f>HYPERLINK("http://smart.embl-heidelberg.de/smart/do_annotation.pl?DOMAIN=AgrB&amp;BLAST=DUMMY","0.030")</f>
        <v>0.030</v>
      </c>
      <c r="DP367" s="3" t="s">
        <v>56</v>
      </c>
      <c r="ED367" s="3" t="str">
        <f>HYPERLINK(".\links\MIT-PLA\TI_asb-575-MIT-PLA.txt","Triatoma dimidiata mitochondrial DNA, complete genome")</f>
        <v>Triatoma dimidiata mitochondrial DNA, complete genome</v>
      </c>
      <c r="EE367" s="3" t="str">
        <f>HYPERLINK("http://www.ncbi.nlm.nih.gov/entrez/viewer.fcgi?db=nucleotide&amp;val=11139100","3E-038")</f>
        <v>3E-038</v>
      </c>
      <c r="EF367" s="3" t="str">
        <f>HYPERLINK("http://www.ncbi.nlm.nih.gov/entrez/viewer.fcgi?db=nucleotide&amp;val=11139100","gi|11139100")</f>
        <v>gi|11139100</v>
      </c>
      <c r="EG367" s="3">
        <v>159</v>
      </c>
      <c r="EH367" s="3">
        <v>531</v>
      </c>
      <c r="EI367" s="3">
        <v>17019</v>
      </c>
      <c r="EJ367" s="3">
        <v>78</v>
      </c>
      <c r="EK367" s="3">
        <v>3</v>
      </c>
      <c r="EL367" s="3">
        <v>113</v>
      </c>
      <c r="EM367" s="3">
        <v>0</v>
      </c>
      <c r="EN367" s="3">
        <v>3925</v>
      </c>
      <c r="EO367" s="3">
        <v>114</v>
      </c>
      <c r="EP367" s="3">
        <v>1</v>
      </c>
      <c r="EQ367" s="3" t="s">
        <v>54</v>
      </c>
    </row>
    <row r="368" spans="1:147">
      <c r="A368" t="str">
        <f>HYPERLINK(".\links\seq\TI_asb-576-seq.txt","TI_asb-576")</f>
        <v>TI_asb-576</v>
      </c>
      <c r="B368">
        <v>576</v>
      </c>
      <c r="C368" t="str">
        <f>HYPERLINK(".\links\tsa\TI_asb-576-tsa.txt","1")</f>
        <v>1</v>
      </c>
      <c r="D368">
        <v>1</v>
      </c>
      <c r="E368">
        <v>679</v>
      </c>
      <c r="F368">
        <v>655</v>
      </c>
      <c r="G368" t="str">
        <f>HYPERLINK(".\links\qual\TI_asb-576-qual.txt","49")</f>
        <v>49</v>
      </c>
      <c r="H368">
        <v>1</v>
      </c>
      <c r="I368">
        <v>0</v>
      </c>
      <c r="J368">
        <f t="shared" si="16"/>
        <v>1</v>
      </c>
      <c r="K368" s="6">
        <f t="shared" si="17"/>
        <v>1</v>
      </c>
      <c r="L368" s="6" t="s">
        <v>4074</v>
      </c>
      <c r="M368" s="6" t="s">
        <v>3904</v>
      </c>
      <c r="N368" s="6" t="s">
        <v>3872</v>
      </c>
      <c r="O368" s="7">
        <v>6.0000000000000002E-54</v>
      </c>
      <c r="P368" s="6">
        <v>87</v>
      </c>
      <c r="Q368" s="3">
        <v>679</v>
      </c>
      <c r="R368" s="3">
        <v>339</v>
      </c>
      <c r="S368" s="6" t="s">
        <v>3847</v>
      </c>
      <c r="T368" s="3">
        <v>3</v>
      </c>
      <c r="U368" t="str">
        <f>HYPERLINK(".\links\NR-LIGHT\TI_asb-576-NR-LIGHT.txt","truncated ATPase subunit 6")</f>
        <v>truncated ATPase subunit 6</v>
      </c>
      <c r="V368" t="str">
        <f>HYPERLINK("http://www.ncbi.nlm.nih.gov/sutils/blink.cgi?pid=149898887","1E-070")</f>
        <v>1E-070</v>
      </c>
      <c r="W368" t="str">
        <f>HYPERLINK(".\links\NR-LIGHT\TI_asb-576-NR-LIGHT.txt"," 10")</f>
        <v xml:space="preserve"> 10</v>
      </c>
      <c r="X368" t="str">
        <f>HYPERLINK("http://www.ncbi.nlm.nih.gov/protein/149898887","gi|149898887")</f>
        <v>gi|149898887</v>
      </c>
      <c r="Y368">
        <v>268</v>
      </c>
      <c r="Z368">
        <v>216</v>
      </c>
      <c r="AA368">
        <v>222</v>
      </c>
      <c r="AB368">
        <v>68</v>
      </c>
      <c r="AC368">
        <v>97</v>
      </c>
      <c r="AD368">
        <v>68</v>
      </c>
      <c r="AE368">
        <v>0</v>
      </c>
      <c r="AF368">
        <v>7</v>
      </c>
      <c r="AG368">
        <v>3</v>
      </c>
      <c r="AH368">
        <v>1</v>
      </c>
      <c r="AI368">
        <v>3</v>
      </c>
      <c r="AJ368" t="s">
        <v>53</v>
      </c>
      <c r="AK368" t="s">
        <v>54</v>
      </c>
      <c r="AL368" t="s">
        <v>55</v>
      </c>
      <c r="AM368" t="str">
        <f>HYPERLINK(".\links\SWISSP\TI_asb-576-SWISSP.txt","ATP synthase subunit a OS=Drosophila simulans GN=mt:ATPase6 PE=3 SV=1")</f>
        <v>ATP synthase subunit a OS=Drosophila simulans GN=mt:ATPase6 PE=3 SV=1</v>
      </c>
      <c r="AN368" s="19" t="str">
        <f>HYPERLINK("http://www.uniprot.org/uniprot/P50269","2E-049")</f>
        <v>2E-049</v>
      </c>
      <c r="AO368" t="str">
        <f>HYPERLINK(".\links\SWISSP\TI_asb-576-SWISSP.txt"," 10")</f>
        <v xml:space="preserve"> 10</v>
      </c>
      <c r="AP368" t="s">
        <v>1002</v>
      </c>
      <c r="AQ368">
        <v>195</v>
      </c>
      <c r="AR368">
        <v>217</v>
      </c>
      <c r="AS368">
        <v>224</v>
      </c>
      <c r="AT368">
        <v>47</v>
      </c>
      <c r="AU368">
        <v>97</v>
      </c>
      <c r="AV368">
        <v>113</v>
      </c>
      <c r="AW368">
        <v>1</v>
      </c>
      <c r="AX368">
        <v>7</v>
      </c>
      <c r="AY368">
        <v>3</v>
      </c>
      <c r="AZ368">
        <v>1</v>
      </c>
      <c r="BA368">
        <v>3</v>
      </c>
      <c r="BB368" t="s">
        <v>53</v>
      </c>
      <c r="BC368" t="s">
        <v>54</v>
      </c>
      <c r="BD368" t="s">
        <v>1003</v>
      </c>
      <c r="BE368" t="s">
        <v>3382</v>
      </c>
      <c r="BF368" t="s">
        <v>3383</v>
      </c>
      <c r="BG368" t="str">
        <f>HYPERLINK(".\links\PREV-RHOD-PEP\TI_asb-576-PREV-RHOD-PEP.txt","Contig17868_39")</f>
        <v>Contig17868_39</v>
      </c>
      <c r="BH368" s="6">
        <v>4.4000000000000004</v>
      </c>
      <c r="BI368" t="str">
        <f>HYPERLINK(".\links\PREV-RHOD-PEP\TI_asb-576-PREV-RHOD-PEP.txt"," 1")</f>
        <v xml:space="preserve"> 1</v>
      </c>
      <c r="BJ368" t="s">
        <v>3384</v>
      </c>
      <c r="BK368">
        <v>27.7</v>
      </c>
      <c r="BL368">
        <v>76</v>
      </c>
      <c r="BM368">
        <v>1940</v>
      </c>
      <c r="BN368">
        <v>31</v>
      </c>
      <c r="BO368">
        <v>4</v>
      </c>
      <c r="BP368">
        <v>52</v>
      </c>
      <c r="BQ368">
        <v>6</v>
      </c>
      <c r="BR368">
        <v>84</v>
      </c>
      <c r="BS368">
        <v>326</v>
      </c>
      <c r="BT368">
        <v>1</v>
      </c>
      <c r="BU368" t="s">
        <v>54</v>
      </c>
      <c r="BV368" t="s">
        <v>3385</v>
      </c>
      <c r="BW368" t="s">
        <v>56</v>
      </c>
      <c r="BX368" t="str">
        <f>HYPERLINK(".\links\PREV-RHOD-CDS\TI_asb-576-PREV-RHOD-CDS.txt","Contig7453_1")</f>
        <v>Contig7453_1</v>
      </c>
      <c r="BY368" s="6">
        <v>1.3</v>
      </c>
      <c r="BZ368" t="s">
        <v>3386</v>
      </c>
      <c r="CA368">
        <v>34.200000000000003</v>
      </c>
      <c r="CB368">
        <v>16</v>
      </c>
      <c r="CC368">
        <v>3168</v>
      </c>
      <c r="CD368">
        <v>100</v>
      </c>
      <c r="CE368">
        <v>1</v>
      </c>
      <c r="CF368">
        <v>0</v>
      </c>
      <c r="CG368">
        <v>0</v>
      </c>
      <c r="CH368">
        <v>239</v>
      </c>
      <c r="CI368">
        <v>50</v>
      </c>
      <c r="CJ368">
        <v>1</v>
      </c>
      <c r="CK368" t="s">
        <v>54</v>
      </c>
      <c r="CL368" t="s">
        <v>3378</v>
      </c>
      <c r="CM368">
        <f>HYPERLINK(".\links\GO\TI_asb-576-GO.txt",1E-49)</f>
        <v>9.9999999999999994E-50</v>
      </c>
      <c r="CN368" t="s">
        <v>375</v>
      </c>
      <c r="CO368" t="s">
        <v>129</v>
      </c>
      <c r="CP368" t="s">
        <v>166</v>
      </c>
      <c r="CQ368" t="s">
        <v>376</v>
      </c>
      <c r="CR368" s="7">
        <v>9.9999999999999994E-50</v>
      </c>
      <c r="CS368" t="s">
        <v>241</v>
      </c>
      <c r="CT368" t="s">
        <v>75</v>
      </c>
      <c r="CU368" t="s">
        <v>76</v>
      </c>
      <c r="CV368" t="s">
        <v>242</v>
      </c>
      <c r="CW368" s="7">
        <v>9.9999999999999994E-50</v>
      </c>
      <c r="CX368" t="s">
        <v>3379</v>
      </c>
      <c r="CY368" t="s">
        <v>129</v>
      </c>
      <c r="CZ368" t="s">
        <v>166</v>
      </c>
      <c r="DA368" t="s">
        <v>3380</v>
      </c>
      <c r="DB368" s="7">
        <v>9.9999999999999994E-50</v>
      </c>
      <c r="DC368" t="str">
        <f>HYPERLINK(".\links\CDD\TI_asb-576-CDD.txt","ATP6")</f>
        <v>ATP6</v>
      </c>
      <c r="DD368" t="str">
        <f>HYPERLINK("http://www.ncbi.nlm.nih.gov/Structure/cdd/cddsrv.cgi?uid=MTH00157&amp;version=v4.0","3E-095")</f>
        <v>3E-095</v>
      </c>
      <c r="DE368" t="s">
        <v>3387</v>
      </c>
      <c r="DF368" t="str">
        <f>HYPERLINK(".\links\PFAM\TI_asb-576-PFAM.txt","ATP-synt_A")</f>
        <v>ATP-synt_A</v>
      </c>
      <c r="DG368" t="str">
        <f>HYPERLINK("http://pfam.sanger.ac.uk/family?acc=PF00119","3E-054")</f>
        <v>3E-054</v>
      </c>
      <c r="DH368" t="str">
        <f>HYPERLINK(".\links\PRK\TI_asb-576-PRK.txt","ATP synthase F0 subunit 6")</f>
        <v>ATP synthase F0 subunit 6</v>
      </c>
      <c r="DI368" s="7">
        <v>1.0000000000000001E-101</v>
      </c>
      <c r="DJ368" s="6" t="str">
        <f>HYPERLINK(".\links\KOG\TI_asb-576-KOG.txt","ATP synthase F0 subunit 6 and related proteins")</f>
        <v>ATP synthase F0 subunit 6 and related proteins</v>
      </c>
      <c r="DK368" s="6" t="str">
        <f>HYPERLINK("http://www.ncbi.nlm.nih.gov/COG/grace/shokog.cgi?KOG4665","6E-054")</f>
        <v>6E-054</v>
      </c>
      <c r="DL368" s="6" t="s">
        <v>4349</v>
      </c>
      <c r="DM368" s="6" t="str">
        <f>HYPERLINK(".\links\KOG\TI_asb-576-KOG.txt","KOG4665")</f>
        <v>KOG4665</v>
      </c>
      <c r="DN368" t="str">
        <f>HYPERLINK(".\links\SMART\TI_asb-576-SMART.txt","AgrB")</f>
        <v>AgrB</v>
      </c>
      <c r="DO368" t="str">
        <f>HYPERLINK("http://smart.embl-heidelberg.de/smart/do_annotation.pl?DOMAIN=AgrB&amp;BLAST=DUMMY","0.027")</f>
        <v>0.027</v>
      </c>
      <c r="DP368" s="3" t="s">
        <v>56</v>
      </c>
      <c r="ED368" s="3" t="str">
        <f>HYPERLINK(".\links\MIT-PLA\TI_asb-576-MIT-PLA.txt","Triatoma dimidiata mitochondrial DNA, complete genome")</f>
        <v>Triatoma dimidiata mitochondrial DNA, complete genome</v>
      </c>
      <c r="EE368" s="3" t="str">
        <f>HYPERLINK("http://www.ncbi.nlm.nih.gov/entrez/viewer.fcgi?db=nucleotide&amp;val=11139100","2E-023")</f>
        <v>2E-023</v>
      </c>
      <c r="EF368" s="3" t="str">
        <f>HYPERLINK("http://www.ncbi.nlm.nih.gov/entrez/viewer.fcgi?db=nucleotide&amp;val=11139100","gi|11139100")</f>
        <v>gi|11139100</v>
      </c>
      <c r="EG368" s="3">
        <v>109</v>
      </c>
      <c r="EH368" s="3">
        <v>382</v>
      </c>
      <c r="EI368" s="3">
        <v>17019</v>
      </c>
      <c r="EJ368" s="3">
        <v>78</v>
      </c>
      <c r="EK368" s="3">
        <v>2</v>
      </c>
      <c r="EL368" s="3">
        <v>82</v>
      </c>
      <c r="EM368" s="3">
        <v>0</v>
      </c>
      <c r="EN368" s="3">
        <v>4074</v>
      </c>
      <c r="EO368" s="3">
        <v>105</v>
      </c>
      <c r="EP368" s="3">
        <v>1</v>
      </c>
      <c r="EQ368" s="3" t="s">
        <v>54</v>
      </c>
    </row>
    <row r="369" spans="1:147">
      <c r="A369" t="str">
        <f>HYPERLINK(".\links\seq\TI_asb-577-seq.txt","TI_asb-577")</f>
        <v>TI_asb-577</v>
      </c>
      <c r="B369">
        <v>577</v>
      </c>
      <c r="C369" t="str">
        <f>HYPERLINK(".\links\tsa\TI_asb-577-tsa.txt","1")</f>
        <v>1</v>
      </c>
      <c r="D369">
        <v>1</v>
      </c>
      <c r="E369">
        <v>990</v>
      </c>
      <c r="F369">
        <v>867</v>
      </c>
      <c r="G369" t="str">
        <f>HYPERLINK(".\links\qual\TI_asb-577-qual.txt","24")</f>
        <v>24</v>
      </c>
      <c r="H369">
        <v>0</v>
      </c>
      <c r="I369">
        <v>1</v>
      </c>
      <c r="J369">
        <f t="shared" ref="J369:J381" si="18">ABS(H369-I369)</f>
        <v>1</v>
      </c>
      <c r="K369" s="6">
        <f t="shared" ref="K369:K381" si="19">H369-I369</f>
        <v>-1</v>
      </c>
      <c r="L369" s="6" t="s">
        <v>4075</v>
      </c>
      <c r="M369" s="6" t="s">
        <v>3886</v>
      </c>
      <c r="N369" s="6" t="s">
        <v>3864</v>
      </c>
      <c r="O369" s="7">
        <v>4.9999999999999996E-25</v>
      </c>
      <c r="P369" s="6">
        <v>27.4</v>
      </c>
      <c r="Q369" s="3">
        <v>990</v>
      </c>
      <c r="R369" s="3">
        <v>495</v>
      </c>
      <c r="S369" s="6" t="s">
        <v>3848</v>
      </c>
      <c r="T369" s="3">
        <v>3</v>
      </c>
      <c r="U369" t="str">
        <f>HYPERLINK(".\links\NR-LIGHT\TI_asb-577-NR-LIGHT.txt","truncated ATPase subunit 6")</f>
        <v>truncated ATPase subunit 6</v>
      </c>
      <c r="V369" t="str">
        <f>HYPERLINK("http://www.ncbi.nlm.nih.gov/sutils/blink.cgi?pid=149898887","5E-025")</f>
        <v>5E-025</v>
      </c>
      <c r="W369" t="str">
        <f>HYPERLINK(".\links\NR-LIGHT\TI_asb-577-NR-LIGHT.txt"," 10")</f>
        <v xml:space="preserve"> 10</v>
      </c>
      <c r="X369" t="str">
        <f>HYPERLINK("http://www.ncbi.nlm.nih.gov/protein/149898887","gi|149898887")</f>
        <v>gi|149898887</v>
      </c>
      <c r="Y369">
        <v>111</v>
      </c>
      <c r="Z369">
        <v>61</v>
      </c>
      <c r="AA369">
        <v>222</v>
      </c>
      <c r="AB369">
        <v>91</v>
      </c>
      <c r="AC369">
        <v>27</v>
      </c>
      <c r="AD369">
        <v>5</v>
      </c>
      <c r="AE369">
        <v>0</v>
      </c>
      <c r="AF369">
        <v>1</v>
      </c>
      <c r="AG369">
        <v>140</v>
      </c>
      <c r="AH369">
        <v>2</v>
      </c>
      <c r="AI369">
        <v>2</v>
      </c>
      <c r="AJ369" t="s">
        <v>65</v>
      </c>
      <c r="AK369" t="s">
        <v>54</v>
      </c>
      <c r="AL369" t="s">
        <v>55</v>
      </c>
      <c r="AM369" t="str">
        <f>HYPERLINK(".\links\SWISSP\TI_asb-577-SWISSP.txt","ATP synthase subunit a OS=Anopheles gambiae GN=mt:ATPase6 PE=3 SV=1")</f>
        <v>ATP synthase subunit a OS=Anopheles gambiae GN=mt:ATPase6 PE=3 SV=1</v>
      </c>
      <c r="AN369" s="19" t="str">
        <f>HYPERLINK("http://www.uniprot.org/uniprot/P34834","9E-014")</f>
        <v>9E-014</v>
      </c>
      <c r="AO369" t="str">
        <f>HYPERLINK(".\links\SWISSP\TI_asb-577-SWISSP.txt"," 10")</f>
        <v xml:space="preserve"> 10</v>
      </c>
      <c r="AP369" t="s">
        <v>3388</v>
      </c>
      <c r="AQ369">
        <v>69.3</v>
      </c>
      <c r="AR369">
        <v>62</v>
      </c>
      <c r="AS369">
        <v>226</v>
      </c>
      <c r="AT369">
        <v>56</v>
      </c>
      <c r="AU369">
        <v>27</v>
      </c>
      <c r="AV369">
        <v>27</v>
      </c>
      <c r="AW369">
        <v>1</v>
      </c>
      <c r="AX369">
        <v>1</v>
      </c>
      <c r="AY369">
        <v>140</v>
      </c>
      <c r="AZ369">
        <v>3</v>
      </c>
      <c r="BA369">
        <v>2</v>
      </c>
      <c r="BB369" t="s">
        <v>65</v>
      </c>
      <c r="BC369" t="s">
        <v>54</v>
      </c>
      <c r="BD369" t="s">
        <v>81</v>
      </c>
      <c r="BE369" t="s">
        <v>3389</v>
      </c>
      <c r="BF369" t="s">
        <v>3390</v>
      </c>
      <c r="BG369" t="str">
        <f>HYPERLINK(".\links\PREV-RHOD-PEP\TI_asb-577-PREV-RHOD-PEP.txt","Contig17920_82")</f>
        <v>Contig17920_82</v>
      </c>
      <c r="BH369" s="6">
        <v>0.18</v>
      </c>
      <c r="BI369" t="str">
        <f>HYPERLINK(".\links\PREV-RHOD-PEP\TI_asb-577-PREV-RHOD-PEP.txt"," 2")</f>
        <v xml:space="preserve"> 2</v>
      </c>
      <c r="BJ369" t="s">
        <v>3391</v>
      </c>
      <c r="BK369">
        <v>33.1</v>
      </c>
      <c r="BL369">
        <v>47</v>
      </c>
      <c r="BM369">
        <v>1226</v>
      </c>
      <c r="BN369">
        <v>34</v>
      </c>
      <c r="BO369">
        <v>4</v>
      </c>
      <c r="BP369">
        <v>31</v>
      </c>
      <c r="BQ369">
        <v>6</v>
      </c>
      <c r="BR369">
        <v>1092</v>
      </c>
      <c r="BS369">
        <v>2</v>
      </c>
      <c r="BT369">
        <v>1</v>
      </c>
      <c r="BU369" t="s">
        <v>54</v>
      </c>
      <c r="BV369" t="s">
        <v>3392</v>
      </c>
      <c r="BW369" t="s">
        <v>56</v>
      </c>
      <c r="BX369" t="str">
        <f>HYPERLINK(".\links\PREV-RHOD-CDS\TI_asb-577-PREV-RHOD-CDS.txt","Contig17828_10")</f>
        <v>Contig17828_10</v>
      </c>
      <c r="BY369" s="6">
        <v>0.49</v>
      </c>
      <c r="BZ369" t="s">
        <v>3393</v>
      </c>
      <c r="CA369">
        <v>36.200000000000003</v>
      </c>
      <c r="CB369">
        <v>21</v>
      </c>
      <c r="CC369">
        <v>3906</v>
      </c>
      <c r="CD369">
        <v>95</v>
      </c>
      <c r="CE369">
        <v>1</v>
      </c>
      <c r="CF369">
        <v>1</v>
      </c>
      <c r="CG369">
        <v>0</v>
      </c>
      <c r="CH369">
        <v>961</v>
      </c>
      <c r="CI369">
        <v>93</v>
      </c>
      <c r="CJ369">
        <v>1</v>
      </c>
      <c r="CK369" t="s">
        <v>54</v>
      </c>
      <c r="CL369" t="s">
        <v>3378</v>
      </c>
      <c r="CM369">
        <f>HYPERLINK(".\links\GO\TI_asb-577-GO.txt",0.0000000000003)</f>
        <v>2.9999999999999998E-13</v>
      </c>
      <c r="CN369" t="s">
        <v>375</v>
      </c>
      <c r="CO369" t="s">
        <v>129</v>
      </c>
      <c r="CP369" t="s">
        <v>166</v>
      </c>
      <c r="CQ369" t="s">
        <v>376</v>
      </c>
      <c r="CR369" s="6">
        <v>2.9999999999999998E-13</v>
      </c>
      <c r="CS369" t="s">
        <v>241</v>
      </c>
      <c r="CT369" t="s">
        <v>75</v>
      </c>
      <c r="CU369" t="s">
        <v>76</v>
      </c>
      <c r="CV369" t="s">
        <v>242</v>
      </c>
      <c r="CW369" s="6">
        <v>2.9999999999999998E-13</v>
      </c>
      <c r="CX369" t="s">
        <v>3379</v>
      </c>
      <c r="CY369" t="s">
        <v>129</v>
      </c>
      <c r="CZ369" t="s">
        <v>166</v>
      </c>
      <c r="DA369" t="s">
        <v>3380</v>
      </c>
      <c r="DB369" s="6">
        <v>2.9999999999999998E-13</v>
      </c>
      <c r="DC369" t="str">
        <f>HYPERLINK(".\links\CDD\TI_asb-577-CDD.txt","LAG1")</f>
        <v>LAG1</v>
      </c>
      <c r="DD369" t="str">
        <f>HYPERLINK("http://www.ncbi.nlm.nih.gov/Structure/cdd/cddsrv.cgi?uid=COG5058&amp;version=v4.0","3E-004")</f>
        <v>3E-004</v>
      </c>
      <c r="DE369" t="s">
        <v>3394</v>
      </c>
      <c r="DF369" t="str">
        <f>HYPERLINK(".\links\PFAM\TI_asb-577-PFAM.txt","RNA_polI_A34")</f>
        <v>RNA_polI_A34</v>
      </c>
      <c r="DG369" t="str">
        <f>HYPERLINK("http://pfam.sanger.ac.uk/family?acc=PF08208","3E-005")</f>
        <v>3E-005</v>
      </c>
      <c r="DH369" t="str">
        <f>HYPERLINK(".\links\PRK\TI_asb-577-PRK.txt","ATP synthase F0 subunit 6")</f>
        <v>ATP synthase F0 subunit 6</v>
      </c>
      <c r="DI369" s="7">
        <v>7.9999999999999995E-29</v>
      </c>
      <c r="DJ369" s="6" t="str">
        <f>HYPERLINK(".\links\KOG\TI_asb-577-KOG.txt","Ferric reductase-like proteins")</f>
        <v>Ferric reductase-like proteins</v>
      </c>
      <c r="DK369" s="6" t="str">
        <f>HYPERLINK("http://www.ncbi.nlm.nih.gov/COG/grace/shokog.cgi?KOG1743","2E-008")</f>
        <v>2E-008</v>
      </c>
      <c r="DL369" s="6" t="s">
        <v>4361</v>
      </c>
      <c r="DM369" s="6" t="str">
        <f>HYPERLINK(".\links\KOG\TI_asb-577-KOG.txt","KOG1743")</f>
        <v>KOG1743</v>
      </c>
      <c r="DN369" t="str">
        <f>HYPERLINK(".\links\SMART\TI_asb-577-SMART.txt","AgrB")</f>
        <v>AgrB</v>
      </c>
      <c r="DO369" t="str">
        <f>HYPERLINK("http://smart.embl-heidelberg.de/smart/do_annotation.pl?DOMAIN=AgrB&amp;BLAST=DUMMY","5E-005")</f>
        <v>5E-005</v>
      </c>
      <c r="DP369" s="3" t="s">
        <v>56</v>
      </c>
      <c r="ED369" s="3" t="str">
        <f>HYPERLINK(".\links\MIT-PLA\TI_asb-577-MIT-PLA.txt","Triatoma dimidiata mitochondrial DNA, complete genome")</f>
        <v>Triatoma dimidiata mitochondrial DNA, complete genome</v>
      </c>
      <c r="EE369" s="3" t="str">
        <f>HYPERLINK("http://www.ncbi.nlm.nih.gov/entrez/viewer.fcgi?db=nucleotide&amp;val=11139100","3E-026")</f>
        <v>3E-026</v>
      </c>
      <c r="EF369" s="3" t="str">
        <f>HYPERLINK("http://www.ncbi.nlm.nih.gov/entrez/viewer.fcgi?db=nucleotide&amp;val=11139100","gi|11139100")</f>
        <v>gi|11139100</v>
      </c>
      <c r="EG369" s="3">
        <v>119</v>
      </c>
      <c r="EH369" s="3">
        <v>223</v>
      </c>
      <c r="EI369" s="3">
        <v>17019</v>
      </c>
      <c r="EJ369" s="3">
        <v>81</v>
      </c>
      <c r="EK369" s="3">
        <v>1</v>
      </c>
      <c r="EL369" s="3">
        <v>41</v>
      </c>
      <c r="EM369" s="3">
        <v>0</v>
      </c>
      <c r="EN369" s="3">
        <v>3925</v>
      </c>
      <c r="EO369" s="3">
        <v>111</v>
      </c>
      <c r="EP369" s="3">
        <v>1</v>
      </c>
      <c r="EQ369" s="3" t="s">
        <v>54</v>
      </c>
    </row>
    <row r="370" spans="1:147">
      <c r="A370" t="str">
        <f>HYPERLINK(".\links\seq\TI_asb-579-seq.txt","TI_asb-579")</f>
        <v>TI_asb-579</v>
      </c>
      <c r="B370">
        <v>579</v>
      </c>
      <c r="C370" t="str">
        <f>HYPERLINK(".\links\tsa\TI_asb-579-tsa.txt","1")</f>
        <v>1</v>
      </c>
      <c r="D370">
        <v>1</v>
      </c>
      <c r="E370">
        <v>897</v>
      </c>
      <c r="F370">
        <v>806</v>
      </c>
      <c r="G370" t="str">
        <f>HYPERLINK(".\links\qual\TI_asb-579-qual.txt","33")</f>
        <v>33</v>
      </c>
      <c r="H370">
        <v>0</v>
      </c>
      <c r="I370">
        <v>1</v>
      </c>
      <c r="J370">
        <f t="shared" si="18"/>
        <v>1</v>
      </c>
      <c r="K370" s="6">
        <f t="shared" si="19"/>
        <v>-1</v>
      </c>
      <c r="L370" s="6" t="s">
        <v>3932</v>
      </c>
      <c r="M370" s="6" t="s">
        <v>3912</v>
      </c>
      <c r="N370" s="6" t="str">
        <f>HYPERLINK(".\links\PFAM\TI_asb-579-PFAM.txt","PFAM")</f>
        <v>PFAM</v>
      </c>
      <c r="O370" s="6">
        <v>3.9999999999999998E-7</v>
      </c>
      <c r="P370" s="6">
        <v>51</v>
      </c>
      <c r="Q370" s="3">
        <v>897</v>
      </c>
      <c r="R370" s="3">
        <v>240</v>
      </c>
      <c r="S370" s="6" t="s">
        <v>3849</v>
      </c>
      <c r="T370" s="3">
        <v>1</v>
      </c>
      <c r="U370" t="s">
        <v>56</v>
      </c>
      <c r="V370" t="s">
        <v>56</v>
      </c>
      <c r="W370" t="s">
        <v>56</v>
      </c>
      <c r="X370" t="s">
        <v>56</v>
      </c>
      <c r="Y370" t="s">
        <v>56</v>
      </c>
      <c r="Z370" t="s">
        <v>56</v>
      </c>
      <c r="AA370" t="s">
        <v>56</v>
      </c>
      <c r="AB370" t="s">
        <v>56</v>
      </c>
      <c r="AC370" t="s">
        <v>56</v>
      </c>
      <c r="AD370" t="s">
        <v>56</v>
      </c>
      <c r="AE370" t="s">
        <v>56</v>
      </c>
      <c r="AF370" t="s">
        <v>56</v>
      </c>
      <c r="AG370" t="s">
        <v>56</v>
      </c>
      <c r="AH370" t="s">
        <v>56</v>
      </c>
      <c r="AI370" t="s">
        <v>56</v>
      </c>
      <c r="AJ370" t="s">
        <v>56</v>
      </c>
      <c r="AK370" t="s">
        <v>56</v>
      </c>
      <c r="AL370" t="s">
        <v>56</v>
      </c>
      <c r="AM370" t="s">
        <v>56</v>
      </c>
      <c r="AN370" s="19" t="s">
        <v>56</v>
      </c>
      <c r="AO370" t="s">
        <v>56</v>
      </c>
      <c r="AP370" t="s">
        <v>56</v>
      </c>
      <c r="AQ370" t="s">
        <v>56</v>
      </c>
      <c r="AR370" t="s">
        <v>56</v>
      </c>
      <c r="AS370" t="s">
        <v>56</v>
      </c>
      <c r="AT370" t="s">
        <v>56</v>
      </c>
      <c r="AU370" t="s">
        <v>56</v>
      </c>
      <c r="AV370" t="s">
        <v>56</v>
      </c>
      <c r="AW370" t="s">
        <v>56</v>
      </c>
      <c r="AX370" t="s">
        <v>56</v>
      </c>
      <c r="AY370" t="s">
        <v>56</v>
      </c>
      <c r="AZ370" t="s">
        <v>56</v>
      </c>
      <c r="BA370" t="s">
        <v>56</v>
      </c>
      <c r="BB370" t="s">
        <v>56</v>
      </c>
      <c r="BC370" t="s">
        <v>56</v>
      </c>
      <c r="BD370" t="s">
        <v>56</v>
      </c>
      <c r="BE370" t="s">
        <v>56</v>
      </c>
      <c r="BF370" t="s">
        <v>56</v>
      </c>
      <c r="BG370" t="str">
        <f>HYPERLINK(".\links\PREV-RHOD-PEP\TI_asb-579-PREV-RHOD-PEP.txt","Contig2078_6")</f>
        <v>Contig2078_6</v>
      </c>
      <c r="BH370" s="6">
        <v>6.5</v>
      </c>
      <c r="BI370" t="str">
        <f>HYPERLINK(".\links\PREV-RHOD-PEP\TI_asb-579-PREV-RHOD-PEP.txt"," 3")</f>
        <v xml:space="preserve"> 3</v>
      </c>
      <c r="BJ370" t="s">
        <v>3395</v>
      </c>
      <c r="BK370">
        <v>27.7</v>
      </c>
      <c r="BL370">
        <v>35</v>
      </c>
      <c r="BM370">
        <v>317</v>
      </c>
      <c r="BN370">
        <v>37</v>
      </c>
      <c r="BO370">
        <v>11</v>
      </c>
      <c r="BP370">
        <v>22</v>
      </c>
      <c r="BQ370">
        <v>0</v>
      </c>
      <c r="BR370">
        <v>25</v>
      </c>
      <c r="BS370">
        <v>254</v>
      </c>
      <c r="BT370">
        <v>1</v>
      </c>
      <c r="BU370" t="s">
        <v>64</v>
      </c>
      <c r="BV370" t="s">
        <v>3396</v>
      </c>
      <c r="BW370" t="s">
        <v>56</v>
      </c>
      <c r="BX370" t="str">
        <f>HYPERLINK(".\links\PREV-RHOD-CDS\TI_asb-579-PREV-RHOD-CDS.txt","Contig17960_137")</f>
        <v>Contig17960_137</v>
      </c>
      <c r="BY370" s="6">
        <v>2.9000000000000001E-2</v>
      </c>
      <c r="BZ370" t="s">
        <v>3397</v>
      </c>
      <c r="CA370">
        <v>40.1</v>
      </c>
      <c r="CB370">
        <v>19</v>
      </c>
      <c r="CC370">
        <v>10596</v>
      </c>
      <c r="CD370">
        <v>100</v>
      </c>
      <c r="CF370">
        <v>0</v>
      </c>
      <c r="CG370">
        <v>0</v>
      </c>
      <c r="CH370">
        <v>58</v>
      </c>
      <c r="CI370">
        <v>33</v>
      </c>
      <c r="CJ370">
        <v>1</v>
      </c>
      <c r="CK370" t="s">
        <v>64</v>
      </c>
      <c r="CL370" t="s">
        <v>56</v>
      </c>
      <c r="CM370" t="s">
        <v>56</v>
      </c>
      <c r="CN370" t="s">
        <v>56</v>
      </c>
      <c r="CO370" t="s">
        <v>56</v>
      </c>
      <c r="CP370" t="s">
        <v>56</v>
      </c>
      <c r="CQ370" t="s">
        <v>56</v>
      </c>
      <c r="CR370" s="6" t="s">
        <v>56</v>
      </c>
      <c r="CS370" t="s">
        <v>56</v>
      </c>
      <c r="CT370" t="s">
        <v>56</v>
      </c>
      <c r="CU370" t="s">
        <v>56</v>
      </c>
      <c r="CV370" t="s">
        <v>56</v>
      </c>
      <c r="CW370" s="6" t="s">
        <v>56</v>
      </c>
      <c r="CX370" t="s">
        <v>56</v>
      </c>
      <c r="CY370" t="s">
        <v>56</v>
      </c>
      <c r="CZ370" t="s">
        <v>56</v>
      </c>
      <c r="DA370" t="s">
        <v>56</v>
      </c>
      <c r="DB370" s="6" t="s">
        <v>56</v>
      </c>
      <c r="DC370" t="str">
        <f>HYPERLINK(".\links\CDD\TI_asb-579-CDD.txt","ND5")</f>
        <v>ND5</v>
      </c>
      <c r="DD370" t="str">
        <f>HYPERLINK("http://www.ncbi.nlm.nih.gov/Structure/cdd/cddsrv.cgi?uid=MTH00095&amp;version=v4.0","9E-008")</f>
        <v>9E-008</v>
      </c>
      <c r="DE370" t="s">
        <v>3398</v>
      </c>
      <c r="DF370" t="str">
        <f>HYPERLINK(".\links\PFAM\TI_asb-579-PFAM.txt","7TM_GPCR_Srz")</f>
        <v>7TM_GPCR_Srz</v>
      </c>
      <c r="DG370" t="str">
        <f>HYPERLINK("http://pfam.sanger.ac.uk/family?acc=PF10325","4E-007")</f>
        <v>4E-007</v>
      </c>
      <c r="DH370" t="str">
        <f>HYPERLINK(".\links\PRK\TI_asb-579-PRK.txt","NADH dehydrogenase subunit 5")</f>
        <v>NADH dehydrogenase subunit 5</v>
      </c>
      <c r="DI370" s="7">
        <v>2.9999999999999999E-7</v>
      </c>
      <c r="DJ370" s="6" t="str">
        <f>HYPERLINK(".\links\KOG\TI_asb-579-KOG.txt","rRNA processing protein")</f>
        <v>rRNA processing protein</v>
      </c>
      <c r="DK370" s="6" t="str">
        <f>HYPERLINK("http://www.ncbi.nlm.nih.gov/COG/grace/shokog.cgi?KOG2874","5E-004")</f>
        <v>5E-004</v>
      </c>
      <c r="DL370" s="6" t="s">
        <v>4360</v>
      </c>
      <c r="DM370" s="6" t="str">
        <f>HYPERLINK(".\links\KOG\TI_asb-579-KOG.txt","KOG2874")</f>
        <v>KOG2874</v>
      </c>
      <c r="DN370" t="str">
        <f>HYPERLINK(".\links\SMART\TI_asb-579-SMART.txt","TOP2c")</f>
        <v>TOP2c</v>
      </c>
      <c r="DO370" t="str">
        <f>HYPERLINK("http://smart.embl-heidelberg.de/smart/do_annotation.pl?DOMAIN=TOP2c&amp;BLAST=DUMMY","7E-004")</f>
        <v>7E-004</v>
      </c>
      <c r="DP370" s="3" t="s">
        <v>56</v>
      </c>
      <c r="ED370" s="3" t="s">
        <v>56</v>
      </c>
    </row>
    <row r="371" spans="1:147">
      <c r="A371" t="str">
        <f>HYPERLINK(".\links\seq\TI_asb-580-seq.txt","TI_asb-580")</f>
        <v>TI_asb-580</v>
      </c>
      <c r="B371">
        <v>580</v>
      </c>
      <c r="C371" t="str">
        <f>HYPERLINK(".\links\tsa\TI_asb-580-tsa.txt","5")</f>
        <v>5</v>
      </c>
      <c r="D371">
        <v>5</v>
      </c>
      <c r="E371">
        <v>823</v>
      </c>
      <c r="G371" t="str">
        <f>HYPERLINK(".\links\qual\TI_asb-580-qual.txt","71")</f>
        <v>71</v>
      </c>
      <c r="H371">
        <v>0</v>
      </c>
      <c r="I371">
        <v>5</v>
      </c>
      <c r="J371">
        <f t="shared" si="18"/>
        <v>5</v>
      </c>
      <c r="K371" s="6">
        <f t="shared" si="19"/>
        <v>-5</v>
      </c>
      <c r="L371" s="6" t="s">
        <v>3868</v>
      </c>
      <c r="M371" s="6" t="s">
        <v>3869</v>
      </c>
      <c r="N371" s="6"/>
      <c r="O371" s="6"/>
      <c r="P371" s="6"/>
      <c r="Q371" s="3">
        <v>823</v>
      </c>
      <c r="R371" s="3">
        <v>303</v>
      </c>
      <c r="S371" s="3" t="s">
        <v>3850</v>
      </c>
      <c r="T371" s="3">
        <v>6</v>
      </c>
      <c r="U371" t="str">
        <f>HYPERLINK(".\links\NR-LIGHT\TI_asb-580-NR-LIGHT.txt","hypothetical protein")</f>
        <v>hypothetical protein</v>
      </c>
      <c r="V371" t="str">
        <f>HYPERLINK("http://www.ncbi.nlm.nih.gov/sutils/blink.cgi?pid=68071833","8.0")</f>
        <v>8.0</v>
      </c>
      <c r="W371" t="str">
        <f>HYPERLINK(".\links\NR-LIGHT\TI_asb-580-NR-LIGHT.txt"," 1")</f>
        <v xml:space="preserve"> 1</v>
      </c>
      <c r="X371" t="str">
        <f>HYPERLINK("http://www.ncbi.nlm.nih.gov/protein/68071833","gi|68071833")</f>
        <v>gi|68071833</v>
      </c>
      <c r="Y371">
        <v>33.5</v>
      </c>
      <c r="Z371">
        <v>36</v>
      </c>
      <c r="AA371">
        <v>889</v>
      </c>
      <c r="AB371">
        <v>52</v>
      </c>
      <c r="AC371">
        <v>4</v>
      </c>
      <c r="AD371">
        <v>17</v>
      </c>
      <c r="AE371">
        <v>4</v>
      </c>
      <c r="AF371">
        <v>151</v>
      </c>
      <c r="AG371">
        <v>620</v>
      </c>
      <c r="AH371">
        <v>1</v>
      </c>
      <c r="AI371">
        <v>-1</v>
      </c>
      <c r="AJ371" t="s">
        <v>53</v>
      </c>
      <c r="AK371" t="s">
        <v>64</v>
      </c>
      <c r="AL371" t="s">
        <v>1117</v>
      </c>
      <c r="AM371" t="s">
        <v>56</v>
      </c>
      <c r="AN371" s="19" t="s">
        <v>56</v>
      </c>
      <c r="AO371" t="s">
        <v>56</v>
      </c>
      <c r="AP371" t="s">
        <v>56</v>
      </c>
      <c r="AQ371" t="s">
        <v>56</v>
      </c>
      <c r="AR371" t="s">
        <v>56</v>
      </c>
      <c r="AS371" t="s">
        <v>56</v>
      </c>
      <c r="AT371" t="s">
        <v>56</v>
      </c>
      <c r="AU371" t="s">
        <v>56</v>
      </c>
      <c r="AV371" t="s">
        <v>56</v>
      </c>
      <c r="AW371" t="s">
        <v>56</v>
      </c>
      <c r="AX371" t="s">
        <v>56</v>
      </c>
      <c r="AY371" t="s">
        <v>56</v>
      </c>
      <c r="AZ371" t="s">
        <v>56</v>
      </c>
      <c r="BA371" t="s">
        <v>56</v>
      </c>
      <c r="BB371" t="s">
        <v>56</v>
      </c>
      <c r="BC371" t="s">
        <v>56</v>
      </c>
      <c r="BD371" t="s">
        <v>56</v>
      </c>
      <c r="BE371" t="s">
        <v>56</v>
      </c>
      <c r="BF371" t="s">
        <v>56</v>
      </c>
      <c r="BG371" t="str">
        <f>HYPERLINK(".\links\PREV-RHOD-PEP\TI_asb-580-PREV-RHOD-PEP.txt","Contig2078_6")</f>
        <v>Contig2078_6</v>
      </c>
      <c r="BH371" s="6">
        <v>5.8</v>
      </c>
      <c r="BI371" t="str">
        <f>HYPERLINK(".\links\PREV-RHOD-PEP\TI_asb-580-PREV-RHOD-PEP.txt"," 3")</f>
        <v xml:space="preserve"> 3</v>
      </c>
      <c r="BJ371" t="s">
        <v>3395</v>
      </c>
      <c r="BK371">
        <v>27.7</v>
      </c>
      <c r="BL371">
        <v>35</v>
      </c>
      <c r="BM371">
        <v>317</v>
      </c>
      <c r="BN371">
        <v>37</v>
      </c>
      <c r="BO371">
        <v>11</v>
      </c>
      <c r="BP371">
        <v>22</v>
      </c>
      <c r="BQ371">
        <v>0</v>
      </c>
      <c r="BR371">
        <v>25</v>
      </c>
      <c r="BS371">
        <v>256</v>
      </c>
      <c r="BT371">
        <v>1</v>
      </c>
      <c r="BU371" t="s">
        <v>64</v>
      </c>
      <c r="BV371" t="s">
        <v>3396</v>
      </c>
      <c r="BW371" t="s">
        <v>56</v>
      </c>
      <c r="BX371" t="str">
        <f>HYPERLINK(".\links\PREV-RHOD-CDS\TI_asb-580-PREV-RHOD-CDS.txt","Contig16340_4")</f>
        <v>Contig16340_4</v>
      </c>
      <c r="BY371" s="6">
        <v>0.1</v>
      </c>
      <c r="BZ371" t="s">
        <v>3399</v>
      </c>
      <c r="CA371">
        <v>38.200000000000003</v>
      </c>
      <c r="CB371">
        <v>18</v>
      </c>
      <c r="CC371">
        <v>5520</v>
      </c>
      <c r="CD371">
        <v>100</v>
      </c>
      <c r="CF371">
        <v>0</v>
      </c>
      <c r="CG371">
        <v>0</v>
      </c>
      <c r="CH371">
        <v>2391</v>
      </c>
      <c r="CI371">
        <v>567</v>
      </c>
      <c r="CJ371">
        <v>1</v>
      </c>
      <c r="CK371" t="s">
        <v>54</v>
      </c>
      <c r="CL371" t="s">
        <v>56</v>
      </c>
      <c r="CM371" t="s">
        <v>56</v>
      </c>
      <c r="CN371" t="s">
        <v>56</v>
      </c>
      <c r="CO371" t="s">
        <v>56</v>
      </c>
      <c r="CP371" t="s">
        <v>56</v>
      </c>
      <c r="CQ371" t="s">
        <v>56</v>
      </c>
      <c r="CR371" s="6" t="s">
        <v>56</v>
      </c>
      <c r="CS371" t="s">
        <v>56</v>
      </c>
      <c r="CT371" t="s">
        <v>56</v>
      </c>
      <c r="CU371" t="s">
        <v>56</v>
      </c>
      <c r="CV371" t="s">
        <v>56</v>
      </c>
      <c r="CW371" s="6" t="s">
        <v>56</v>
      </c>
      <c r="CX371" t="s">
        <v>56</v>
      </c>
      <c r="CY371" t="s">
        <v>56</v>
      </c>
      <c r="CZ371" t="s">
        <v>56</v>
      </c>
      <c r="DA371" t="s">
        <v>56</v>
      </c>
      <c r="DB371" s="6" t="s">
        <v>56</v>
      </c>
      <c r="DC371" t="str">
        <f>HYPERLINK(".\links\CDD\TI_asb-580-CDD.txt","ND5")</f>
        <v>ND5</v>
      </c>
      <c r="DD371" t="str">
        <f>HYPERLINK("http://www.ncbi.nlm.nih.gov/Structure/cdd/cddsrv.cgi?uid=MTH00095&amp;version=v4.0","2E-006")</f>
        <v>2E-006</v>
      </c>
      <c r="DE371" t="s">
        <v>3400</v>
      </c>
      <c r="DF371" t="str">
        <f>HYPERLINK(".\links\PFAM\TI_asb-580-PFAM.txt","7TM_GPCR_Srz")</f>
        <v>7TM_GPCR_Srz</v>
      </c>
      <c r="DG371" t="str">
        <f>HYPERLINK("http://pfam.sanger.ac.uk/family?acc=PF10325","0.002")</f>
        <v>0.002</v>
      </c>
      <c r="DH371" t="str">
        <f>HYPERLINK(".\links\PRK\TI_asb-580-PRK.txt","NADH dehydrogenase subunit 5")</f>
        <v>NADH dehydrogenase subunit 5</v>
      </c>
      <c r="DI371" s="7">
        <v>3.0000000000000001E-6</v>
      </c>
      <c r="DJ371" s="6" t="s">
        <v>56</v>
      </c>
      <c r="DN371" t="str">
        <f>HYPERLINK(".\links\SMART\TI_asb-580-SMART.txt","TLC")</f>
        <v>TLC</v>
      </c>
      <c r="DO371" t="str">
        <f>HYPERLINK("http://smart.embl-heidelberg.de/smart/do_annotation.pl?DOMAIN=TLC&amp;BLAST=DUMMY","0.017")</f>
        <v>0.017</v>
      </c>
      <c r="DP371" s="3" t="s">
        <v>56</v>
      </c>
      <c r="ED371" s="3" t="s">
        <v>56</v>
      </c>
    </row>
    <row r="372" spans="1:147">
      <c r="A372" t="str">
        <f>HYPERLINK(".\links\seq\TI_asb-581-seq.txt","TI_asb-581")</f>
        <v>TI_asb-581</v>
      </c>
      <c r="B372">
        <v>581</v>
      </c>
      <c r="C372" s="27" t="str">
        <f>HYPERLINK(".\links\tsa\TI_asb-581-tsa.txt","1")</f>
        <v>1</v>
      </c>
      <c r="D372">
        <v>1</v>
      </c>
      <c r="E372">
        <v>502</v>
      </c>
      <c r="F372">
        <v>463</v>
      </c>
      <c r="G372" t="str">
        <f>HYPERLINK(".\links\qual\TI_asb-581-qual.txt","43")</f>
        <v>43</v>
      </c>
      <c r="H372">
        <v>1</v>
      </c>
      <c r="I372">
        <v>0</v>
      </c>
      <c r="J372">
        <f t="shared" si="18"/>
        <v>1</v>
      </c>
      <c r="K372" s="6">
        <f t="shared" si="19"/>
        <v>1</v>
      </c>
      <c r="L372" s="6" t="s">
        <v>4076</v>
      </c>
      <c r="M372" s="6" t="s">
        <v>3976</v>
      </c>
      <c r="N372" s="6" t="s">
        <v>3867</v>
      </c>
      <c r="O372" s="6">
        <v>2.0000000000000001E-4</v>
      </c>
      <c r="P372" s="6">
        <v>102.9</v>
      </c>
      <c r="Q372" s="3">
        <v>502</v>
      </c>
      <c r="R372" s="3">
        <v>327</v>
      </c>
      <c r="S372" s="3" t="s">
        <v>3851</v>
      </c>
      <c r="T372" s="3">
        <v>6</v>
      </c>
      <c r="U372" t="str">
        <f>HYPERLINK(".\links\NR-LIGHT\TI_asb-581-NR-LIGHT.txt","defensin B")</f>
        <v>defensin B</v>
      </c>
      <c r="V372" t="str">
        <f>HYPERLINK("http://www.ncbi.nlm.nih.gov/sutils/blink.cgi?pid=29335960","7E-014")</f>
        <v>7E-014</v>
      </c>
      <c r="W372" t="str">
        <f>HYPERLINK(".\links\NR-LIGHT\TI_asb-581-NR-LIGHT.txt"," 10")</f>
        <v xml:space="preserve"> 10</v>
      </c>
      <c r="X372" t="str">
        <f>HYPERLINK("http://www.ncbi.nlm.nih.gov/protein/29335960","gi|29335960")</f>
        <v>gi|29335960</v>
      </c>
      <c r="Y372">
        <v>78.599999999999994</v>
      </c>
      <c r="Z372">
        <v>76</v>
      </c>
      <c r="AA372">
        <v>94</v>
      </c>
      <c r="AB372">
        <v>48</v>
      </c>
      <c r="AC372">
        <v>81</v>
      </c>
      <c r="AD372">
        <v>39</v>
      </c>
      <c r="AE372">
        <v>8</v>
      </c>
      <c r="AF372">
        <v>18</v>
      </c>
      <c r="AG372">
        <v>89</v>
      </c>
      <c r="AH372">
        <v>1</v>
      </c>
      <c r="AI372">
        <v>2</v>
      </c>
      <c r="AJ372" t="s">
        <v>53</v>
      </c>
      <c r="AK372" t="s">
        <v>54</v>
      </c>
      <c r="AL372" t="s">
        <v>3401</v>
      </c>
      <c r="AM372" t="str">
        <f>HYPERLINK(".\links\SWISSP\TI_asb-581-SWISSP.txt","Tenecin-1 OS=Tenebrio molitor PE=1 SV=1")</f>
        <v>Tenecin-1 OS=Tenebrio molitor PE=1 SV=1</v>
      </c>
      <c r="AN372" s="19" t="str">
        <f>HYPERLINK("http://www.uniprot.org/uniprot/Q27023","0.002")</f>
        <v>0.002</v>
      </c>
      <c r="AO372" t="str">
        <f>HYPERLINK(".\links\SWISSP\TI_asb-581-SWISSP.txt"," 10")</f>
        <v xml:space="preserve"> 10</v>
      </c>
      <c r="AP372" t="s">
        <v>3402</v>
      </c>
      <c r="AQ372">
        <v>42</v>
      </c>
      <c r="AR372">
        <v>57</v>
      </c>
      <c r="AS372">
        <v>84</v>
      </c>
      <c r="AT372">
        <v>36</v>
      </c>
      <c r="AU372">
        <v>68</v>
      </c>
      <c r="AV372">
        <v>36</v>
      </c>
      <c r="AW372">
        <v>9</v>
      </c>
      <c r="AX372">
        <v>28</v>
      </c>
      <c r="AY372">
        <v>149</v>
      </c>
      <c r="AZ372">
        <v>1</v>
      </c>
      <c r="BA372">
        <v>2</v>
      </c>
      <c r="BB372" t="s">
        <v>53</v>
      </c>
      <c r="BC372" t="s">
        <v>54</v>
      </c>
      <c r="BD372" t="s">
        <v>3403</v>
      </c>
      <c r="BE372" t="s">
        <v>3404</v>
      </c>
      <c r="BF372" t="s">
        <v>3405</v>
      </c>
      <c r="BG372" t="str">
        <f>HYPERLINK(".\links\PREV-RHOD-PEP\TI_asb-581-PREV-RHOD-PEP.txt","Contig17966_73")</f>
        <v>Contig17966_73</v>
      </c>
      <c r="BH372" s="7">
        <v>1.0000000000000001E-15</v>
      </c>
      <c r="BI372" t="str">
        <f>HYPERLINK(".\links\PREV-RHOD-PEP\TI_asb-581-PREV-RHOD-PEP.txt"," 10")</f>
        <v xml:space="preserve"> 10</v>
      </c>
      <c r="BJ372" t="s">
        <v>3406</v>
      </c>
      <c r="BK372">
        <v>79</v>
      </c>
      <c r="BL372">
        <v>76</v>
      </c>
      <c r="BM372">
        <v>415</v>
      </c>
      <c r="BN372">
        <v>50</v>
      </c>
      <c r="BO372">
        <v>18</v>
      </c>
      <c r="BP372">
        <v>38</v>
      </c>
      <c r="BQ372">
        <v>8</v>
      </c>
      <c r="BR372">
        <v>339</v>
      </c>
      <c r="BS372">
        <v>89</v>
      </c>
      <c r="BT372">
        <v>1</v>
      </c>
      <c r="BU372" t="s">
        <v>54</v>
      </c>
      <c r="BV372" t="s">
        <v>3407</v>
      </c>
      <c r="BW372" t="s">
        <v>56</v>
      </c>
      <c r="BX372" t="str">
        <f>HYPERLINK(".\links\PREV-RHOD-CDS\TI_asb-581-PREV-RHOD-CDS.txt","Contig17966_69")</f>
        <v>Contig17966_69</v>
      </c>
      <c r="BY372" s="7">
        <v>6.0000000000000002E-5</v>
      </c>
      <c r="BZ372" t="s">
        <v>2933</v>
      </c>
      <c r="CA372">
        <v>48.1</v>
      </c>
      <c r="CB372">
        <v>148</v>
      </c>
      <c r="CC372">
        <v>285</v>
      </c>
      <c r="CD372">
        <v>85</v>
      </c>
      <c r="CE372">
        <v>52</v>
      </c>
      <c r="CF372">
        <v>8</v>
      </c>
      <c r="CG372">
        <v>0</v>
      </c>
      <c r="CH372">
        <v>13</v>
      </c>
      <c r="CI372">
        <v>50</v>
      </c>
      <c r="CJ372">
        <v>2</v>
      </c>
      <c r="CK372" t="s">
        <v>54</v>
      </c>
      <c r="CL372" t="s">
        <v>2616</v>
      </c>
      <c r="CM372">
        <f>HYPERLINK(".\links\GO\TI_asb-581-GO.txt",0.024)</f>
        <v>2.4E-2</v>
      </c>
      <c r="CN372" t="s">
        <v>1326</v>
      </c>
      <c r="CO372" t="s">
        <v>1326</v>
      </c>
      <c r="CQ372" t="s">
        <v>1327</v>
      </c>
      <c r="CR372" s="6">
        <v>3</v>
      </c>
      <c r="CS372" t="s">
        <v>1055</v>
      </c>
      <c r="CT372" t="s">
        <v>75</v>
      </c>
      <c r="CU372" t="s">
        <v>76</v>
      </c>
      <c r="CV372" t="s">
        <v>1056</v>
      </c>
      <c r="CW372" s="6">
        <v>3</v>
      </c>
      <c r="CX372" t="s">
        <v>3408</v>
      </c>
      <c r="CY372" t="s">
        <v>1326</v>
      </c>
      <c r="DA372" t="s">
        <v>3409</v>
      </c>
      <c r="DB372" s="6">
        <v>3</v>
      </c>
      <c r="DC372" t="str">
        <f>HYPERLINK(".\links\CDD\TI_asb-581-CDD.txt","Defensin_2")</f>
        <v>Defensin_2</v>
      </c>
      <c r="DD372" t="str">
        <f>HYPERLINK("http://www.ncbi.nlm.nih.gov/Structure/cdd/cddsrv.cgi?uid=pfam01097&amp;version=v4.0","0.001")</f>
        <v>0.001</v>
      </c>
      <c r="DE372" t="s">
        <v>3410</v>
      </c>
      <c r="DF372" t="str">
        <f>HYPERLINK(".\links\PFAM\TI_asb-581-PFAM.txt","Defensin_2")</f>
        <v>Defensin_2</v>
      </c>
      <c r="DG372" t="str">
        <f>HYPERLINK("http://pfam.sanger.ac.uk/family?acc=PF01097","2E-004")</f>
        <v>2E-004</v>
      </c>
      <c r="DH372" t="str">
        <f>HYPERLINK(".\links\PRK\TI_asb-581-PRK.txt","C/D box methylation guide ribonucleoprotein complex aNOP56 subunit")</f>
        <v>C/D box methylation guide ribonucleoprotein complex aNOP56 subunit</v>
      </c>
      <c r="DI372" s="7">
        <v>2.0000000000000001E-4</v>
      </c>
      <c r="DJ372" s="6" t="s">
        <v>56</v>
      </c>
      <c r="DN372" t="str">
        <f>HYPERLINK(".\links\SMART\TI_asb-581-SMART.txt","Knot1")</f>
        <v>Knot1</v>
      </c>
      <c r="DO372" t="str">
        <f>HYPERLINK("http://smart.embl-heidelberg.de/smart/do_annotation.pl?DOMAIN=Knot1&amp;BLAST=DUMMY","0.002")</f>
        <v>0.002</v>
      </c>
      <c r="DP372" s="3" t="s">
        <v>56</v>
      </c>
      <c r="ED372" s="3" t="s">
        <v>56</v>
      </c>
    </row>
    <row r="373" spans="1:147">
      <c r="A373" t="str">
        <f>HYPERLINK(".\links\seq\TI_asb-582-seq.txt","TI_asb-582")</f>
        <v>TI_asb-582</v>
      </c>
      <c r="B373">
        <v>582</v>
      </c>
      <c r="C373" t="str">
        <f>HYPERLINK(".\links\tsa\TI_asb-582-tsa.txt","1")</f>
        <v>1</v>
      </c>
      <c r="D373">
        <v>1</v>
      </c>
      <c r="E373">
        <v>427</v>
      </c>
      <c r="F373">
        <v>401</v>
      </c>
      <c r="G373" t="str">
        <f>HYPERLINK(".\links\qual\TI_asb-582-qual.txt","62")</f>
        <v>62</v>
      </c>
      <c r="H373">
        <v>1</v>
      </c>
      <c r="I373">
        <v>0</v>
      </c>
      <c r="J373">
        <f t="shared" si="18"/>
        <v>1</v>
      </c>
      <c r="K373" s="6">
        <f t="shared" si="19"/>
        <v>1</v>
      </c>
      <c r="L373" s="6" t="s">
        <v>4076</v>
      </c>
      <c r="M373" s="6" t="s">
        <v>3976</v>
      </c>
      <c r="N373" s="6" t="s">
        <v>3867</v>
      </c>
      <c r="O373" s="6">
        <v>2.0000000000000001E-4</v>
      </c>
      <c r="P373" s="6">
        <v>105.8</v>
      </c>
      <c r="Q373" s="3">
        <v>427</v>
      </c>
      <c r="R373" s="3">
        <v>324</v>
      </c>
      <c r="S373" s="3" t="s">
        <v>3852</v>
      </c>
      <c r="T373" s="3">
        <v>4</v>
      </c>
      <c r="U373" t="str">
        <f>HYPERLINK(".\links\NR-LIGHT\TI_asb-582-NR-LIGHT.txt","defensin A")</f>
        <v>defensin A</v>
      </c>
      <c r="V373" t="str">
        <f>HYPERLINK("http://www.ncbi.nlm.nih.gov/sutils/blink.cgi?pid=149689102","2E-014")</f>
        <v>2E-014</v>
      </c>
      <c r="W373" t="str">
        <f>HYPERLINK(".\links\NR-LIGHT\TI_asb-582-NR-LIGHT.txt"," 10")</f>
        <v xml:space="preserve"> 10</v>
      </c>
      <c r="X373" t="str">
        <f>HYPERLINK("http://www.ncbi.nlm.nih.gov/protein/149689102","gi|149689102")</f>
        <v>gi|149689102</v>
      </c>
      <c r="Y373">
        <v>79.7</v>
      </c>
      <c r="Z373">
        <v>74</v>
      </c>
      <c r="AA373">
        <v>93</v>
      </c>
      <c r="AB373">
        <v>52</v>
      </c>
      <c r="AC373">
        <v>80</v>
      </c>
      <c r="AD373">
        <v>35</v>
      </c>
      <c r="AE373">
        <v>8</v>
      </c>
      <c r="AF373">
        <v>18</v>
      </c>
      <c r="AG373">
        <v>73</v>
      </c>
      <c r="AH373">
        <v>1</v>
      </c>
      <c r="AI373">
        <v>1</v>
      </c>
      <c r="AJ373" t="s">
        <v>53</v>
      </c>
      <c r="AK373" t="s">
        <v>54</v>
      </c>
      <c r="AL373" t="s">
        <v>55</v>
      </c>
      <c r="AM373" t="str">
        <f>HYPERLINK(".\links\SWISSP\TI_asb-582-SWISSP.txt","Defensin OS=Oryctes rhinoceros PE=1 SV=1")</f>
        <v>Defensin OS=Oryctes rhinoceros PE=1 SV=1</v>
      </c>
      <c r="AN373" s="19" t="str">
        <f>HYPERLINK("http://www.uniprot.org/uniprot/O96049","7E-004")</f>
        <v>7E-004</v>
      </c>
      <c r="AO373" t="str">
        <f>HYPERLINK(".\links\SWISSP\TI_asb-582-SWISSP.txt"," 10")</f>
        <v xml:space="preserve"> 10</v>
      </c>
      <c r="AP373" t="s">
        <v>3411</v>
      </c>
      <c r="AQ373">
        <v>42.7</v>
      </c>
      <c r="AR373">
        <v>60</v>
      </c>
      <c r="AS373">
        <v>79</v>
      </c>
      <c r="AT373">
        <v>35</v>
      </c>
      <c r="AU373">
        <v>76</v>
      </c>
      <c r="AV373">
        <v>39</v>
      </c>
      <c r="AW373">
        <v>8</v>
      </c>
      <c r="AX373">
        <v>18</v>
      </c>
      <c r="AY373">
        <v>115</v>
      </c>
      <c r="AZ373">
        <v>1</v>
      </c>
      <c r="BA373">
        <v>1</v>
      </c>
      <c r="BB373" t="s">
        <v>53</v>
      </c>
      <c r="BC373" t="s">
        <v>54</v>
      </c>
      <c r="BD373" t="s">
        <v>3412</v>
      </c>
      <c r="BE373" t="s">
        <v>3413</v>
      </c>
      <c r="BF373" t="s">
        <v>3414</v>
      </c>
      <c r="BG373" t="str">
        <f>HYPERLINK(".\links\PREV-RHOD-PEP\TI_asb-582-PREV-RHOD-PEP.txt","Contig17966_82")</f>
        <v>Contig17966_82</v>
      </c>
      <c r="BH373" s="7">
        <v>8.0000000000000006E-15</v>
      </c>
      <c r="BI373" t="str">
        <f>HYPERLINK(".\links\PREV-RHOD-PEP\TI_asb-582-PREV-RHOD-PEP.txt"," 10")</f>
        <v xml:space="preserve"> 10</v>
      </c>
      <c r="BJ373" t="s">
        <v>671</v>
      </c>
      <c r="BK373">
        <v>75.5</v>
      </c>
      <c r="BL373">
        <v>77</v>
      </c>
      <c r="BM373">
        <v>94</v>
      </c>
      <c r="BN373">
        <v>49</v>
      </c>
      <c r="BO373">
        <v>82</v>
      </c>
      <c r="BP373">
        <v>39</v>
      </c>
      <c r="BQ373">
        <v>9</v>
      </c>
      <c r="BR373">
        <v>18</v>
      </c>
      <c r="BS373">
        <v>73</v>
      </c>
      <c r="BT373">
        <v>1</v>
      </c>
      <c r="BU373" t="s">
        <v>54</v>
      </c>
      <c r="BV373" t="s">
        <v>3415</v>
      </c>
      <c r="BW373" t="s">
        <v>56</v>
      </c>
      <c r="BX373" t="str">
        <f>HYPERLINK(".\links\PREV-RHOD-CDS\TI_asb-582-PREV-RHOD-CDS.txt","Contig17966_69")</f>
        <v>Contig17966_69</v>
      </c>
      <c r="BY373" s="7">
        <v>1.9999999999999999E-7</v>
      </c>
      <c r="BZ373" t="s">
        <v>2933</v>
      </c>
      <c r="CA373">
        <v>56</v>
      </c>
      <c r="CB373">
        <v>148</v>
      </c>
      <c r="CC373">
        <v>285</v>
      </c>
      <c r="CD373">
        <v>87</v>
      </c>
      <c r="CE373">
        <v>52</v>
      </c>
      <c r="CF373">
        <v>7</v>
      </c>
      <c r="CG373">
        <v>0</v>
      </c>
      <c r="CH373">
        <v>13</v>
      </c>
      <c r="CI373">
        <v>34</v>
      </c>
      <c r="CJ373">
        <v>2</v>
      </c>
      <c r="CK373" t="s">
        <v>54</v>
      </c>
      <c r="CL373" t="s">
        <v>2616</v>
      </c>
      <c r="CM373">
        <f>HYPERLINK(".\links\GO\TI_asb-582-GO.txt",0.18)</f>
        <v>0.18</v>
      </c>
      <c r="CN373" t="s">
        <v>58</v>
      </c>
      <c r="CO373" t="s">
        <v>58</v>
      </c>
      <c r="CQ373" t="s">
        <v>59</v>
      </c>
      <c r="CR373" s="6">
        <v>5.9</v>
      </c>
      <c r="CS373" t="s">
        <v>74</v>
      </c>
      <c r="CT373" t="s">
        <v>75</v>
      </c>
      <c r="CU373" t="s">
        <v>76</v>
      </c>
      <c r="CV373" t="s">
        <v>77</v>
      </c>
      <c r="CW373" s="6">
        <v>5.9</v>
      </c>
      <c r="CX373" t="s">
        <v>62</v>
      </c>
      <c r="CY373" t="s">
        <v>58</v>
      </c>
      <c r="DA373" t="s">
        <v>63</v>
      </c>
      <c r="DB373" s="6">
        <v>5.9</v>
      </c>
      <c r="DC373" t="str">
        <f>HYPERLINK(".\links\CDD\TI_asb-582-CDD.txt","Defensin_2")</f>
        <v>Defensin_2</v>
      </c>
      <c r="DD373" t="str">
        <f>HYPERLINK("http://www.ncbi.nlm.nih.gov/Structure/cdd/cddsrv.cgi?uid=pfam01097&amp;version=v4.0","0.001")</f>
        <v>0.001</v>
      </c>
      <c r="DE373" t="s">
        <v>3416</v>
      </c>
      <c r="DF373" t="str">
        <f>HYPERLINK(".\links\PFAM\TI_asb-582-PFAM.txt","Defensin_2")</f>
        <v>Defensin_2</v>
      </c>
      <c r="DG373" t="str">
        <f>HYPERLINK("http://pfam.sanger.ac.uk/family?acc=PF01097","2E-004")</f>
        <v>2E-004</v>
      </c>
      <c r="DH373" t="str">
        <f>HYPERLINK(".\links\PRK\TI_asb-582-PRK.txt","NADH dehydrogenase subunit 5")</f>
        <v>NADH dehydrogenase subunit 5</v>
      </c>
      <c r="DI373" s="6">
        <v>7.0000000000000001E-3</v>
      </c>
      <c r="DJ373" s="6" t="str">
        <f>HYPERLINK(".\links\KOG\TI_asb-582-KOG.txt","Glycosylphosphatidylinositol anchor synthesis protein")</f>
        <v>Glycosylphosphatidylinositol anchor synthesis protein</v>
      </c>
      <c r="DK373" s="6" t="str">
        <f>HYPERLINK("http://www.ncbi.nlm.nih.gov/COG/grace/shokog.cgi?KOG2124","0.035")</f>
        <v>0.035</v>
      </c>
      <c r="DL373" s="6" t="s">
        <v>4342</v>
      </c>
      <c r="DM373" s="6" t="str">
        <f>HYPERLINK(".\links\KOG\TI_asb-582-KOG.txt","KOG2124")</f>
        <v>KOG2124</v>
      </c>
      <c r="DN373" t="str">
        <f>HYPERLINK(".\links\SMART\TI_asb-582-SMART.txt","Knot1")</f>
        <v>Knot1</v>
      </c>
      <c r="DO373" t="str">
        <f>HYPERLINK("http://smart.embl-heidelberg.de/smart/do_annotation.pl?DOMAIN=Knot1&amp;BLAST=DUMMY","0.001")</f>
        <v>0.001</v>
      </c>
      <c r="DP373" s="3" t="s">
        <v>56</v>
      </c>
      <c r="ED373" s="3" t="s">
        <v>56</v>
      </c>
    </row>
    <row r="374" spans="1:147">
      <c r="A374" t="str">
        <f>HYPERLINK(".\links\seq\TI_asb-583-seq.txt","TI_asb-583")</f>
        <v>TI_asb-583</v>
      </c>
      <c r="B374">
        <v>583</v>
      </c>
      <c r="C374" t="str">
        <f>HYPERLINK(".\links\tsa\TI_asb-583-tsa.txt","2")</f>
        <v>2</v>
      </c>
      <c r="D374">
        <v>2</v>
      </c>
      <c r="E374">
        <v>513</v>
      </c>
      <c r="F374">
        <v>426</v>
      </c>
      <c r="G374" t="str">
        <f>HYPERLINK(".\links\qual\TI_asb-583-qual.txt","72")</f>
        <v>72</v>
      </c>
      <c r="H374">
        <v>2</v>
      </c>
      <c r="I374">
        <v>0</v>
      </c>
      <c r="J374">
        <f t="shared" si="18"/>
        <v>2</v>
      </c>
      <c r="K374" s="6">
        <f t="shared" si="19"/>
        <v>2</v>
      </c>
      <c r="L374" s="6" t="s">
        <v>4077</v>
      </c>
      <c r="M374" s="6" t="s">
        <v>3866</v>
      </c>
      <c r="N374" s="6" t="s">
        <v>3872</v>
      </c>
      <c r="O374" s="6">
        <v>2.9999999999999998E-14</v>
      </c>
      <c r="P374" s="6">
        <v>10.5</v>
      </c>
      <c r="Q374" s="3">
        <v>513</v>
      </c>
      <c r="R374" s="3">
        <v>156</v>
      </c>
      <c r="S374" s="3" t="s">
        <v>3853</v>
      </c>
      <c r="T374" s="3">
        <v>6</v>
      </c>
      <c r="U374" t="str">
        <f>HYPERLINK(".\links\NR-LIGHT\TI_asb-583-NR-LIGHT.txt","hypothetical protein TcasGA2_TC014113")</f>
        <v>hypothetical protein TcasGA2_TC014113</v>
      </c>
      <c r="V374" t="str">
        <f>HYPERLINK("http://www.ncbi.nlm.nih.gov/sutils/blink.cgi?pid=270007520","3E-013")</f>
        <v>3E-013</v>
      </c>
      <c r="W374" t="str">
        <f>HYPERLINK(".\links\NR-LIGHT\TI_asb-583-NR-LIGHT.txt"," 10")</f>
        <v xml:space="preserve"> 10</v>
      </c>
      <c r="X374" t="str">
        <f>HYPERLINK("http://www.ncbi.nlm.nih.gov/protein/270007520","gi|270007520")</f>
        <v>gi|270007520</v>
      </c>
      <c r="Y374">
        <v>76.599999999999994</v>
      </c>
      <c r="Z374">
        <v>42</v>
      </c>
      <c r="AA374">
        <v>482</v>
      </c>
      <c r="AB374">
        <v>83</v>
      </c>
      <c r="AC374">
        <v>9</v>
      </c>
      <c r="AD374">
        <v>7</v>
      </c>
      <c r="AE374">
        <v>0</v>
      </c>
      <c r="AF374">
        <v>441</v>
      </c>
      <c r="AG374">
        <v>5</v>
      </c>
      <c r="AH374">
        <v>1</v>
      </c>
      <c r="AI374">
        <v>2</v>
      </c>
      <c r="AJ374" t="s">
        <v>53</v>
      </c>
      <c r="AK374" t="s">
        <v>54</v>
      </c>
      <c r="AL374" t="s">
        <v>79</v>
      </c>
      <c r="AM374" t="str">
        <f>HYPERLINK(".\links\SWISSP\TI_asb-583-SWISSP.txt","Eukaryotic initiation factor 4A-II OS=Rattus norvegicus GN=Eif4a2 PE=1 SV=1")</f>
        <v>Eukaryotic initiation factor 4A-II OS=Rattus norvegicus GN=Eif4a2 PE=1 SV=1</v>
      </c>
      <c r="AN374" s="19" t="str">
        <f>HYPERLINK("http://www.uniprot.org/uniprot/Q5RKI1","6E-013")</f>
        <v>6E-013</v>
      </c>
      <c r="AO374" t="str">
        <f>HYPERLINK(".\links\SWISSP\TI_asb-583-SWISSP.txt"," 10")</f>
        <v xml:space="preserve"> 10</v>
      </c>
      <c r="AP374" t="s">
        <v>3417</v>
      </c>
      <c r="AQ374">
        <v>73.599999999999994</v>
      </c>
      <c r="AR374">
        <v>42</v>
      </c>
      <c r="AS374">
        <v>407</v>
      </c>
      <c r="AT374">
        <v>78</v>
      </c>
      <c r="AU374">
        <v>10</v>
      </c>
      <c r="AV374">
        <v>9</v>
      </c>
      <c r="AW374">
        <v>0</v>
      </c>
      <c r="AX374">
        <v>366</v>
      </c>
      <c r="AY374">
        <v>5</v>
      </c>
      <c r="AZ374">
        <v>1</v>
      </c>
      <c r="BA374">
        <v>2</v>
      </c>
      <c r="BB374" t="s">
        <v>53</v>
      </c>
      <c r="BC374" t="s">
        <v>54</v>
      </c>
      <c r="BD374" t="s">
        <v>122</v>
      </c>
      <c r="BE374" t="s">
        <v>3418</v>
      </c>
      <c r="BF374" t="s">
        <v>3419</v>
      </c>
      <c r="BG374" t="str">
        <f>HYPERLINK(".\links\PREV-RHOD-PEP\TI_asb-583-PREV-RHOD-PEP.txt","Contig17157_4")</f>
        <v>Contig17157_4</v>
      </c>
      <c r="BH374" s="7">
        <v>5.0000000000000004E-19</v>
      </c>
      <c r="BI374" t="str">
        <f>HYPERLINK(".\links\PREV-RHOD-PEP\TI_asb-583-PREV-RHOD-PEP.txt"," 5")</f>
        <v xml:space="preserve"> 5</v>
      </c>
      <c r="BJ374" t="s">
        <v>3420</v>
      </c>
      <c r="BK374">
        <v>90.1</v>
      </c>
      <c r="BL374">
        <v>43</v>
      </c>
      <c r="BM374">
        <v>422</v>
      </c>
      <c r="BN374">
        <v>100</v>
      </c>
      <c r="BO374">
        <v>10</v>
      </c>
      <c r="BP374">
        <v>0</v>
      </c>
      <c r="BQ374">
        <v>0</v>
      </c>
      <c r="BR374">
        <v>380</v>
      </c>
      <c r="BS374">
        <v>5</v>
      </c>
      <c r="BT374">
        <v>1</v>
      </c>
      <c r="BU374" t="s">
        <v>54</v>
      </c>
      <c r="BV374" t="s">
        <v>3421</v>
      </c>
      <c r="BW374" t="s">
        <v>56</v>
      </c>
      <c r="BX374" t="str">
        <f>HYPERLINK(".\links\PREV-RHOD-CDS\TI_asb-583-PREV-RHOD-CDS.txt","Contig17157_4")</f>
        <v>Contig17157_4</v>
      </c>
      <c r="BY374" s="7">
        <v>1E-58</v>
      </c>
      <c r="BZ374" t="s">
        <v>3420</v>
      </c>
      <c r="CA374">
        <v>226</v>
      </c>
      <c r="CB374">
        <v>125</v>
      </c>
      <c r="CC374">
        <v>1269</v>
      </c>
      <c r="CD374">
        <v>97</v>
      </c>
      <c r="CE374">
        <v>10</v>
      </c>
      <c r="CF374">
        <v>3</v>
      </c>
      <c r="CG374">
        <v>0</v>
      </c>
      <c r="CH374">
        <v>1144</v>
      </c>
      <c r="CI374">
        <v>11</v>
      </c>
      <c r="CJ374">
        <v>1</v>
      </c>
      <c r="CK374" t="s">
        <v>54</v>
      </c>
      <c r="CL374" t="s">
        <v>3422</v>
      </c>
      <c r="CM374">
        <f>HYPERLINK(".\links\GO\TI_asb-583-GO.txt",0.0000000000002)</f>
        <v>2.0000000000000001E-13</v>
      </c>
      <c r="CN374" t="s">
        <v>208</v>
      </c>
      <c r="CO374" t="s">
        <v>185</v>
      </c>
      <c r="CP374" t="s">
        <v>186</v>
      </c>
      <c r="CQ374" t="s">
        <v>209</v>
      </c>
      <c r="CR374" s="6">
        <v>2.0000000000000001E-13</v>
      </c>
      <c r="CS374" t="s">
        <v>1055</v>
      </c>
      <c r="CT374" t="s">
        <v>75</v>
      </c>
      <c r="CU374" t="s">
        <v>76</v>
      </c>
      <c r="CV374" t="s">
        <v>1056</v>
      </c>
      <c r="CW374" s="6">
        <v>2.0000000000000001E-13</v>
      </c>
      <c r="CX374" t="s">
        <v>3423</v>
      </c>
      <c r="CY374" t="s">
        <v>185</v>
      </c>
      <c r="CZ374" t="s">
        <v>186</v>
      </c>
      <c r="DA374" t="s">
        <v>3424</v>
      </c>
      <c r="DB374" s="6">
        <v>2.0000000000000001E-13</v>
      </c>
      <c r="DC374" t="str">
        <f>HYPERLINK(".\links\CDD\TI_asb-583-CDD.txt","RNA_polI_A34")</f>
        <v>RNA_polI_A34</v>
      </c>
      <c r="DD374" t="str">
        <f>HYPERLINK("http://www.ncbi.nlm.nih.gov/Structure/cdd/cddsrv.cgi?uid=pfam08208&amp;version=v4.0","3E-006")</f>
        <v>3E-006</v>
      </c>
      <c r="DE374" t="s">
        <v>3425</v>
      </c>
      <c r="DF374" t="str">
        <f>HYPERLINK(".\links\PFAM\TI_asb-583-PFAM.txt","RNA_polI_A34")</f>
        <v>RNA_polI_A34</v>
      </c>
      <c r="DG374" t="str">
        <f>HYPERLINK("http://pfam.sanger.ac.uk/family?acc=PF08208","4E-008")</f>
        <v>4E-008</v>
      </c>
      <c r="DH374" t="str">
        <f>HYPERLINK(".\links\PRK\TI_asb-583-PRK.txt","helicase 45")</f>
        <v>helicase 45</v>
      </c>
      <c r="DI374" s="7">
        <v>7.0000000000000001E-15</v>
      </c>
      <c r="DJ374" s="6" t="str">
        <f>HYPERLINK(".\links\KOG\TI_asb-583-KOG.txt","Translation initiation factor 4F, helicase subunit (eIF-4A) and related helicases")</f>
        <v>Translation initiation factor 4F, helicase subunit (eIF-4A) and related helicases</v>
      </c>
      <c r="DK374" s="6" t="str">
        <f>HYPERLINK("http://www.ncbi.nlm.nih.gov/COG/grace/shokog.cgi?KOG0327","3E-014")</f>
        <v>3E-014</v>
      </c>
      <c r="DL374" s="6" t="s">
        <v>4333</v>
      </c>
      <c r="DM374" s="6" t="str">
        <f>HYPERLINK(".\links\KOG\TI_asb-583-KOG.txt","KOG0327")</f>
        <v>KOG0327</v>
      </c>
      <c r="DN374" t="str">
        <f>HYPERLINK(".\links\SMART\TI_asb-583-SMART.txt","PSN")</f>
        <v>PSN</v>
      </c>
      <c r="DO374" t="str">
        <f>HYPERLINK("http://smart.embl-heidelberg.de/smart/do_annotation.pl?DOMAIN=PSN&amp;BLAST=DUMMY","2E-004")</f>
        <v>2E-004</v>
      </c>
      <c r="DP374" s="3" t="s">
        <v>56</v>
      </c>
      <c r="ED374" s="3" t="s">
        <v>56</v>
      </c>
    </row>
    <row r="375" spans="1:147">
      <c r="A375" t="str">
        <f>HYPERLINK(".\links\seq\TI_asb-584-seq.txt","TI_asb-584")</f>
        <v>TI_asb-584</v>
      </c>
      <c r="B375">
        <v>584</v>
      </c>
      <c r="C375" t="str">
        <f>HYPERLINK(".\links\tsa\TI_asb-584-tsa.txt","1")</f>
        <v>1</v>
      </c>
      <c r="D375">
        <v>1</v>
      </c>
      <c r="E375">
        <v>451</v>
      </c>
      <c r="F375">
        <v>385</v>
      </c>
      <c r="G375" t="str">
        <f>HYPERLINK(".\links\qual\TI_asb-584-qual.txt","36")</f>
        <v>36</v>
      </c>
      <c r="H375">
        <v>1</v>
      </c>
      <c r="I375">
        <v>0</v>
      </c>
      <c r="J375">
        <f t="shared" si="18"/>
        <v>1</v>
      </c>
      <c r="K375" s="6">
        <f t="shared" si="19"/>
        <v>1</v>
      </c>
      <c r="L375" s="6" t="s">
        <v>3868</v>
      </c>
      <c r="M375" s="6" t="s">
        <v>3869</v>
      </c>
      <c r="N375" s="6"/>
      <c r="O375" s="6"/>
      <c r="P375" s="6"/>
      <c r="Q375" s="3">
        <v>451</v>
      </c>
      <c r="R375" s="3">
        <v>120</v>
      </c>
      <c r="S375" s="3" t="s">
        <v>3854</v>
      </c>
      <c r="T375" s="3">
        <v>5</v>
      </c>
      <c r="U375" t="s">
        <v>56</v>
      </c>
      <c r="V375" t="s">
        <v>56</v>
      </c>
      <c r="W375" t="s">
        <v>56</v>
      </c>
      <c r="X375" t="s">
        <v>56</v>
      </c>
      <c r="Y375" t="s">
        <v>56</v>
      </c>
      <c r="Z375" t="s">
        <v>56</v>
      </c>
      <c r="AA375" t="s">
        <v>56</v>
      </c>
      <c r="AB375" t="s">
        <v>56</v>
      </c>
      <c r="AC375" t="s">
        <v>56</v>
      </c>
      <c r="AD375" t="s">
        <v>56</v>
      </c>
      <c r="AE375" t="s">
        <v>56</v>
      </c>
      <c r="AF375" t="s">
        <v>56</v>
      </c>
      <c r="AG375" t="s">
        <v>56</v>
      </c>
      <c r="AH375" t="s">
        <v>56</v>
      </c>
      <c r="AI375" t="s">
        <v>56</v>
      </c>
      <c r="AJ375" t="s">
        <v>56</v>
      </c>
      <c r="AK375" t="s">
        <v>56</v>
      </c>
      <c r="AL375" t="s">
        <v>56</v>
      </c>
      <c r="AM375" t="s">
        <v>56</v>
      </c>
      <c r="AN375" s="19" t="s">
        <v>56</v>
      </c>
      <c r="AO375" t="s">
        <v>56</v>
      </c>
      <c r="AP375" t="s">
        <v>56</v>
      </c>
      <c r="AQ375" t="s">
        <v>56</v>
      </c>
      <c r="AR375" t="s">
        <v>56</v>
      </c>
      <c r="AS375" t="s">
        <v>56</v>
      </c>
      <c r="AT375" t="s">
        <v>56</v>
      </c>
      <c r="AU375" t="s">
        <v>56</v>
      </c>
      <c r="AV375" t="s">
        <v>56</v>
      </c>
      <c r="AW375" t="s">
        <v>56</v>
      </c>
      <c r="AX375" t="s">
        <v>56</v>
      </c>
      <c r="AY375" t="s">
        <v>56</v>
      </c>
      <c r="AZ375" t="s">
        <v>56</v>
      </c>
      <c r="BA375" t="s">
        <v>56</v>
      </c>
      <c r="BB375" t="s">
        <v>56</v>
      </c>
      <c r="BC375" t="s">
        <v>56</v>
      </c>
      <c r="BD375" t="s">
        <v>56</v>
      </c>
      <c r="BE375" t="s">
        <v>56</v>
      </c>
      <c r="BF375" t="s">
        <v>56</v>
      </c>
      <c r="BG375" t="s">
        <v>56</v>
      </c>
      <c r="BH375" s="6" t="s">
        <v>56</v>
      </c>
      <c r="BI375" t="s">
        <v>56</v>
      </c>
      <c r="BJ375" t="s">
        <v>56</v>
      </c>
      <c r="BK375" t="s">
        <v>56</v>
      </c>
      <c r="BL375" t="s">
        <v>56</v>
      </c>
      <c r="BM375" t="s">
        <v>56</v>
      </c>
      <c r="BN375" t="s">
        <v>56</v>
      </c>
      <c r="BO375" t="s">
        <v>56</v>
      </c>
      <c r="BP375" t="s">
        <v>56</v>
      </c>
      <c r="BQ375" t="s">
        <v>56</v>
      </c>
      <c r="BR375" t="s">
        <v>56</v>
      </c>
      <c r="BS375" t="s">
        <v>56</v>
      </c>
      <c r="BT375" t="s">
        <v>56</v>
      </c>
      <c r="BU375" t="s">
        <v>56</v>
      </c>
      <c r="BV375" t="s">
        <v>56</v>
      </c>
      <c r="BW375" t="s">
        <v>56</v>
      </c>
      <c r="BX375" t="str">
        <f>HYPERLINK(".\links\PREV-RHOD-CDS\TI_asb-584-PREV-RHOD-CDS.txt","Contig17157_4")</f>
        <v>Contig17157_4</v>
      </c>
      <c r="BY375" s="6">
        <v>1.4E-2</v>
      </c>
      <c r="BZ375" t="s">
        <v>3420</v>
      </c>
      <c r="CA375">
        <v>40.1</v>
      </c>
      <c r="CB375">
        <v>23</v>
      </c>
      <c r="CC375">
        <v>1269</v>
      </c>
      <c r="CD375">
        <v>95</v>
      </c>
      <c r="CE375">
        <v>2</v>
      </c>
      <c r="CF375">
        <v>1</v>
      </c>
      <c r="CG375">
        <v>0</v>
      </c>
      <c r="CH375">
        <v>1212</v>
      </c>
      <c r="CI375">
        <v>32</v>
      </c>
      <c r="CJ375">
        <v>1</v>
      </c>
      <c r="CK375" t="s">
        <v>54</v>
      </c>
      <c r="CL375" t="s">
        <v>56</v>
      </c>
      <c r="CM375" t="s">
        <v>56</v>
      </c>
      <c r="CN375" t="s">
        <v>56</v>
      </c>
      <c r="CO375" t="s">
        <v>56</v>
      </c>
      <c r="CP375" t="s">
        <v>56</v>
      </c>
      <c r="CQ375" t="s">
        <v>56</v>
      </c>
      <c r="CR375" s="6" t="s">
        <v>56</v>
      </c>
      <c r="CS375" t="s">
        <v>56</v>
      </c>
      <c r="CT375" t="s">
        <v>56</v>
      </c>
      <c r="CU375" t="s">
        <v>56</v>
      </c>
      <c r="CV375" t="s">
        <v>56</v>
      </c>
      <c r="CW375" s="6" t="s">
        <v>56</v>
      </c>
      <c r="CX375" t="s">
        <v>56</v>
      </c>
      <c r="CY375" t="s">
        <v>56</v>
      </c>
      <c r="CZ375" t="s">
        <v>56</v>
      </c>
      <c r="DA375" t="s">
        <v>56</v>
      </c>
      <c r="DB375" s="6" t="s">
        <v>56</v>
      </c>
      <c r="DC375" t="s">
        <v>56</v>
      </c>
      <c r="DD375" t="s">
        <v>56</v>
      </c>
      <c r="DE375" t="s">
        <v>56</v>
      </c>
      <c r="DF375" t="str">
        <f>HYPERLINK(".\links\PFAM\TI_asb-584-PFAM.txt","7TM_GPCR_Srt")</f>
        <v>7TM_GPCR_Srt</v>
      </c>
      <c r="DG375" t="str">
        <f>HYPERLINK("http://pfam.sanger.ac.uk/family?acc=PF10321","0.061")</f>
        <v>0.061</v>
      </c>
      <c r="DH375" t="str">
        <f>HYPERLINK(".\links\PRK\TI_asb-584-PRK.txt","NADH dehydrogenase subunit 5")</f>
        <v>NADH dehydrogenase subunit 5</v>
      </c>
      <c r="DI375" s="7">
        <v>5.0000000000000001E-4</v>
      </c>
      <c r="DJ375" s="6" t="str">
        <f>HYPERLINK(".\links\KOG\TI_asb-584-KOG.txt","Golgi proteins involved in ER retention (RER)")</f>
        <v>Golgi proteins involved in ER retention (RER)</v>
      </c>
      <c r="DK375" s="6" t="str">
        <f>HYPERLINK("http://www.ncbi.nlm.nih.gov/COG/grace/shokog.cgi?KOG1688","0.080")</f>
        <v>0.080</v>
      </c>
      <c r="DL375" s="6" t="s">
        <v>4352</v>
      </c>
      <c r="DM375" s="6" t="str">
        <f>HYPERLINK(".\links\KOG\TI_asb-584-KOG.txt","KOG1688")</f>
        <v>KOG1688</v>
      </c>
      <c r="DN375" t="s">
        <v>56</v>
      </c>
      <c r="DO375" t="s">
        <v>56</v>
      </c>
      <c r="DP375" s="3" t="s">
        <v>56</v>
      </c>
      <c r="ED375" s="3" t="s">
        <v>56</v>
      </c>
    </row>
    <row r="376" spans="1:147">
      <c r="A376" t="str">
        <f>HYPERLINK(".\links\seq\TI_asb-585-seq.txt","TI_asb-585")</f>
        <v>TI_asb-585</v>
      </c>
      <c r="B376">
        <v>585</v>
      </c>
      <c r="C376" t="str">
        <f>HYPERLINK(".\links\tsa\TI_asb-585-tsa.txt","1")</f>
        <v>1</v>
      </c>
      <c r="D376">
        <v>1</v>
      </c>
      <c r="E376">
        <v>1001</v>
      </c>
      <c r="F376">
        <v>962</v>
      </c>
      <c r="G376" t="str">
        <f>HYPERLINK(".\links\qual\TI_asb-585-qual.txt","29")</f>
        <v>29</v>
      </c>
      <c r="H376">
        <v>1</v>
      </c>
      <c r="I376">
        <v>0</v>
      </c>
      <c r="J376">
        <f t="shared" si="18"/>
        <v>1</v>
      </c>
      <c r="K376" s="6">
        <f t="shared" si="19"/>
        <v>1</v>
      </c>
      <c r="L376" s="6" t="s">
        <v>3888</v>
      </c>
      <c r="M376" s="6" t="s">
        <v>3886</v>
      </c>
      <c r="N376" s="6" t="s">
        <v>3872</v>
      </c>
      <c r="O376" s="6">
        <v>0</v>
      </c>
      <c r="P376" s="6">
        <v>3.6</v>
      </c>
      <c r="Q376" s="3">
        <v>1001</v>
      </c>
      <c r="R376" s="3">
        <v>450</v>
      </c>
      <c r="S376" s="3" t="s">
        <v>3855</v>
      </c>
      <c r="T376" s="3">
        <v>1</v>
      </c>
      <c r="U376" t="str">
        <f>HYPERLINK(".\links\NR-LIGHT\TI_asb-585-NR-LIGHT.txt","chloroquine resistance marker protein")</f>
        <v>chloroquine resistance marker protein</v>
      </c>
      <c r="V376" t="str">
        <f>HYPERLINK("http://www.ncbi.nlm.nih.gov/sutils/blink.cgi?pid=82704981","6.4")</f>
        <v>6.4</v>
      </c>
      <c r="W376" t="str">
        <f>HYPERLINK(".\links\NR-LIGHT\TI_asb-585-NR-LIGHT.txt"," 1")</f>
        <v xml:space="preserve"> 1</v>
      </c>
      <c r="X376" t="str">
        <f>HYPERLINK("http://www.ncbi.nlm.nih.gov/protein/82704981","gi|82704981")</f>
        <v>gi|82704981</v>
      </c>
      <c r="Y376">
        <v>34.299999999999997</v>
      </c>
      <c r="Z376">
        <v>101</v>
      </c>
      <c r="AA376">
        <v>3604</v>
      </c>
      <c r="AB376">
        <v>29</v>
      </c>
      <c r="AC376">
        <v>3</v>
      </c>
      <c r="AD376">
        <v>71</v>
      </c>
      <c r="AE376">
        <v>5</v>
      </c>
      <c r="AF376">
        <v>3127</v>
      </c>
      <c r="AG376">
        <v>559</v>
      </c>
      <c r="AH376">
        <v>1</v>
      </c>
      <c r="AI376">
        <v>1</v>
      </c>
      <c r="AJ376" t="s">
        <v>53</v>
      </c>
      <c r="AK376" t="s">
        <v>54</v>
      </c>
      <c r="AL376" t="s">
        <v>1544</v>
      </c>
      <c r="AM376" t="str">
        <f>HYPERLINK(".\links\SWISSP\TI_asb-585-SWISSP.txt","DNA ligase OS=Buchnera aphidicola subsp. Cinara cedri GN=ligA PE=3 SV=1")</f>
        <v>DNA ligase OS=Buchnera aphidicola subsp. Cinara cedri GN=ligA PE=3 SV=1</v>
      </c>
      <c r="AN376" s="19" t="str">
        <f>HYPERLINK("http://www.uniprot.org/uniprot/Q058C9","1.9")</f>
        <v>1.9</v>
      </c>
      <c r="AO376" t="str">
        <f>HYPERLINK(".\links\SWISSP\TI_asb-585-SWISSP.txt"," 4")</f>
        <v xml:space="preserve"> 4</v>
      </c>
      <c r="AP376" t="s">
        <v>3426</v>
      </c>
      <c r="AQ376">
        <v>33.9</v>
      </c>
      <c r="AR376">
        <v>45</v>
      </c>
      <c r="AS376">
        <v>587</v>
      </c>
      <c r="AT376">
        <v>40</v>
      </c>
      <c r="AU376">
        <v>8</v>
      </c>
      <c r="AV376">
        <v>27</v>
      </c>
      <c r="AW376">
        <v>0</v>
      </c>
      <c r="AX376">
        <v>298</v>
      </c>
      <c r="AY376">
        <v>667</v>
      </c>
      <c r="AZ376">
        <v>1</v>
      </c>
      <c r="BA376">
        <v>1</v>
      </c>
      <c r="BB376" t="s">
        <v>53</v>
      </c>
      <c r="BC376" t="s">
        <v>54</v>
      </c>
      <c r="BD376" t="s">
        <v>3427</v>
      </c>
      <c r="BE376" t="s">
        <v>3428</v>
      </c>
      <c r="BF376" t="s">
        <v>3429</v>
      </c>
      <c r="BG376" t="str">
        <f>HYPERLINK(".\links\PREV-RHOD-PEP\TI_asb-585-PREV-RHOD-PEP.txt","Contig17899_108")</f>
        <v>Contig17899_108</v>
      </c>
      <c r="BH376" s="6">
        <v>1.5</v>
      </c>
      <c r="BI376" t="str">
        <f>HYPERLINK(".\links\PREV-RHOD-PEP\TI_asb-585-PREV-RHOD-PEP.txt"," 6")</f>
        <v xml:space="preserve"> 6</v>
      </c>
      <c r="BJ376" t="s">
        <v>3430</v>
      </c>
      <c r="BK376">
        <v>30</v>
      </c>
      <c r="BL376">
        <v>77</v>
      </c>
      <c r="BM376">
        <v>914</v>
      </c>
      <c r="BN376">
        <v>28</v>
      </c>
      <c r="BO376">
        <v>8</v>
      </c>
      <c r="BP376">
        <v>55</v>
      </c>
      <c r="BQ376">
        <v>8</v>
      </c>
      <c r="BR376">
        <v>384</v>
      </c>
      <c r="BS376">
        <v>517</v>
      </c>
      <c r="BT376">
        <v>1</v>
      </c>
      <c r="BU376" t="s">
        <v>54</v>
      </c>
      <c r="BV376" t="s">
        <v>3431</v>
      </c>
      <c r="BW376" t="s">
        <v>56</v>
      </c>
      <c r="BX376" t="str">
        <f>HYPERLINK(".\links\PREV-RHOD-CDS\TI_asb-585-PREV-RHOD-CDS.txt","Contig17944_162")</f>
        <v>Contig17944_162</v>
      </c>
      <c r="BY376" s="6">
        <v>0.5</v>
      </c>
      <c r="BZ376" t="s">
        <v>3432</v>
      </c>
      <c r="CA376">
        <v>36.200000000000003</v>
      </c>
      <c r="CB376">
        <v>17</v>
      </c>
      <c r="CC376">
        <v>2781</v>
      </c>
      <c r="CD376">
        <v>100</v>
      </c>
      <c r="CE376">
        <v>1</v>
      </c>
      <c r="CF376">
        <v>0</v>
      </c>
      <c r="CG376">
        <v>0</v>
      </c>
      <c r="CH376">
        <v>911</v>
      </c>
      <c r="CI376">
        <v>175</v>
      </c>
      <c r="CJ376">
        <v>1</v>
      </c>
      <c r="CK376" t="s">
        <v>64</v>
      </c>
      <c r="CL376" t="s">
        <v>56</v>
      </c>
      <c r="CM376" t="s">
        <v>56</v>
      </c>
      <c r="CN376" t="s">
        <v>56</v>
      </c>
      <c r="CO376" t="s">
        <v>56</v>
      </c>
      <c r="CP376" t="s">
        <v>56</v>
      </c>
      <c r="CQ376" t="s">
        <v>56</v>
      </c>
      <c r="CR376" s="6" t="s">
        <v>56</v>
      </c>
      <c r="CS376" t="s">
        <v>56</v>
      </c>
      <c r="CT376" t="s">
        <v>56</v>
      </c>
      <c r="CU376" t="s">
        <v>56</v>
      </c>
      <c r="CV376" t="s">
        <v>56</v>
      </c>
      <c r="CW376" s="6" t="s">
        <v>56</v>
      </c>
      <c r="CX376" t="s">
        <v>56</v>
      </c>
      <c r="CY376" t="s">
        <v>56</v>
      </c>
      <c r="CZ376" t="s">
        <v>56</v>
      </c>
      <c r="DA376" t="s">
        <v>56</v>
      </c>
      <c r="DB376" s="6" t="s">
        <v>56</v>
      </c>
      <c r="DC376" t="str">
        <f>HYPERLINK(".\links\CDD\TI_asb-585-CDD.txt","DUF226")</f>
        <v>DUF226</v>
      </c>
      <c r="DD376" t="str">
        <f>HYPERLINK("http://www.ncbi.nlm.nih.gov/Structure/cdd/cddsrv.cgi?uid=pfam02890&amp;version=v4.0","0.002")</f>
        <v>0.002</v>
      </c>
      <c r="DE376" t="s">
        <v>3433</v>
      </c>
      <c r="DF376" t="str">
        <f>HYPERLINK(".\links\PFAM\TI_asb-585-PFAM.txt","DUF226")</f>
        <v>DUF226</v>
      </c>
      <c r="DG376" t="str">
        <f>HYPERLINK("http://pfam.sanger.ac.uk/family?acc=PF02890","4E-004")</f>
        <v>4E-004</v>
      </c>
      <c r="DH376" t="str">
        <f>HYPERLINK(".\links\PRK\TI_asb-585-PRK.txt","DNA polymerase III subunit delta'")</f>
        <v>DNA polymerase III subunit delta'</v>
      </c>
      <c r="DI376" s="6">
        <v>1E-3</v>
      </c>
      <c r="DJ376" s="6" t="str">
        <f>HYPERLINK(".\links\KOG\TI_asb-585-KOG.txt","Nuclear protein, contains WD40 repeats")</f>
        <v>Nuclear protein, contains WD40 repeats</v>
      </c>
      <c r="DK376" s="6" t="str">
        <f>HYPERLINK("http://www.ncbi.nlm.nih.gov/COG/grace/shokog.cgi?KOG1916","0.0")</f>
        <v>0.0</v>
      </c>
      <c r="DL376" s="6" t="s">
        <v>4337</v>
      </c>
      <c r="DM376" s="6" t="str">
        <f>HYPERLINK(".\links\KOG\TI_asb-585-KOG.txt","KOG1916")</f>
        <v>KOG1916</v>
      </c>
      <c r="DN376" t="str">
        <f>HYPERLINK(".\links\SMART\TI_asb-585-SMART.txt","PI3Kc")</f>
        <v>PI3Kc</v>
      </c>
      <c r="DO376" t="str">
        <f>HYPERLINK("http://smart.embl-heidelberg.de/smart/do_annotation.pl?DOMAIN=PI3Kc&amp;BLAST=DUMMY","0.014")</f>
        <v>0.014</v>
      </c>
      <c r="DP376" s="3" t="s">
        <v>56</v>
      </c>
      <c r="ED376" s="3" t="s">
        <v>56</v>
      </c>
    </row>
    <row r="377" spans="1:147">
      <c r="A377" t="str">
        <f>HYPERLINK(".\links\seq\TI_asb-586-seq.txt","TI_asb-586")</f>
        <v>TI_asb-586</v>
      </c>
      <c r="B377">
        <v>586</v>
      </c>
      <c r="C377" t="str">
        <f>HYPERLINK(".\links\tsa\TI_asb-586-tsa.txt","1")</f>
        <v>1</v>
      </c>
      <c r="D377">
        <v>1</v>
      </c>
      <c r="E377">
        <v>459</v>
      </c>
      <c r="G377" t="str">
        <f>HYPERLINK(".\links\qual\TI_asb-586-qual.txt","43")</f>
        <v>43</v>
      </c>
      <c r="H377">
        <v>1</v>
      </c>
      <c r="I377">
        <v>0</v>
      </c>
      <c r="J377">
        <f t="shared" si="18"/>
        <v>1</v>
      </c>
      <c r="K377" s="6">
        <f t="shared" si="19"/>
        <v>1</v>
      </c>
      <c r="L377" s="6" t="s">
        <v>4078</v>
      </c>
      <c r="M377" s="6" t="s">
        <v>3863</v>
      </c>
      <c r="N377" s="6" t="s">
        <v>3864</v>
      </c>
      <c r="O377" s="6">
        <v>1E-8</v>
      </c>
      <c r="P377" s="6">
        <v>32.5</v>
      </c>
      <c r="Q377" s="3">
        <v>459</v>
      </c>
      <c r="R377" s="3">
        <v>174</v>
      </c>
      <c r="S377" s="6" t="s">
        <v>3856</v>
      </c>
      <c r="T377" s="3">
        <v>2</v>
      </c>
      <c r="U377" t="str">
        <f>HYPERLINK(".\links\NR-LIGHT\TI_asb-586-NR-LIGHT.txt","putative secreted salivary peptide precursor")</f>
        <v>putative secreted salivary peptide precursor</v>
      </c>
      <c r="V377" t="str">
        <f>HYPERLINK("http://www.ncbi.nlm.nih.gov/sutils/blink.cgi?pid=149689160","1E-008")</f>
        <v>1E-008</v>
      </c>
      <c r="W377" t="str">
        <f>HYPERLINK(".\links\NR-LIGHT\TI_asb-586-NR-LIGHT.txt"," 10")</f>
        <v xml:space="preserve"> 10</v>
      </c>
      <c r="X377" t="str">
        <f>HYPERLINK("http://www.ncbi.nlm.nih.gov/protein/149689160","gi|149689160")</f>
        <v>gi|149689160</v>
      </c>
      <c r="Y377">
        <v>60.8</v>
      </c>
      <c r="Z377">
        <v>28</v>
      </c>
      <c r="AA377">
        <v>86</v>
      </c>
      <c r="AB377">
        <v>100</v>
      </c>
      <c r="AC377">
        <v>33</v>
      </c>
      <c r="AD377">
        <v>0</v>
      </c>
      <c r="AE377">
        <v>0</v>
      </c>
      <c r="AF377">
        <v>53</v>
      </c>
      <c r="AG377">
        <v>74</v>
      </c>
      <c r="AH377">
        <v>1</v>
      </c>
      <c r="AI377">
        <v>2</v>
      </c>
      <c r="AJ377" t="s">
        <v>53</v>
      </c>
      <c r="AK377" t="s">
        <v>54</v>
      </c>
      <c r="AL377" t="s">
        <v>55</v>
      </c>
      <c r="AM377" t="str">
        <f>HYPERLINK(".\links\SWISSP\TI_asb-586-SWISSP.txt","Beta-galactosidase 3 OS=Arabidopsis thaliana GN=BGAL3 PE=1 SV=1")</f>
        <v>Beta-galactosidase 3 OS=Arabidopsis thaliana GN=BGAL3 PE=1 SV=1</v>
      </c>
      <c r="AN377" s="19" t="str">
        <f>HYPERLINK("http://www.uniprot.org/uniprot/Q9SCV9","5.9")</f>
        <v>5.9</v>
      </c>
      <c r="AO377" t="str">
        <f>HYPERLINK(".\links\SWISSP\TI_asb-586-SWISSP.txt"," 2")</f>
        <v xml:space="preserve"> 2</v>
      </c>
      <c r="AP377" t="s">
        <v>3434</v>
      </c>
      <c r="AQ377">
        <v>30</v>
      </c>
      <c r="AR377">
        <v>38</v>
      </c>
      <c r="AS377">
        <v>856</v>
      </c>
      <c r="AT377">
        <v>39</v>
      </c>
      <c r="AU377">
        <v>4</v>
      </c>
      <c r="AV377">
        <v>23</v>
      </c>
      <c r="AW377">
        <v>0</v>
      </c>
      <c r="AX377">
        <v>657</v>
      </c>
      <c r="AY377">
        <v>38</v>
      </c>
      <c r="AZ377">
        <v>1</v>
      </c>
      <c r="BA377">
        <v>-3</v>
      </c>
      <c r="BB377" t="s">
        <v>53</v>
      </c>
      <c r="BC377" t="s">
        <v>64</v>
      </c>
      <c r="BD377" t="s">
        <v>274</v>
      </c>
      <c r="BE377" t="s">
        <v>3435</v>
      </c>
      <c r="BF377" t="s">
        <v>3436</v>
      </c>
      <c r="BG377" t="str">
        <f>HYPERLINK(".\links\PREV-RHOD-PEP\TI_asb-586-PREV-RHOD-PEP.txt","Contig17891_118")</f>
        <v>Contig17891_118</v>
      </c>
      <c r="BH377" s="7">
        <v>8.9999999999999999E-8</v>
      </c>
      <c r="BI377" t="str">
        <f>HYPERLINK(".\links\PREV-RHOD-PEP\TI_asb-586-PREV-RHOD-PEP.txt"," 3")</f>
        <v xml:space="preserve"> 3</v>
      </c>
      <c r="BJ377" t="s">
        <v>3437</v>
      </c>
      <c r="BK377">
        <v>52.4</v>
      </c>
      <c r="BL377">
        <v>28</v>
      </c>
      <c r="BM377">
        <v>86</v>
      </c>
      <c r="BN377">
        <v>82</v>
      </c>
      <c r="BO377">
        <v>33</v>
      </c>
      <c r="BP377">
        <v>5</v>
      </c>
      <c r="BQ377">
        <v>0</v>
      </c>
      <c r="BR377">
        <v>53</v>
      </c>
      <c r="BS377">
        <v>74</v>
      </c>
      <c r="BT377">
        <v>1</v>
      </c>
      <c r="BU377" t="s">
        <v>54</v>
      </c>
      <c r="BV377" t="s">
        <v>3438</v>
      </c>
      <c r="BW377" t="s">
        <v>56</v>
      </c>
      <c r="BX377" t="str">
        <f>HYPERLINK(".\links\PREV-RHOD-CDS\TI_asb-586-PREV-RHOD-CDS.txt","Contig17891_118")</f>
        <v>Contig17891_118</v>
      </c>
      <c r="BY377" s="7">
        <v>2E-8</v>
      </c>
      <c r="BZ377" t="s">
        <v>3437</v>
      </c>
      <c r="CA377">
        <v>60</v>
      </c>
      <c r="CB377">
        <v>89</v>
      </c>
      <c r="CC377">
        <v>261</v>
      </c>
      <c r="CD377">
        <v>83</v>
      </c>
      <c r="CE377">
        <v>34</v>
      </c>
      <c r="CF377">
        <v>15</v>
      </c>
      <c r="CG377">
        <v>0</v>
      </c>
      <c r="CH377">
        <v>100</v>
      </c>
      <c r="CI377">
        <v>17</v>
      </c>
      <c r="CJ377">
        <v>1</v>
      </c>
      <c r="CK377" t="s">
        <v>54</v>
      </c>
      <c r="CL377" t="s">
        <v>3439</v>
      </c>
      <c r="CM377">
        <f>HYPERLINK(".\links\GO\TI_asb-586-GO.txt",5.4)</f>
        <v>5.4</v>
      </c>
      <c r="CN377" t="s">
        <v>3440</v>
      </c>
      <c r="CO377" t="s">
        <v>3441</v>
      </c>
      <c r="CP377" t="s">
        <v>3442</v>
      </c>
      <c r="CQ377" t="s">
        <v>3443</v>
      </c>
      <c r="CR377" s="6">
        <v>5.4</v>
      </c>
      <c r="CS377" t="s">
        <v>1061</v>
      </c>
      <c r="CT377" t="s">
        <v>75</v>
      </c>
      <c r="CU377" t="s">
        <v>555</v>
      </c>
      <c r="CV377" t="s">
        <v>1062</v>
      </c>
      <c r="CW377" s="6">
        <v>5.4</v>
      </c>
      <c r="CX377" t="s">
        <v>3444</v>
      </c>
      <c r="CY377" t="s">
        <v>3441</v>
      </c>
      <c r="CZ377" t="s">
        <v>3442</v>
      </c>
      <c r="DA377" t="s">
        <v>3445</v>
      </c>
      <c r="DB377" s="6">
        <v>5.4</v>
      </c>
      <c r="DC377" t="s">
        <v>56</v>
      </c>
      <c r="DD377" t="s">
        <v>56</v>
      </c>
      <c r="DE377" t="s">
        <v>56</v>
      </c>
      <c r="DF377" t="str">
        <f>HYPERLINK(".\links\PFAM\TI_asb-586-PFAM.txt","Fusion_gly")</f>
        <v>Fusion_gly</v>
      </c>
      <c r="DG377" t="str">
        <f>HYPERLINK("http://pfam.sanger.ac.uk/family?acc=PF00523","0.086")</f>
        <v>0.086</v>
      </c>
      <c r="DH377" t="s">
        <v>56</v>
      </c>
      <c r="DI377" s="6" t="s">
        <v>56</v>
      </c>
      <c r="DJ377" s="6" t="str">
        <f>HYPERLINK(".\links\KOG\TI_asb-586-KOG.txt","Ultrahigh sulfur keratin-associated protein")</f>
        <v>Ultrahigh sulfur keratin-associated protein</v>
      </c>
      <c r="DK377" s="6" t="str">
        <f>HYPERLINK("http://www.ncbi.nlm.nih.gov/COG/grace/shokog.cgi?KOG4726","0.002")</f>
        <v>0.002</v>
      </c>
      <c r="DL377" s="6" t="s">
        <v>4368</v>
      </c>
      <c r="DM377" s="6" t="str">
        <f>HYPERLINK(".\links\KOG\TI_asb-586-KOG.txt","KOG4726")</f>
        <v>KOG4726</v>
      </c>
      <c r="DN377" t="s">
        <v>56</v>
      </c>
      <c r="DO377" t="s">
        <v>56</v>
      </c>
      <c r="DP377" s="3" t="s">
        <v>56</v>
      </c>
      <c r="ED377" s="3" t="s">
        <v>56</v>
      </c>
    </row>
    <row r="378" spans="1:147">
      <c r="A378" t="str">
        <f>HYPERLINK(".\links\seq\TI_asb-587-seq.txt","TI_asb-587")</f>
        <v>TI_asb-587</v>
      </c>
      <c r="B378">
        <v>587</v>
      </c>
      <c r="C378" t="str">
        <f>HYPERLINK(".\links\tsa\TI_asb-587-tsa.txt","2")</f>
        <v>2</v>
      </c>
      <c r="D378">
        <v>2</v>
      </c>
      <c r="E378">
        <v>329</v>
      </c>
      <c r="G378" t="str">
        <f>HYPERLINK(".\links\qual\TI_asb-587-qual.txt","38")</f>
        <v>38</v>
      </c>
      <c r="H378">
        <v>2</v>
      </c>
      <c r="I378">
        <v>0</v>
      </c>
      <c r="J378">
        <f t="shared" si="18"/>
        <v>2</v>
      </c>
      <c r="K378" s="6">
        <f t="shared" si="19"/>
        <v>2</v>
      </c>
      <c r="L378" s="6" t="s">
        <v>3868</v>
      </c>
      <c r="M378" s="6" t="s">
        <v>3869</v>
      </c>
      <c r="N378" s="6"/>
      <c r="O378" s="6"/>
      <c r="P378" s="6"/>
      <c r="Q378" s="3">
        <v>329</v>
      </c>
      <c r="R378" s="3">
        <v>159</v>
      </c>
      <c r="S378" s="3" t="s">
        <v>3857</v>
      </c>
      <c r="T378" s="3">
        <v>6</v>
      </c>
      <c r="U378" t="str">
        <f>HYPERLINK(".\links\NR-LIGHT\TI_asb-587-NR-LIGHT.txt","mannose-1-phosphate guanyltransferase alpha-B")</f>
        <v>mannose-1-phosphate guanyltransferase alpha-B</v>
      </c>
      <c r="V378" t="str">
        <f>HYPERLINK("http://www.ncbi.nlm.nih.gov/sutils/blink.cgi?pid=41053852","9.9")</f>
        <v>9.9</v>
      </c>
      <c r="W378" t="str">
        <f>HYPERLINK(".\links\NR-LIGHT\TI_asb-587-NR-LIGHT.txt"," 2")</f>
        <v xml:space="preserve"> 2</v>
      </c>
      <c r="X378" t="str">
        <f>HYPERLINK("http://www.ncbi.nlm.nih.gov/protein/41053852","gi|41053852")</f>
        <v>gi|41053852</v>
      </c>
      <c r="Y378">
        <v>31.2</v>
      </c>
      <c r="Z378">
        <v>62</v>
      </c>
      <c r="AA378">
        <v>422</v>
      </c>
      <c r="AB378">
        <v>33</v>
      </c>
      <c r="AC378">
        <v>15</v>
      </c>
      <c r="AD378">
        <v>41</v>
      </c>
      <c r="AE378">
        <v>16</v>
      </c>
      <c r="AF378">
        <v>196</v>
      </c>
      <c r="AG378">
        <v>184</v>
      </c>
      <c r="AH378">
        <v>1</v>
      </c>
      <c r="AI378">
        <v>-3</v>
      </c>
      <c r="AJ378" t="s">
        <v>53</v>
      </c>
      <c r="AK378" t="s">
        <v>64</v>
      </c>
      <c r="AL378" t="s">
        <v>202</v>
      </c>
      <c r="AM378" t="str">
        <f>HYPERLINK(".\links\SWISSP\TI_asb-587-SWISSP.txt","Olfactory receptor 8D2 OS=Homo sapiens GN=OR8D2 PE=2 SV=1")</f>
        <v>Olfactory receptor 8D2 OS=Homo sapiens GN=OR8D2 PE=2 SV=1</v>
      </c>
      <c r="AN378" s="19" t="str">
        <f>HYPERLINK("http://www.uniprot.org/uniprot/Q9GZM6","2.1")</f>
        <v>2.1</v>
      </c>
      <c r="AO378" t="str">
        <f>HYPERLINK(".\links\SWISSP\TI_asb-587-SWISSP.txt"," 4")</f>
        <v xml:space="preserve"> 4</v>
      </c>
      <c r="AP378" t="s">
        <v>3446</v>
      </c>
      <c r="AQ378">
        <v>31.2</v>
      </c>
      <c r="AR378">
        <v>68</v>
      </c>
      <c r="AS378">
        <v>311</v>
      </c>
      <c r="AT378">
        <v>33</v>
      </c>
      <c r="AU378">
        <v>22</v>
      </c>
      <c r="AV378">
        <v>45</v>
      </c>
      <c r="AW378">
        <v>10</v>
      </c>
      <c r="AX378">
        <v>129</v>
      </c>
      <c r="AY378">
        <v>10</v>
      </c>
      <c r="AZ378">
        <v>1</v>
      </c>
      <c r="BA378">
        <v>1</v>
      </c>
      <c r="BB378" t="s">
        <v>53</v>
      </c>
      <c r="BC378" t="s">
        <v>54</v>
      </c>
      <c r="BD378" t="s">
        <v>330</v>
      </c>
      <c r="BE378" t="s">
        <v>3447</v>
      </c>
      <c r="BF378" t="s">
        <v>3448</v>
      </c>
      <c r="BG378" t="str">
        <f>HYPERLINK(".\links\PREV-RHOD-PEP\TI_asb-587-PREV-RHOD-PEP.txt","Contig17728_117")</f>
        <v>Contig17728_117</v>
      </c>
      <c r="BH378" s="6">
        <v>4.9000000000000004</v>
      </c>
      <c r="BI378" t="str">
        <f>HYPERLINK(".\links\PREV-RHOD-PEP\TI_asb-587-PREV-RHOD-PEP.txt"," 3")</f>
        <v xml:space="preserve"> 3</v>
      </c>
      <c r="BJ378" t="s">
        <v>3449</v>
      </c>
      <c r="BK378">
        <v>26.2</v>
      </c>
      <c r="BL378">
        <v>17</v>
      </c>
      <c r="BM378">
        <v>900</v>
      </c>
      <c r="BN378">
        <v>52</v>
      </c>
      <c r="BO378">
        <v>2</v>
      </c>
      <c r="BP378">
        <v>8</v>
      </c>
      <c r="BQ378">
        <v>0</v>
      </c>
      <c r="BR378">
        <v>538</v>
      </c>
      <c r="BS378">
        <v>113</v>
      </c>
      <c r="BT378">
        <v>1</v>
      </c>
      <c r="BU378" t="s">
        <v>64</v>
      </c>
      <c r="BV378" t="s">
        <v>3450</v>
      </c>
      <c r="BW378" t="s">
        <v>56</v>
      </c>
      <c r="BX378" t="str">
        <f>HYPERLINK(".\links\PREV-RHOD-CDS\TI_asb-587-PREV-RHOD-CDS.txt","Contig17877_78")</f>
        <v>Contig17877_78</v>
      </c>
      <c r="BY378" s="6">
        <v>0.04</v>
      </c>
      <c r="BZ378" t="s">
        <v>3451</v>
      </c>
      <c r="CA378">
        <v>38.200000000000003</v>
      </c>
      <c r="CB378">
        <v>18</v>
      </c>
      <c r="CC378">
        <v>2400</v>
      </c>
      <c r="CD378">
        <v>100</v>
      </c>
      <c r="CE378">
        <v>1</v>
      </c>
      <c r="CF378">
        <v>0</v>
      </c>
      <c r="CG378">
        <v>0</v>
      </c>
      <c r="CH378">
        <v>1176</v>
      </c>
      <c r="CI378">
        <v>217</v>
      </c>
      <c r="CJ378">
        <v>1</v>
      </c>
      <c r="CK378" t="s">
        <v>54</v>
      </c>
      <c r="CL378" t="s">
        <v>3452</v>
      </c>
      <c r="CM378">
        <f>HYPERLINK(".\links\GO\TI_asb-587-GO.txt",0.29)</f>
        <v>0.28999999999999998</v>
      </c>
      <c r="CN378" t="s">
        <v>3453</v>
      </c>
      <c r="CO378" t="s">
        <v>129</v>
      </c>
      <c r="CP378" t="s">
        <v>151</v>
      </c>
      <c r="CQ378" t="s">
        <v>3454</v>
      </c>
      <c r="CR378" s="6">
        <v>0.28999999999999998</v>
      </c>
      <c r="CS378" t="s">
        <v>3455</v>
      </c>
      <c r="CT378" t="s">
        <v>75</v>
      </c>
      <c r="CU378" t="s">
        <v>76</v>
      </c>
      <c r="CV378" t="s">
        <v>3456</v>
      </c>
      <c r="CW378" s="6">
        <v>0.28999999999999998</v>
      </c>
      <c r="CX378" t="s">
        <v>3457</v>
      </c>
      <c r="CY378" t="s">
        <v>129</v>
      </c>
      <c r="CZ378" t="s">
        <v>151</v>
      </c>
      <c r="DA378" t="s">
        <v>3458</v>
      </c>
      <c r="DB378" s="6">
        <v>0.28999999999999998</v>
      </c>
      <c r="DC378" t="s">
        <v>56</v>
      </c>
      <c r="DD378" t="s">
        <v>56</v>
      </c>
      <c r="DE378" t="s">
        <v>56</v>
      </c>
      <c r="DF378" t="s">
        <v>56</v>
      </c>
      <c r="DG378" t="s">
        <v>56</v>
      </c>
      <c r="DH378" t="s">
        <v>56</v>
      </c>
      <c r="DI378" s="6" t="s">
        <v>56</v>
      </c>
      <c r="DJ378" s="6" t="s">
        <v>56</v>
      </c>
      <c r="DN378" t="str">
        <f>HYPERLINK(".\links\SMART\TI_asb-587-SMART.txt","C1")</f>
        <v>C1</v>
      </c>
      <c r="DO378" t="str">
        <f>HYPERLINK("http://smart.embl-heidelberg.de/smart/do_annotation.pl?DOMAIN=C1&amp;BLAST=DUMMY","0.097")</f>
        <v>0.097</v>
      </c>
      <c r="DP378" s="3" t="s">
        <v>56</v>
      </c>
      <c r="ED378" s="3" t="s">
        <v>56</v>
      </c>
    </row>
    <row r="379" spans="1:147">
      <c r="A379" t="str">
        <f>HYPERLINK(".\links\seq\TI_asb-588-seq.txt","TI_asb-588")</f>
        <v>TI_asb-588</v>
      </c>
      <c r="B379">
        <v>588</v>
      </c>
      <c r="C379" t="str">
        <f>HYPERLINK(".\links\tsa\TI_asb-588-tsa.txt","1")</f>
        <v>1</v>
      </c>
      <c r="D379">
        <v>1</v>
      </c>
      <c r="E379">
        <v>912</v>
      </c>
      <c r="F379">
        <v>749</v>
      </c>
      <c r="G379" t="str">
        <f>HYPERLINK(".\links\qual\TI_asb-588-qual.txt","30")</f>
        <v>30</v>
      </c>
      <c r="H379">
        <v>1</v>
      </c>
      <c r="I379">
        <v>0</v>
      </c>
      <c r="J379">
        <f t="shared" si="18"/>
        <v>1</v>
      </c>
      <c r="K379" s="6">
        <f t="shared" si="19"/>
        <v>1</v>
      </c>
      <c r="L379" s="6" t="s">
        <v>3868</v>
      </c>
      <c r="M379" s="6" t="s">
        <v>3869</v>
      </c>
      <c r="N379" s="6"/>
      <c r="O379" s="6"/>
      <c r="P379" s="6"/>
      <c r="Q379" s="3">
        <v>912</v>
      </c>
      <c r="R379" s="3">
        <v>270</v>
      </c>
      <c r="S379" s="3" t="s">
        <v>3858</v>
      </c>
      <c r="T379" s="3">
        <v>3</v>
      </c>
      <c r="U379" t="s">
        <v>56</v>
      </c>
      <c r="V379" t="s">
        <v>56</v>
      </c>
      <c r="W379" t="s">
        <v>56</v>
      </c>
      <c r="X379" t="s">
        <v>56</v>
      </c>
      <c r="Y379" t="s">
        <v>56</v>
      </c>
      <c r="Z379" t="s">
        <v>56</v>
      </c>
      <c r="AA379" t="s">
        <v>56</v>
      </c>
      <c r="AB379" t="s">
        <v>56</v>
      </c>
      <c r="AC379" t="s">
        <v>56</v>
      </c>
      <c r="AD379" t="s">
        <v>56</v>
      </c>
      <c r="AE379" t="s">
        <v>56</v>
      </c>
      <c r="AF379" t="s">
        <v>56</v>
      </c>
      <c r="AG379" t="s">
        <v>56</v>
      </c>
      <c r="AH379" t="s">
        <v>56</v>
      </c>
      <c r="AI379" t="s">
        <v>56</v>
      </c>
      <c r="AJ379" t="s">
        <v>56</v>
      </c>
      <c r="AK379" t="s">
        <v>56</v>
      </c>
      <c r="AL379" t="s">
        <v>56</v>
      </c>
      <c r="AM379" t="s">
        <v>56</v>
      </c>
      <c r="AN379" s="19" t="s">
        <v>56</v>
      </c>
      <c r="AO379" t="s">
        <v>56</v>
      </c>
      <c r="AP379" t="s">
        <v>56</v>
      </c>
      <c r="AQ379" t="s">
        <v>56</v>
      </c>
      <c r="AR379" t="s">
        <v>56</v>
      </c>
      <c r="AS379" t="s">
        <v>56</v>
      </c>
      <c r="AT379" t="s">
        <v>56</v>
      </c>
      <c r="AU379" t="s">
        <v>56</v>
      </c>
      <c r="AV379" t="s">
        <v>56</v>
      </c>
      <c r="AW379" t="s">
        <v>56</v>
      </c>
      <c r="AX379" t="s">
        <v>56</v>
      </c>
      <c r="AY379" t="s">
        <v>56</v>
      </c>
      <c r="AZ379" t="s">
        <v>56</v>
      </c>
      <c r="BA379" t="s">
        <v>56</v>
      </c>
      <c r="BB379" t="s">
        <v>56</v>
      </c>
      <c r="BC379" t="s">
        <v>56</v>
      </c>
      <c r="BD379" t="s">
        <v>56</v>
      </c>
      <c r="BE379" t="s">
        <v>56</v>
      </c>
      <c r="BF379" t="s">
        <v>56</v>
      </c>
      <c r="BG379" t="str">
        <f>HYPERLINK(".\links\PREV-RHOD-PEP\TI_asb-588-PREV-RHOD-PEP.txt","Contig17944_35")</f>
        <v>Contig17944_35</v>
      </c>
      <c r="BH379" s="7">
        <v>2E-16</v>
      </c>
      <c r="BI379" t="str">
        <f>HYPERLINK(".\links\PREV-RHOD-PEP\TI_asb-588-PREV-RHOD-PEP.txt"," 10")</f>
        <v xml:space="preserve"> 10</v>
      </c>
      <c r="BJ379" t="s">
        <v>3459</v>
      </c>
      <c r="BK379">
        <v>78.2</v>
      </c>
      <c r="BL379">
        <v>80</v>
      </c>
      <c r="BM379">
        <v>273</v>
      </c>
      <c r="BN379">
        <v>43</v>
      </c>
      <c r="BO379">
        <v>29</v>
      </c>
      <c r="BP379">
        <v>45</v>
      </c>
      <c r="BQ379">
        <v>0</v>
      </c>
      <c r="BR379">
        <v>30</v>
      </c>
      <c r="BS379">
        <v>399</v>
      </c>
      <c r="BT379">
        <v>2</v>
      </c>
      <c r="BU379" t="s">
        <v>54</v>
      </c>
      <c r="BV379" t="s">
        <v>3460</v>
      </c>
      <c r="BW379" t="s">
        <v>56</v>
      </c>
      <c r="BX379" t="str">
        <f>HYPERLINK(".\links\PREV-RHOD-CDS\TI_asb-588-PREV-RHOD-CDS.txt","Contig17877_78")</f>
        <v>Contig17877_78</v>
      </c>
      <c r="BY379" s="6">
        <v>0.11</v>
      </c>
      <c r="BZ379" t="s">
        <v>3451</v>
      </c>
      <c r="CA379">
        <v>38.200000000000003</v>
      </c>
      <c r="CB379">
        <v>18</v>
      </c>
      <c r="CC379">
        <v>2400</v>
      </c>
      <c r="CD379">
        <v>100</v>
      </c>
      <c r="CE379">
        <v>1</v>
      </c>
      <c r="CF379">
        <v>0</v>
      </c>
      <c r="CG379">
        <v>0</v>
      </c>
      <c r="CH379">
        <v>1176</v>
      </c>
      <c r="CI379">
        <v>227</v>
      </c>
      <c r="CJ379">
        <v>1</v>
      </c>
      <c r="CK379" t="s">
        <v>54</v>
      </c>
      <c r="CL379" t="s">
        <v>3452</v>
      </c>
      <c r="CM379">
        <f>HYPERLINK(".\links\GO\TI_asb-588-GO.txt",1.7)</f>
        <v>1.7</v>
      </c>
      <c r="CN379" t="s">
        <v>3453</v>
      </c>
      <c r="CO379" t="s">
        <v>129</v>
      </c>
      <c r="CP379" t="s">
        <v>151</v>
      </c>
      <c r="CQ379" t="s">
        <v>3454</v>
      </c>
      <c r="CR379" s="6">
        <v>1.7</v>
      </c>
      <c r="CS379" t="s">
        <v>3455</v>
      </c>
      <c r="CT379" t="s">
        <v>75</v>
      </c>
      <c r="CU379" t="s">
        <v>76</v>
      </c>
      <c r="CV379" t="s">
        <v>3456</v>
      </c>
      <c r="CW379" s="6">
        <v>1.7</v>
      </c>
      <c r="CX379" t="s">
        <v>3457</v>
      </c>
      <c r="CY379" t="s">
        <v>129</v>
      </c>
      <c r="CZ379" t="s">
        <v>151</v>
      </c>
      <c r="DA379" t="s">
        <v>3458</v>
      </c>
      <c r="DB379" s="6">
        <v>1.7</v>
      </c>
      <c r="DC379" t="str">
        <f>HYPERLINK(".\links\CDD\TI_asb-588-CDD.txt","Competence")</f>
        <v>Competence</v>
      </c>
      <c r="DD379" t="str">
        <f>HYPERLINK("http://www.ncbi.nlm.nih.gov/Structure/cdd/cddsrv.cgi?uid=pfam03772&amp;version=v4.0","0.010")</f>
        <v>0.010</v>
      </c>
      <c r="DE379" t="s">
        <v>3461</v>
      </c>
      <c r="DF379" t="str">
        <f>HYPERLINK(".\links\PFAM\TI_asb-588-PFAM.txt","DUF221")</f>
        <v>DUF221</v>
      </c>
      <c r="DG379" t="str">
        <f>HYPERLINK("http://pfam.sanger.ac.uk/family?acc=PF02714","0.004")</f>
        <v>0.004</v>
      </c>
      <c r="DH379" t="str">
        <f>HYPERLINK(".\links\PRK\TI_asb-588-PRK.txt","ATP synthase F0 subunit 6")</f>
        <v>ATP synthase F0 subunit 6</v>
      </c>
      <c r="DI379" s="7">
        <v>8.0000000000000003E-10</v>
      </c>
      <c r="DJ379" s="6" t="str">
        <f>HYPERLINK(".\links\KOG\TI_asb-588-KOG.txt","Exosome 3'-5' exoribonuclease complex, subunit PM/SCL-100 (Rrp6)")</f>
        <v>Exosome 3'-5' exoribonuclease complex, subunit PM/SCL-100 (Rrp6)</v>
      </c>
      <c r="DK379" s="6" t="str">
        <f>HYPERLINK("http://www.ncbi.nlm.nih.gov/COG/grace/shokog.cgi?KOG2206","0.073")</f>
        <v>0.073</v>
      </c>
      <c r="DL379" s="6" t="s">
        <v>4333</v>
      </c>
      <c r="DM379" s="6" t="str">
        <f>HYPERLINK(".\links\KOG\TI_asb-588-KOG.txt","KOG2206")</f>
        <v>KOG2206</v>
      </c>
      <c r="DN379" t="str">
        <f>HYPERLINK(".\links\SMART\TI_asb-588-SMART.txt","C1")</f>
        <v>C1</v>
      </c>
      <c r="DO379" t="str">
        <f>HYPERLINK("http://smart.embl-heidelberg.de/smart/do_annotation.pl?DOMAIN=C1&amp;BLAST=DUMMY","0.009")</f>
        <v>0.009</v>
      </c>
      <c r="DP379" s="3" t="s">
        <v>56</v>
      </c>
      <c r="ED379" s="3" t="s">
        <v>56</v>
      </c>
    </row>
    <row r="380" spans="1:147" s="26" customFormat="1">
      <c r="A380" s="26" t="str">
        <f>HYPERLINK(".\links\seq\TI_asb-589-seq.txt","TI_asb-589")</f>
        <v>TI_asb-589</v>
      </c>
      <c r="B380" s="26">
        <v>589</v>
      </c>
      <c r="C380" s="27" t="str">
        <f>HYPERLINK(".\links\tsa\TI_asb-589-tsa.txt","7")</f>
        <v>7</v>
      </c>
      <c r="D380" s="26">
        <v>7</v>
      </c>
      <c r="E380" s="26">
        <v>766</v>
      </c>
      <c r="F380" s="26">
        <v>732</v>
      </c>
      <c r="G380" s="26" t="str">
        <f>HYPERLINK(".\links\qual\TI_asb-589-qual.txt","84")</f>
        <v>84</v>
      </c>
      <c r="H380" s="26">
        <v>0</v>
      </c>
      <c r="I380" s="26">
        <v>7</v>
      </c>
      <c r="J380" s="26">
        <f t="shared" si="18"/>
        <v>7</v>
      </c>
      <c r="K380" s="26">
        <f t="shared" si="19"/>
        <v>-7</v>
      </c>
      <c r="L380" s="26" t="s">
        <v>4079</v>
      </c>
      <c r="M380" s="26" t="s">
        <v>3886</v>
      </c>
      <c r="N380" s="26" t="s">
        <v>3864</v>
      </c>
      <c r="O380" s="28">
        <v>9.9999999999999992E-25</v>
      </c>
      <c r="P380" s="26">
        <v>94.1</v>
      </c>
      <c r="Q380" s="26">
        <v>766</v>
      </c>
      <c r="R380" s="26">
        <v>381</v>
      </c>
      <c r="S380" s="26" t="s">
        <v>3859</v>
      </c>
      <c r="T380" s="26">
        <v>1</v>
      </c>
      <c r="U380" s="26" t="str">
        <f>HYPERLINK(".\links\NR-LIGHT\TI_asb-589-NR-LIGHT.txt","similar to CG33695-PE, isoform E isoform 1")</f>
        <v>similar to CG33695-PE, isoform E isoform 1</v>
      </c>
      <c r="V380" s="26" t="str">
        <f>HYPERLINK("http://www.ncbi.nlm.nih.gov/sutils/blink.cgi?pid=66501277","1E-024")</f>
        <v>1E-024</v>
      </c>
      <c r="W380" s="26" t="str">
        <f>HYPERLINK(".\links\NR-LIGHT\TI_asb-589-NR-LIGHT.txt"," 10")</f>
        <v xml:space="preserve"> 10</v>
      </c>
      <c r="X380" s="26" t="str">
        <f>HYPERLINK("http://www.ncbi.nlm.nih.gov/protein/66501277","gi|66501277")</f>
        <v>gi|66501277</v>
      </c>
      <c r="Y380" s="26">
        <v>115</v>
      </c>
      <c r="Z380" s="26">
        <v>146</v>
      </c>
      <c r="AA380" s="26">
        <v>155</v>
      </c>
      <c r="AB380" s="26">
        <v>47</v>
      </c>
      <c r="AC380" s="26">
        <v>94</v>
      </c>
      <c r="AD380" s="26">
        <v>76</v>
      </c>
      <c r="AE380" s="26">
        <v>38</v>
      </c>
      <c r="AF380" s="26">
        <v>1</v>
      </c>
      <c r="AG380" s="26">
        <v>136</v>
      </c>
      <c r="AH380" s="26">
        <v>1</v>
      </c>
      <c r="AI380" s="26">
        <v>1</v>
      </c>
      <c r="AJ380" s="26" t="s">
        <v>53</v>
      </c>
      <c r="AK380" s="26" t="s">
        <v>54</v>
      </c>
      <c r="AL380" s="26" t="s">
        <v>344</v>
      </c>
      <c r="AM380" s="26" t="str">
        <f>HYPERLINK(".\links\SWISSP\TI_asb-589-SWISSP.txt","MLL1/MLL complex subunit C17orf49 OS=Homo sapiens GN=C17orf49 PE=1 SV=1")</f>
        <v>MLL1/MLL complex subunit C17orf49 OS=Homo sapiens GN=C17orf49 PE=1 SV=1</v>
      </c>
      <c r="AN380" s="29" t="str">
        <f>HYPERLINK("http://www.uniprot.org/uniprot/Q8IXM2","1E-008")</f>
        <v>1E-008</v>
      </c>
      <c r="AO380" s="26" t="str">
        <f>HYPERLINK(".\links\SWISSP\TI_asb-589-SWISSP.txt"," 4")</f>
        <v xml:space="preserve"> 4</v>
      </c>
      <c r="AP380" s="26" t="s">
        <v>3462</v>
      </c>
      <c r="AQ380" s="26">
        <v>60.5</v>
      </c>
      <c r="AR380" s="26">
        <v>91</v>
      </c>
      <c r="AS380" s="26">
        <v>172</v>
      </c>
      <c r="AT380" s="26">
        <v>42</v>
      </c>
      <c r="AU380" s="26">
        <v>53</v>
      </c>
      <c r="AV380" s="26">
        <v>52</v>
      </c>
      <c r="AW380" s="26">
        <v>36</v>
      </c>
      <c r="AX380" s="26">
        <v>1</v>
      </c>
      <c r="AY380" s="26">
        <v>136</v>
      </c>
      <c r="AZ380" s="26">
        <v>1</v>
      </c>
      <c r="BA380" s="26">
        <v>1</v>
      </c>
      <c r="BB380" s="26" t="s">
        <v>53</v>
      </c>
      <c r="BC380" s="26" t="s">
        <v>54</v>
      </c>
      <c r="BD380" s="26" t="s">
        <v>330</v>
      </c>
      <c r="BE380" s="26" t="s">
        <v>3463</v>
      </c>
      <c r="BF380" s="26" t="s">
        <v>3464</v>
      </c>
      <c r="BG380" s="26" t="str">
        <f>HYPERLINK(".\links\PREV-RHOD-PEP\TI_asb-589-PREV-RHOD-PEP.txt","Contig17238_5")</f>
        <v>Contig17238_5</v>
      </c>
      <c r="BH380" s="28">
        <v>9.9999999999999998E-46</v>
      </c>
      <c r="BI380" s="26" t="str">
        <f>HYPERLINK(".\links\PREV-RHOD-PEP\TI_asb-589-PREV-RHOD-PEP.txt"," 10")</f>
        <v xml:space="preserve"> 10</v>
      </c>
      <c r="BJ380" s="26" t="s">
        <v>3465</v>
      </c>
      <c r="BK380" s="26">
        <v>179</v>
      </c>
      <c r="BL380" s="26">
        <v>152</v>
      </c>
      <c r="BM380" s="26">
        <v>152</v>
      </c>
      <c r="BN380" s="26">
        <v>66</v>
      </c>
      <c r="BO380" s="26">
        <v>100</v>
      </c>
      <c r="BP380" s="26">
        <v>51</v>
      </c>
      <c r="BQ380" s="26">
        <v>34</v>
      </c>
      <c r="BR380" s="26">
        <v>1</v>
      </c>
      <c r="BS380" s="26">
        <v>136</v>
      </c>
      <c r="BT380" s="26">
        <v>1</v>
      </c>
      <c r="BU380" s="26" t="s">
        <v>54</v>
      </c>
      <c r="BV380" s="26" t="s">
        <v>3466</v>
      </c>
      <c r="BW380" s="26" t="s">
        <v>56</v>
      </c>
      <c r="BX380" s="26" t="str">
        <f>HYPERLINK(".\links\PREV-RHOD-CDS\TI_asb-589-PREV-RHOD-CDS.txt","Contig17238_5")</f>
        <v>Contig17238_5</v>
      </c>
      <c r="BY380" s="28">
        <v>9.0000000000000003E-67</v>
      </c>
      <c r="BZ380" s="26" t="s">
        <v>3465</v>
      </c>
      <c r="CA380" s="26">
        <v>254</v>
      </c>
      <c r="CB380" s="26">
        <v>458</v>
      </c>
      <c r="CC380" s="26">
        <v>459</v>
      </c>
      <c r="CD380" s="26">
        <v>89</v>
      </c>
      <c r="CE380" s="26">
        <v>100</v>
      </c>
      <c r="CF380" s="26">
        <v>25</v>
      </c>
      <c r="CG380" s="26">
        <v>0</v>
      </c>
      <c r="CH380" s="26">
        <v>1</v>
      </c>
      <c r="CI380" s="26">
        <v>136</v>
      </c>
      <c r="CJ380" s="26">
        <v>2</v>
      </c>
      <c r="CK380" s="26" t="s">
        <v>54</v>
      </c>
      <c r="CL380" s="26" t="s">
        <v>3467</v>
      </c>
      <c r="CM380" s="26">
        <f>HYPERLINK(".\links\GO\TI_asb-589-GO.txt",0.000000000001)</f>
        <v>9.9999999999999998E-13</v>
      </c>
      <c r="CN380" s="26" t="s">
        <v>58</v>
      </c>
      <c r="CO380" s="26" t="s">
        <v>58</v>
      </c>
      <c r="CQ380" s="26" t="s">
        <v>59</v>
      </c>
      <c r="CR380" s="26">
        <v>9.9999999999999998E-13</v>
      </c>
      <c r="CS380" s="26" t="s">
        <v>60</v>
      </c>
      <c r="CT380" s="26" t="s">
        <v>60</v>
      </c>
      <c r="CV380" s="26" t="s">
        <v>61</v>
      </c>
      <c r="CW380" s="26">
        <v>9.9999999999999998E-13</v>
      </c>
      <c r="CX380" s="26" t="s">
        <v>62</v>
      </c>
      <c r="CY380" s="26" t="s">
        <v>58</v>
      </c>
      <c r="DA380" s="26" t="s">
        <v>63</v>
      </c>
      <c r="DB380" s="26">
        <v>9.9999999999999998E-13</v>
      </c>
      <c r="DC380" s="26" t="str">
        <f>HYPERLINK(".\links\CDD\TI_asb-589-CDD.txt","TLC")</f>
        <v>TLC</v>
      </c>
      <c r="DD380" s="26" t="str">
        <f>HYPERLINK("http://www.ncbi.nlm.nih.gov/Structure/cdd/cddsrv.cgi?uid=smart00724&amp;version=v4.0","0.003")</f>
        <v>0.003</v>
      </c>
      <c r="DE380" s="26" t="s">
        <v>3468</v>
      </c>
      <c r="DF380" s="26" t="str">
        <f>HYPERLINK(".\links\PFAM\TI_asb-589-PFAM.txt","7TM_GPCR_Srd")</f>
        <v>7TM_GPCR_Srd</v>
      </c>
      <c r="DG380" s="26" t="str">
        <f>HYPERLINK("http://pfam.sanger.ac.uk/family?acc=PF10317","8E-005")</f>
        <v>8E-005</v>
      </c>
      <c r="DH380" s="26" t="str">
        <f>HYPERLINK(".\links\PRK\TI_asb-589-PRK.txt","NADH dehydrogenase subunit 5")</f>
        <v>NADH dehydrogenase subunit 5</v>
      </c>
      <c r="DI380" s="26">
        <v>2E-3</v>
      </c>
      <c r="DJ380" s="26" t="str">
        <f>HYPERLINK(".\links\KOG\TI_asb-589-KOG.txt","Predicted DNA-binding protein, contains SANT domain")</f>
        <v>Predicted DNA-binding protein, contains SANT domain</v>
      </c>
      <c r="DK380" s="26" t="str">
        <f>HYPERLINK("http://www.ncbi.nlm.nih.gov/COG/grace/shokog.cgi?KOG4834","0.002")</f>
        <v>0.002</v>
      </c>
      <c r="DL380" s="26" t="s">
        <v>4337</v>
      </c>
      <c r="DM380" s="26" t="str">
        <f>HYPERLINK(".\links\KOG\TI_asb-589-KOG.txt","KOG4834")</f>
        <v>KOG4834</v>
      </c>
      <c r="DN380" s="26" t="str">
        <f>HYPERLINK(".\links\SMART\TI_asb-589-SMART.txt","TLC")</f>
        <v>TLC</v>
      </c>
      <c r="DO380" s="26" t="str">
        <f>HYPERLINK("http://smart.embl-heidelberg.de/smart/do_annotation.pl?DOMAIN=TLC&amp;BLAST=DUMMY","2E-004")</f>
        <v>2E-004</v>
      </c>
      <c r="DP380" s="26" t="s">
        <v>56</v>
      </c>
      <c r="ED380" s="26" t="s">
        <v>56</v>
      </c>
    </row>
    <row r="381" spans="1:147">
      <c r="A381" t="str">
        <f>HYPERLINK(".\links\seq\TI_asb-590-seq.txt","TI_asb-590")</f>
        <v>TI_asb-590</v>
      </c>
      <c r="B381">
        <v>590</v>
      </c>
      <c r="C381" t="str">
        <f>HYPERLINK(".\links\tsa\TI_asb-590-tsa.txt","1")</f>
        <v>1</v>
      </c>
      <c r="D381">
        <v>1</v>
      </c>
      <c r="E381">
        <v>984</v>
      </c>
      <c r="F381">
        <v>717</v>
      </c>
      <c r="G381" t="str">
        <f>HYPERLINK(".\links\qual\TI_asb-590-qual.txt","21")</f>
        <v>21</v>
      </c>
      <c r="H381">
        <v>0</v>
      </c>
      <c r="I381">
        <v>1</v>
      </c>
      <c r="J381">
        <f t="shared" si="18"/>
        <v>1</v>
      </c>
      <c r="K381" s="6">
        <f t="shared" si="19"/>
        <v>-1</v>
      </c>
      <c r="L381" s="6" t="s">
        <v>4079</v>
      </c>
      <c r="M381" s="6" t="s">
        <v>3886</v>
      </c>
      <c r="N381" s="6" t="s">
        <v>3864</v>
      </c>
      <c r="O381" s="6">
        <v>2.0000000000000002E-15</v>
      </c>
      <c r="P381" s="6">
        <v>94.1</v>
      </c>
      <c r="Q381" s="3">
        <v>984</v>
      </c>
      <c r="R381" s="3">
        <v>381</v>
      </c>
      <c r="S381" s="3" t="s">
        <v>3860</v>
      </c>
      <c r="T381" s="3">
        <v>2</v>
      </c>
      <c r="U381" t="str">
        <f>HYPERLINK(".\links\NR-LIGHT\TI_asb-590-NR-LIGHT.txt","similar to CG33695-PE, isoform E isoform 1")</f>
        <v>similar to CG33695-PE, isoform E isoform 1</v>
      </c>
      <c r="V381" t="str">
        <f>HYPERLINK("http://www.ncbi.nlm.nih.gov/sutils/blink.cgi?pid=66501277","2E-015")</f>
        <v>2E-015</v>
      </c>
      <c r="W381" t="str">
        <f>HYPERLINK(".\links\NR-LIGHT\TI_asb-590-NR-LIGHT.txt"," 10")</f>
        <v xml:space="preserve"> 10</v>
      </c>
      <c r="X381" t="str">
        <f>HYPERLINK("http://www.ncbi.nlm.nih.gov/protein/66501277","gi|66501277")</f>
        <v>gi|66501277</v>
      </c>
      <c r="Y381">
        <v>85.9</v>
      </c>
      <c r="Z381">
        <v>146</v>
      </c>
      <c r="AA381">
        <v>155</v>
      </c>
      <c r="AB381">
        <v>38</v>
      </c>
      <c r="AC381">
        <v>94</v>
      </c>
      <c r="AD381">
        <v>90</v>
      </c>
      <c r="AE381">
        <v>38</v>
      </c>
      <c r="AF381">
        <v>1</v>
      </c>
      <c r="AG381">
        <v>110</v>
      </c>
      <c r="AH381">
        <v>1</v>
      </c>
      <c r="AI381">
        <v>2</v>
      </c>
      <c r="AJ381" t="s">
        <v>53</v>
      </c>
      <c r="AK381" t="s">
        <v>54</v>
      </c>
      <c r="AL381" t="s">
        <v>344</v>
      </c>
      <c r="AM381" t="s">
        <v>56</v>
      </c>
      <c r="AN381" s="19" t="s">
        <v>56</v>
      </c>
      <c r="AO381" t="s">
        <v>56</v>
      </c>
      <c r="AP381" t="s">
        <v>56</v>
      </c>
      <c r="AQ381" t="s">
        <v>56</v>
      </c>
      <c r="AR381" t="s">
        <v>56</v>
      </c>
      <c r="AS381" t="s">
        <v>56</v>
      </c>
      <c r="AT381" t="s">
        <v>56</v>
      </c>
      <c r="AU381" t="s">
        <v>56</v>
      </c>
      <c r="AV381" t="s">
        <v>56</v>
      </c>
      <c r="AW381" t="s">
        <v>56</v>
      </c>
      <c r="AX381" t="s">
        <v>56</v>
      </c>
      <c r="AY381" t="s">
        <v>56</v>
      </c>
      <c r="AZ381" t="s">
        <v>56</v>
      </c>
      <c r="BA381" t="s">
        <v>56</v>
      </c>
      <c r="BB381" t="s">
        <v>56</v>
      </c>
      <c r="BC381" t="s">
        <v>56</v>
      </c>
      <c r="BD381" t="s">
        <v>56</v>
      </c>
      <c r="BE381" t="s">
        <v>56</v>
      </c>
      <c r="BF381" t="s">
        <v>56</v>
      </c>
      <c r="BG381" t="str">
        <f>HYPERLINK(".\links\PREV-RHOD-PEP\TI_asb-590-PREV-RHOD-PEP.txt","Contig17238_5")</f>
        <v>Contig17238_5</v>
      </c>
      <c r="BH381" s="7">
        <v>2E-35</v>
      </c>
      <c r="BI381" t="str">
        <f>HYPERLINK(".\links\PREV-RHOD-PEP\TI_asb-590-PREV-RHOD-PEP.txt"," 7")</f>
        <v xml:space="preserve"> 7</v>
      </c>
      <c r="BJ381" t="s">
        <v>3465</v>
      </c>
      <c r="BK381">
        <v>145</v>
      </c>
      <c r="BL381">
        <v>152</v>
      </c>
      <c r="BM381">
        <v>152</v>
      </c>
      <c r="BN381">
        <v>55</v>
      </c>
      <c r="BO381">
        <v>100</v>
      </c>
      <c r="BP381">
        <v>67</v>
      </c>
      <c r="BQ381">
        <v>34</v>
      </c>
      <c r="BR381">
        <v>1</v>
      </c>
      <c r="BS381">
        <v>110</v>
      </c>
      <c r="BT381">
        <v>1</v>
      </c>
      <c r="BU381" t="s">
        <v>54</v>
      </c>
      <c r="BV381" t="s">
        <v>3469</v>
      </c>
      <c r="BW381" t="s">
        <v>56</v>
      </c>
      <c r="BX381" t="str">
        <f>HYPERLINK(".\links\PREV-RHOD-CDS\TI_asb-590-PREV-RHOD-CDS.txt","Contig17238_5")</f>
        <v>Contig17238_5</v>
      </c>
      <c r="BY381" s="7">
        <v>9.9999999999999998E-67</v>
      </c>
      <c r="BZ381" t="s">
        <v>3465</v>
      </c>
      <c r="CA381">
        <v>254</v>
      </c>
      <c r="CB381">
        <v>458</v>
      </c>
      <c r="CC381">
        <v>459</v>
      </c>
      <c r="CD381">
        <v>89</v>
      </c>
      <c r="CE381">
        <v>100</v>
      </c>
      <c r="CF381">
        <v>25</v>
      </c>
      <c r="CG381">
        <v>0</v>
      </c>
      <c r="CH381">
        <v>1</v>
      </c>
      <c r="CI381">
        <v>110</v>
      </c>
      <c r="CJ381">
        <v>2</v>
      </c>
      <c r="CK381" t="s">
        <v>54</v>
      </c>
      <c r="CL381" t="s">
        <v>3467</v>
      </c>
      <c r="CM381">
        <f>HYPERLINK(".\links\GO\TI_asb-590-GO.txt",0.00003)</f>
        <v>3.0000000000000001E-5</v>
      </c>
      <c r="CN381" t="s">
        <v>58</v>
      </c>
      <c r="CO381" t="s">
        <v>58</v>
      </c>
      <c r="CQ381" t="s">
        <v>59</v>
      </c>
      <c r="CR381" s="6">
        <v>3.0000000000000001E-5</v>
      </c>
      <c r="CS381" t="s">
        <v>60</v>
      </c>
      <c r="CT381" t="s">
        <v>60</v>
      </c>
      <c r="CV381" t="s">
        <v>61</v>
      </c>
      <c r="CW381" s="6">
        <v>3.0000000000000001E-5</v>
      </c>
      <c r="CX381" t="s">
        <v>62</v>
      </c>
      <c r="CY381" t="s">
        <v>58</v>
      </c>
      <c r="DA381" t="s">
        <v>63</v>
      </c>
      <c r="DB381" s="6">
        <v>3.0000000000000001E-5</v>
      </c>
      <c r="DC381" t="str">
        <f>HYPERLINK(".\links\CDD\TI_asb-590-CDD.txt","MpPF26")</f>
        <v>MpPF26</v>
      </c>
      <c r="DD381" t="str">
        <f>HYPERLINK("http://www.ncbi.nlm.nih.gov/Structure/cdd/cddsrv.cgi?uid=pfam07666&amp;version=v4.0","2E-004")</f>
        <v>2E-004</v>
      </c>
      <c r="DE381" t="s">
        <v>3470</v>
      </c>
      <c r="DF381" t="str">
        <f>HYPERLINK(".\links\PFAM\TI_asb-590-PFAM.txt","7TM_GPCR_Srz")</f>
        <v>7TM_GPCR_Srz</v>
      </c>
      <c r="DG381" t="str">
        <f>HYPERLINK("http://pfam.sanger.ac.uk/family?acc=PF10325","1E-005")</f>
        <v>1E-005</v>
      </c>
      <c r="DH381" t="str">
        <f>HYPERLINK(".\links\PRK\TI_asb-590-PRK.txt","NADH dehydrogenase subunit 5")</f>
        <v>NADH dehydrogenase subunit 5</v>
      </c>
      <c r="DI381" s="7">
        <v>9.9999999999999995E-7</v>
      </c>
      <c r="DJ381" s="6" t="str">
        <f>HYPERLINK(".\links\KOG\TI_asb-590-KOG.txt","Fatty acyl-CoA elongase/Polyunsaturated fatty acid specific elongation enzyme")</f>
        <v>Fatty acyl-CoA elongase/Polyunsaturated fatty acid specific elongation enzyme</v>
      </c>
      <c r="DK381" s="6" t="str">
        <f>HYPERLINK("http://www.ncbi.nlm.nih.gov/COG/grace/shokog.cgi?KOG3071","0.008")</f>
        <v>0.008</v>
      </c>
      <c r="DL381" s="6" t="s">
        <v>4334</v>
      </c>
      <c r="DM381" s="6" t="str">
        <f>HYPERLINK(".\links\KOG\TI_asb-590-KOG.txt","KOG3071")</f>
        <v>KOG3071</v>
      </c>
      <c r="DN381" t="str">
        <f>HYPERLINK(".\links\SMART\TI_asb-590-SMART.txt","AgrB")</f>
        <v>AgrB</v>
      </c>
      <c r="DO381" t="str">
        <f>HYPERLINK("http://smart.embl-heidelberg.de/smart/do_annotation.pl?DOMAIN=AgrB&amp;BLAST=DUMMY","2E-005")</f>
        <v>2E-005</v>
      </c>
      <c r="DP381" s="3" t="s">
        <v>56</v>
      </c>
      <c r="ED381" s="3" t="s">
        <v>56</v>
      </c>
    </row>
    <row r="382" spans="1:147">
      <c r="O382" s="6"/>
      <c r="U382" t="s">
        <v>56</v>
      </c>
      <c r="V382" t="s">
        <v>56</v>
      </c>
      <c r="W382" t="s">
        <v>56</v>
      </c>
      <c r="X382" t="s">
        <v>56</v>
      </c>
      <c r="Y382" t="s">
        <v>56</v>
      </c>
      <c r="Z382" t="s">
        <v>56</v>
      </c>
      <c r="AA382" t="s">
        <v>56</v>
      </c>
      <c r="AB382" t="s">
        <v>56</v>
      </c>
      <c r="AC382" t="s">
        <v>56</v>
      </c>
      <c r="AD382" t="s">
        <v>56</v>
      </c>
      <c r="AE382" t="s">
        <v>56</v>
      </c>
      <c r="AF382" t="s">
        <v>56</v>
      </c>
      <c r="AG382" t="s">
        <v>56</v>
      </c>
      <c r="AH382" t="s">
        <v>56</v>
      </c>
      <c r="AI382" t="s">
        <v>56</v>
      </c>
      <c r="AJ382" t="s">
        <v>56</v>
      </c>
      <c r="AK382" t="s">
        <v>56</v>
      </c>
      <c r="AL382" t="s">
        <v>56</v>
      </c>
      <c r="AM382" t="s">
        <v>56</v>
      </c>
      <c r="AN382" s="19" t="s">
        <v>56</v>
      </c>
      <c r="AO382" t="s">
        <v>56</v>
      </c>
      <c r="AP382" t="s">
        <v>56</v>
      </c>
      <c r="AQ382" t="s">
        <v>56</v>
      </c>
      <c r="AR382" t="s">
        <v>56</v>
      </c>
      <c r="AS382" t="s">
        <v>56</v>
      </c>
      <c r="AT382" t="s">
        <v>56</v>
      </c>
      <c r="AU382" t="s">
        <v>56</v>
      </c>
      <c r="AV382" t="s">
        <v>56</v>
      </c>
      <c r="AW382" t="s">
        <v>56</v>
      </c>
      <c r="AX382" t="s">
        <v>56</v>
      </c>
      <c r="AY382" t="s">
        <v>56</v>
      </c>
      <c r="AZ382" t="s">
        <v>56</v>
      </c>
      <c r="BA382" t="s">
        <v>56</v>
      </c>
      <c r="BB382" t="s">
        <v>56</v>
      </c>
      <c r="BC382" t="s">
        <v>56</v>
      </c>
      <c r="BD382" t="s">
        <v>56</v>
      </c>
      <c r="BE382" t="s">
        <v>56</v>
      </c>
      <c r="BF382" t="s">
        <v>56</v>
      </c>
      <c r="BG382" t="s">
        <v>56</v>
      </c>
      <c r="BH382" s="6" t="s">
        <v>56</v>
      </c>
      <c r="BI382" t="s">
        <v>56</v>
      </c>
      <c r="BJ382" t="s">
        <v>56</v>
      </c>
      <c r="BK382" t="s">
        <v>56</v>
      </c>
      <c r="BL382" t="s">
        <v>56</v>
      </c>
      <c r="BM382" t="s">
        <v>56</v>
      </c>
      <c r="BN382" t="s">
        <v>56</v>
      </c>
      <c r="BO382" t="s">
        <v>56</v>
      </c>
      <c r="BP382" t="s">
        <v>56</v>
      </c>
      <c r="BQ382" t="s">
        <v>56</v>
      </c>
      <c r="BR382" t="s">
        <v>56</v>
      </c>
      <c r="BS382" t="s">
        <v>56</v>
      </c>
      <c r="BT382" t="s">
        <v>56</v>
      </c>
      <c r="BU382" t="s">
        <v>56</v>
      </c>
      <c r="BV382" t="s">
        <v>56</v>
      </c>
      <c r="BW382" t="s">
        <v>56</v>
      </c>
      <c r="BX382" t="s">
        <v>56</v>
      </c>
      <c r="BY382" s="6" t="s">
        <v>56</v>
      </c>
      <c r="BZ382" t="s">
        <v>56</v>
      </c>
      <c r="CA382" t="s">
        <v>56</v>
      </c>
      <c r="CB382" t="s">
        <v>56</v>
      </c>
      <c r="CC382" t="s">
        <v>56</v>
      </c>
      <c r="CD382" t="s">
        <v>56</v>
      </c>
      <c r="CE382" t="s">
        <v>56</v>
      </c>
      <c r="CF382" t="s">
        <v>56</v>
      </c>
      <c r="CG382" t="s">
        <v>56</v>
      </c>
      <c r="CH382" t="s">
        <v>56</v>
      </c>
      <c r="CI382" t="s">
        <v>56</v>
      </c>
      <c r="CJ382" t="s">
        <v>56</v>
      </c>
      <c r="CK382" t="s">
        <v>56</v>
      </c>
      <c r="CL382" t="s">
        <v>56</v>
      </c>
      <c r="CM382" t="s">
        <v>56</v>
      </c>
      <c r="CN382" t="s">
        <v>56</v>
      </c>
      <c r="CO382" t="s">
        <v>56</v>
      </c>
      <c r="CP382" t="s">
        <v>56</v>
      </c>
      <c r="CQ382" t="s">
        <v>56</v>
      </c>
      <c r="CR382" s="6" t="s">
        <v>56</v>
      </c>
      <c r="CS382" t="s">
        <v>56</v>
      </c>
      <c r="CT382" t="s">
        <v>56</v>
      </c>
      <c r="CU382" t="s">
        <v>56</v>
      </c>
      <c r="CV382" t="s">
        <v>56</v>
      </c>
      <c r="CW382" s="6" t="s">
        <v>56</v>
      </c>
      <c r="CX382" t="s">
        <v>56</v>
      </c>
      <c r="CY382" t="s">
        <v>56</v>
      </c>
      <c r="CZ382" t="s">
        <v>56</v>
      </c>
      <c r="DA382" t="s">
        <v>56</v>
      </c>
      <c r="DB382" s="6" t="s">
        <v>56</v>
      </c>
      <c r="DC382" t="s">
        <v>56</v>
      </c>
      <c r="DD382" t="s">
        <v>56</v>
      </c>
      <c r="DE382" t="s">
        <v>56</v>
      </c>
      <c r="DF382" t="s">
        <v>56</v>
      </c>
      <c r="DG382" t="s">
        <v>56</v>
      </c>
      <c r="DH382" t="s">
        <v>56</v>
      </c>
      <c r="DI382" s="6" t="s">
        <v>56</v>
      </c>
      <c r="DN382" t="s">
        <v>56</v>
      </c>
      <c r="DO382" t="s">
        <v>56</v>
      </c>
    </row>
  </sheetData>
  <sortState ref="A2:EM592">
    <sortCondition ref="B1"/>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Y32"/>
  <sheetViews>
    <sheetView workbookViewId="0">
      <selection activeCell="I4" sqref="I4"/>
    </sheetView>
  </sheetViews>
  <sheetFormatPr defaultRowHeight="15"/>
  <cols>
    <col min="1" max="1" width="34.42578125" customWidth="1"/>
    <col min="7" max="7" width="26.5703125" customWidth="1"/>
    <col min="10" max="11" width="9.140625" style="6"/>
    <col min="14" max="14" width="30.7109375" customWidth="1"/>
    <col min="17" max="17" width="9.5703125" bestFit="1" customWidth="1"/>
    <col min="22" max="22" width="28.85546875" customWidth="1"/>
  </cols>
  <sheetData>
    <row r="1" spans="1:25" ht="39.75" customHeight="1">
      <c r="A1" s="6" t="s">
        <v>4369</v>
      </c>
      <c r="E1" s="6"/>
      <c r="G1" s="6" t="s">
        <v>4370</v>
      </c>
      <c r="N1" s="6" t="s">
        <v>4371</v>
      </c>
      <c r="T1" s="6"/>
      <c r="V1" s="6"/>
    </row>
    <row r="2" spans="1:25" ht="45">
      <c r="A2" s="8" t="s">
        <v>3472</v>
      </c>
      <c r="B2" s="8" t="s">
        <v>4081</v>
      </c>
      <c r="C2" s="8" t="s">
        <v>4082</v>
      </c>
      <c r="D2" s="8" t="s">
        <v>4083</v>
      </c>
      <c r="G2" t="s">
        <v>3472</v>
      </c>
      <c r="H2" s="17" t="s">
        <v>4081</v>
      </c>
      <c r="I2" s="17" t="s">
        <v>4082</v>
      </c>
      <c r="J2" s="17" t="s">
        <v>4083</v>
      </c>
      <c r="N2" t="s">
        <v>3472</v>
      </c>
      <c r="O2" s="17" t="s">
        <v>4081</v>
      </c>
      <c r="P2" s="17" t="s">
        <v>4082</v>
      </c>
      <c r="Q2" s="17" t="s">
        <v>4083</v>
      </c>
      <c r="S2" s="6"/>
      <c r="T2" s="4"/>
      <c r="U2" s="6"/>
      <c r="W2" s="8"/>
      <c r="X2" s="8"/>
      <c r="Y2" s="8"/>
    </row>
    <row r="3" spans="1:25">
      <c r="A3" t="s">
        <v>4084</v>
      </c>
      <c r="B3">
        <v>14</v>
      </c>
      <c r="C3">
        <v>62</v>
      </c>
      <c r="D3" s="16">
        <v>4.42</v>
      </c>
      <c r="G3" s="32" t="s">
        <v>4084</v>
      </c>
      <c r="H3" s="31">
        <v>3</v>
      </c>
      <c r="I3" s="31">
        <v>10</v>
      </c>
      <c r="J3" s="31">
        <v>2</v>
      </c>
      <c r="K3" s="16"/>
      <c r="N3" t="s">
        <v>4084</v>
      </c>
      <c r="O3" s="45">
        <v>4</v>
      </c>
      <c r="P3" s="45">
        <v>16</v>
      </c>
      <c r="Q3" s="16">
        <v>4</v>
      </c>
      <c r="S3" s="6"/>
      <c r="T3" s="4"/>
      <c r="U3" s="6"/>
      <c r="Y3" s="16"/>
    </row>
    <row r="4" spans="1:25">
      <c r="A4" t="s">
        <v>4085</v>
      </c>
      <c r="B4">
        <v>5</v>
      </c>
      <c r="C4">
        <v>8</v>
      </c>
      <c r="D4" s="16">
        <v>1.6</v>
      </c>
      <c r="G4" s="32" t="s">
        <v>4085</v>
      </c>
      <c r="H4" s="31">
        <v>1</v>
      </c>
      <c r="I4" s="31">
        <v>2</v>
      </c>
      <c r="J4" s="31">
        <v>2</v>
      </c>
      <c r="K4" s="16"/>
      <c r="N4" t="s">
        <v>4085</v>
      </c>
      <c r="O4" s="45">
        <v>1</v>
      </c>
      <c r="P4" s="45">
        <v>3</v>
      </c>
      <c r="Q4" s="16">
        <v>3</v>
      </c>
      <c r="S4" s="6"/>
      <c r="T4" s="4"/>
      <c r="U4" s="6"/>
      <c r="Y4" s="16"/>
    </row>
    <row r="5" spans="1:25">
      <c r="A5" t="s">
        <v>4086</v>
      </c>
      <c r="B5">
        <v>3</v>
      </c>
      <c r="C5">
        <v>6</v>
      </c>
      <c r="D5" s="16">
        <v>2</v>
      </c>
      <c r="G5" s="32" t="s">
        <v>4086</v>
      </c>
      <c r="H5" s="31">
        <v>1</v>
      </c>
      <c r="I5" s="31">
        <v>2</v>
      </c>
      <c r="J5" s="31">
        <v>2</v>
      </c>
      <c r="K5" s="16"/>
      <c r="N5" t="s">
        <v>4087</v>
      </c>
      <c r="O5" s="45">
        <v>1</v>
      </c>
      <c r="P5" s="45">
        <v>11</v>
      </c>
      <c r="Q5" s="16">
        <v>11</v>
      </c>
      <c r="S5" s="6"/>
      <c r="T5" s="4"/>
      <c r="U5" s="6"/>
      <c r="Y5" s="16"/>
    </row>
    <row r="6" spans="1:25">
      <c r="A6" t="s">
        <v>4087</v>
      </c>
      <c r="B6">
        <v>9</v>
      </c>
      <c r="C6">
        <v>25</v>
      </c>
      <c r="D6" s="16">
        <v>2.77</v>
      </c>
      <c r="G6" s="32" t="s">
        <v>4087</v>
      </c>
      <c r="H6" s="31">
        <v>2</v>
      </c>
      <c r="I6" s="31">
        <v>4</v>
      </c>
      <c r="J6" s="31">
        <v>2</v>
      </c>
      <c r="K6" s="16"/>
      <c r="N6" t="s">
        <v>4088</v>
      </c>
      <c r="O6" s="45">
        <v>4</v>
      </c>
      <c r="P6" s="45">
        <v>11</v>
      </c>
      <c r="Q6" s="16">
        <v>2.75</v>
      </c>
      <c r="S6" s="6"/>
      <c r="T6" s="4"/>
      <c r="U6" s="6"/>
      <c r="Y6" s="16"/>
    </row>
    <row r="7" spans="1:25">
      <c r="A7" t="s">
        <v>4088</v>
      </c>
      <c r="B7">
        <v>25</v>
      </c>
      <c r="C7">
        <v>42</v>
      </c>
      <c r="D7" s="16">
        <v>1.68</v>
      </c>
      <c r="G7" s="32" t="s">
        <v>4088</v>
      </c>
      <c r="H7" s="31">
        <v>4</v>
      </c>
      <c r="I7" s="31">
        <v>10</v>
      </c>
      <c r="J7" s="31" t="s">
        <v>4378</v>
      </c>
      <c r="K7" s="16"/>
      <c r="N7" t="s">
        <v>4089</v>
      </c>
      <c r="O7" s="45">
        <v>2</v>
      </c>
      <c r="P7" s="45">
        <v>4</v>
      </c>
      <c r="Q7" s="16">
        <v>2</v>
      </c>
      <c r="S7" s="6"/>
      <c r="T7" s="4"/>
      <c r="U7" s="6"/>
      <c r="Y7" s="16"/>
    </row>
    <row r="8" spans="1:25">
      <c r="A8" t="s">
        <v>4089</v>
      </c>
      <c r="B8">
        <v>9</v>
      </c>
      <c r="C8">
        <v>12</v>
      </c>
      <c r="D8" s="16">
        <v>1.3333333333333299</v>
      </c>
      <c r="G8" s="34" t="s">
        <v>4092</v>
      </c>
      <c r="H8" s="33">
        <v>4</v>
      </c>
      <c r="I8" s="33">
        <v>9</v>
      </c>
      <c r="J8" s="33" t="s">
        <v>4379</v>
      </c>
      <c r="K8" s="16"/>
      <c r="N8" t="s">
        <v>4090</v>
      </c>
      <c r="O8" s="45">
        <v>1</v>
      </c>
      <c r="P8" s="45">
        <v>2</v>
      </c>
      <c r="Q8" s="16">
        <v>2</v>
      </c>
      <c r="S8" s="6"/>
      <c r="T8" s="4"/>
      <c r="U8" s="6"/>
      <c r="Y8" s="16"/>
    </row>
    <row r="9" spans="1:25">
      <c r="A9" t="s">
        <v>4090</v>
      </c>
      <c r="B9">
        <v>19</v>
      </c>
      <c r="C9">
        <v>27</v>
      </c>
      <c r="D9" s="16">
        <v>1.42</v>
      </c>
      <c r="G9" s="34" t="s">
        <v>4093</v>
      </c>
      <c r="H9" s="33">
        <v>2</v>
      </c>
      <c r="I9" s="33">
        <v>9</v>
      </c>
      <c r="J9" s="33" t="s">
        <v>4380</v>
      </c>
      <c r="K9" s="16"/>
      <c r="N9" t="s">
        <v>4092</v>
      </c>
      <c r="O9" s="45">
        <v>1</v>
      </c>
      <c r="P9" s="45">
        <v>2</v>
      </c>
      <c r="Q9" s="16">
        <v>2</v>
      </c>
      <c r="S9" s="6"/>
      <c r="T9" s="4"/>
      <c r="U9" s="6"/>
      <c r="Y9" s="16"/>
    </row>
    <row r="10" spans="1:25">
      <c r="A10" t="s">
        <v>4091</v>
      </c>
      <c r="B10">
        <v>2</v>
      </c>
      <c r="C10">
        <v>2</v>
      </c>
      <c r="D10" s="16">
        <v>1</v>
      </c>
      <c r="G10" s="34" t="s">
        <v>4094</v>
      </c>
      <c r="H10" s="33">
        <v>2</v>
      </c>
      <c r="I10" s="33">
        <v>4</v>
      </c>
      <c r="J10" s="33">
        <v>2</v>
      </c>
      <c r="K10" s="16"/>
      <c r="N10" t="s">
        <v>4093</v>
      </c>
      <c r="O10" s="45">
        <v>1</v>
      </c>
      <c r="P10" s="45">
        <v>7</v>
      </c>
      <c r="Q10" s="16">
        <v>7</v>
      </c>
      <c r="S10" s="6"/>
      <c r="T10" s="4"/>
      <c r="U10" s="6"/>
      <c r="Y10" s="16"/>
    </row>
    <row r="11" spans="1:25">
      <c r="A11" t="s">
        <v>4092</v>
      </c>
      <c r="B11">
        <v>10</v>
      </c>
      <c r="C11">
        <v>22</v>
      </c>
      <c r="D11" s="16">
        <v>2.2000000000000002</v>
      </c>
      <c r="G11" s="36" t="s">
        <v>4097</v>
      </c>
      <c r="H11" s="35">
        <v>1</v>
      </c>
      <c r="I11" s="35">
        <v>3</v>
      </c>
      <c r="J11" s="35">
        <v>3</v>
      </c>
      <c r="K11" s="16"/>
      <c r="N11" t="s">
        <v>4094</v>
      </c>
      <c r="O11" s="45">
        <v>1</v>
      </c>
      <c r="P11" s="45">
        <v>2</v>
      </c>
      <c r="Q11" s="16">
        <v>2</v>
      </c>
      <c r="S11" s="6"/>
      <c r="T11" s="4"/>
      <c r="U11" s="6"/>
    </row>
    <row r="12" spans="1:25">
      <c r="A12" t="s">
        <v>4093</v>
      </c>
      <c r="B12">
        <v>6</v>
      </c>
      <c r="C12">
        <v>23</v>
      </c>
      <c r="D12" s="16">
        <v>2.83</v>
      </c>
      <c r="G12" s="38" t="s">
        <v>4098</v>
      </c>
      <c r="H12" s="37">
        <v>2</v>
      </c>
      <c r="I12" s="37">
        <v>7</v>
      </c>
      <c r="J12" s="37">
        <v>3.5</v>
      </c>
      <c r="K12" s="16"/>
      <c r="N12" t="s">
        <v>4098</v>
      </c>
      <c r="O12" s="46">
        <v>3</v>
      </c>
      <c r="P12" s="46">
        <v>20</v>
      </c>
      <c r="Q12" s="16">
        <v>6.66</v>
      </c>
      <c r="S12" s="6"/>
      <c r="T12" s="4"/>
      <c r="U12" s="6"/>
    </row>
    <row r="13" spans="1:25">
      <c r="A13" t="s">
        <v>4094</v>
      </c>
      <c r="B13">
        <v>6</v>
      </c>
      <c r="C13">
        <v>9</v>
      </c>
      <c r="D13" s="16">
        <v>1.5</v>
      </c>
      <c r="G13" s="38" t="s">
        <v>4099</v>
      </c>
      <c r="H13" s="37">
        <v>1</v>
      </c>
      <c r="I13" s="37">
        <v>2</v>
      </c>
      <c r="J13" s="37">
        <v>2</v>
      </c>
      <c r="K13" s="16"/>
      <c r="N13" t="s">
        <v>4099</v>
      </c>
      <c r="O13" s="46">
        <v>2</v>
      </c>
      <c r="P13" s="46">
        <v>4</v>
      </c>
      <c r="Q13" s="16">
        <v>2</v>
      </c>
      <c r="S13" s="6"/>
      <c r="T13" s="4"/>
      <c r="U13" s="6"/>
    </row>
    <row r="14" spans="1:25">
      <c r="A14" t="s">
        <v>4095</v>
      </c>
      <c r="B14">
        <v>1</v>
      </c>
      <c r="C14">
        <v>1</v>
      </c>
      <c r="D14" s="16">
        <v>1</v>
      </c>
      <c r="G14" s="38" t="s">
        <v>4100</v>
      </c>
      <c r="H14" s="37">
        <v>2</v>
      </c>
      <c r="I14" s="37">
        <v>6</v>
      </c>
      <c r="J14" s="37">
        <v>3</v>
      </c>
      <c r="K14" s="16"/>
      <c r="N14" t="s">
        <v>4102</v>
      </c>
      <c r="O14" s="48">
        <v>5</v>
      </c>
      <c r="P14" s="48">
        <v>15</v>
      </c>
      <c r="Q14" s="16">
        <v>3</v>
      </c>
      <c r="S14" s="6"/>
      <c r="T14" s="4"/>
      <c r="U14" s="6"/>
    </row>
    <row r="15" spans="1:25">
      <c r="A15" t="s">
        <v>4096</v>
      </c>
      <c r="B15">
        <v>2</v>
      </c>
      <c r="C15">
        <v>2</v>
      </c>
      <c r="D15" s="16">
        <v>1</v>
      </c>
      <c r="G15" s="41" t="s">
        <v>4102</v>
      </c>
      <c r="H15" s="39">
        <v>1</v>
      </c>
      <c r="I15" s="39">
        <v>2</v>
      </c>
      <c r="J15" s="39">
        <v>2</v>
      </c>
      <c r="K15" s="16"/>
      <c r="N15" t="s">
        <v>4103</v>
      </c>
      <c r="O15" s="48">
        <v>9</v>
      </c>
      <c r="P15" s="48">
        <v>33</v>
      </c>
      <c r="Q15" s="16">
        <v>3.9</v>
      </c>
      <c r="S15" s="6"/>
      <c r="T15" s="4"/>
      <c r="U15" s="6"/>
    </row>
    <row r="16" spans="1:25">
      <c r="A16" t="s">
        <v>4097</v>
      </c>
      <c r="B16">
        <v>10</v>
      </c>
      <c r="C16">
        <v>15</v>
      </c>
      <c r="D16" s="16">
        <v>1.5</v>
      </c>
      <c r="G16" s="41" t="s">
        <v>4103</v>
      </c>
      <c r="H16" s="39">
        <v>7</v>
      </c>
      <c r="I16" s="39">
        <v>8</v>
      </c>
      <c r="J16" s="40" t="s">
        <v>4381</v>
      </c>
      <c r="K16" s="16"/>
      <c r="N16" t="s">
        <v>4104</v>
      </c>
      <c r="O16" s="48">
        <v>7</v>
      </c>
      <c r="P16" s="48">
        <v>19</v>
      </c>
      <c r="Q16" s="16">
        <v>8</v>
      </c>
      <c r="S16" s="6"/>
      <c r="T16" s="4"/>
      <c r="U16" s="6"/>
    </row>
    <row r="17" spans="1:21">
      <c r="A17" t="s">
        <v>4098</v>
      </c>
      <c r="B17">
        <v>18</v>
      </c>
      <c r="C17">
        <v>33</v>
      </c>
      <c r="D17" s="16">
        <v>1.83</v>
      </c>
      <c r="G17" s="41" t="s">
        <v>4104</v>
      </c>
      <c r="H17" s="39">
        <v>4</v>
      </c>
      <c r="I17" s="39">
        <v>13</v>
      </c>
      <c r="J17" s="39" t="s">
        <v>4382</v>
      </c>
      <c r="K17" s="16"/>
      <c r="S17" s="6"/>
      <c r="T17" s="4"/>
      <c r="U17" s="6"/>
    </row>
    <row r="18" spans="1:21">
      <c r="A18" t="s">
        <v>4099</v>
      </c>
      <c r="B18">
        <v>7</v>
      </c>
      <c r="C18">
        <v>17</v>
      </c>
      <c r="D18" s="16">
        <v>2.4285714285714302</v>
      </c>
      <c r="G18" s="41" t="s">
        <v>4105</v>
      </c>
      <c r="H18" s="39">
        <v>1</v>
      </c>
      <c r="I18" s="39">
        <v>2</v>
      </c>
      <c r="J18" s="39">
        <v>2</v>
      </c>
      <c r="K18" s="16"/>
    </row>
    <row r="19" spans="1:21">
      <c r="A19" t="s">
        <v>4100</v>
      </c>
      <c r="B19">
        <v>7</v>
      </c>
      <c r="C19">
        <v>18</v>
      </c>
      <c r="D19" s="16">
        <v>2.57</v>
      </c>
      <c r="G19" s="44" t="s">
        <v>4108</v>
      </c>
      <c r="H19" s="43">
        <v>1</v>
      </c>
      <c r="I19" s="43">
        <v>2</v>
      </c>
      <c r="J19" s="43">
        <v>2</v>
      </c>
      <c r="K19" s="16"/>
      <c r="N19" t="s">
        <v>4109</v>
      </c>
      <c r="O19" s="47">
        <f>SUM(O3:O16)</f>
        <v>42</v>
      </c>
      <c r="P19" s="47">
        <f>SUM(P3:P16)</f>
        <v>149</v>
      </c>
    </row>
    <row r="20" spans="1:21">
      <c r="A20" t="s">
        <v>4101</v>
      </c>
      <c r="B20">
        <v>3</v>
      </c>
      <c r="C20">
        <v>3</v>
      </c>
      <c r="D20" s="16">
        <v>1</v>
      </c>
      <c r="K20" s="16"/>
    </row>
    <row r="21" spans="1:21">
      <c r="A21" t="s">
        <v>4102</v>
      </c>
      <c r="B21">
        <v>18</v>
      </c>
      <c r="C21">
        <v>50</v>
      </c>
      <c r="D21" s="16">
        <v>2.7</v>
      </c>
      <c r="K21" s="16"/>
    </row>
    <row r="22" spans="1:21">
      <c r="A22" t="s">
        <v>4103</v>
      </c>
      <c r="B22">
        <v>126</v>
      </c>
      <c r="C22">
        <v>288</v>
      </c>
      <c r="D22" s="16">
        <v>2.2799999999999998</v>
      </c>
      <c r="G22" t="s">
        <v>4109</v>
      </c>
      <c r="H22">
        <f>SUM(H3:H19)</f>
        <v>39</v>
      </c>
      <c r="I22" s="42">
        <f>SUM(I3:I19)</f>
        <v>95</v>
      </c>
      <c r="J22" s="16"/>
      <c r="K22" s="16"/>
    </row>
    <row r="23" spans="1:21">
      <c r="A23" t="s">
        <v>4104</v>
      </c>
      <c r="B23">
        <v>54</v>
      </c>
      <c r="C23">
        <v>104</v>
      </c>
      <c r="D23" s="16">
        <v>1.92</v>
      </c>
      <c r="J23" s="16"/>
      <c r="K23" s="16"/>
    </row>
    <row r="24" spans="1:21">
      <c r="A24" t="s">
        <v>4105</v>
      </c>
      <c r="B24">
        <v>7</v>
      </c>
      <c r="C24">
        <v>12</v>
      </c>
      <c r="D24" s="16">
        <v>1.7</v>
      </c>
      <c r="J24" s="16"/>
      <c r="K24" s="16"/>
      <c r="Q24" s="16"/>
    </row>
    <row r="25" spans="1:21">
      <c r="A25" t="s">
        <v>4106</v>
      </c>
      <c r="B25">
        <v>12</v>
      </c>
      <c r="C25">
        <v>73</v>
      </c>
      <c r="D25" s="16">
        <v>6.08</v>
      </c>
      <c r="Q25" s="16"/>
    </row>
    <row r="26" spans="1:21">
      <c r="A26" t="s">
        <v>4107</v>
      </c>
      <c r="B26">
        <v>1</v>
      </c>
      <c r="C26">
        <v>1</v>
      </c>
      <c r="D26" s="16">
        <v>1</v>
      </c>
      <c r="Q26" s="16"/>
    </row>
    <row r="27" spans="1:21">
      <c r="A27" t="s">
        <v>4108</v>
      </c>
      <c r="B27">
        <v>6</v>
      </c>
      <c r="C27">
        <v>14</v>
      </c>
      <c r="D27" s="16">
        <v>2.33</v>
      </c>
    </row>
    <row r="30" spans="1:21">
      <c r="A30" t="s">
        <v>4109</v>
      </c>
      <c r="B30">
        <f>SUM(B3:B27)</f>
        <v>380</v>
      </c>
      <c r="C30">
        <f>SUM(C3:C27)</f>
        <v>869</v>
      </c>
    </row>
    <row r="32" spans="1:21">
      <c r="A32" t="s">
        <v>4110</v>
      </c>
      <c r="C32">
        <v>253</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H28"/>
  <sheetViews>
    <sheetView workbookViewId="0">
      <selection activeCell="C5" sqref="C5"/>
    </sheetView>
  </sheetViews>
  <sheetFormatPr defaultRowHeight="15"/>
  <cols>
    <col min="1" max="1" width="36.42578125" style="6" customWidth="1"/>
    <col min="2" max="2" width="16.42578125" style="6" customWidth="1"/>
    <col min="3" max="3" width="10.42578125" style="6" customWidth="1"/>
    <col min="4" max="4" width="9.140625" style="6" customWidth="1"/>
    <col min="5" max="5" width="16.28515625" style="6" customWidth="1"/>
    <col min="6" max="8" width="9.140625" style="6"/>
    <col min="9" max="9" width="10.85546875" style="6" customWidth="1"/>
    <col min="10" max="10" width="11" style="6" customWidth="1"/>
    <col min="11" max="14" width="9.140625" style="6"/>
    <col min="15" max="15" width="12.5703125" style="6" customWidth="1"/>
    <col min="16" max="16384" width="9.140625" style="6"/>
  </cols>
  <sheetData>
    <row r="1" spans="1:8" s="8" customFormat="1">
      <c r="A1" s="8" t="s">
        <v>4111</v>
      </c>
      <c r="B1" s="18" t="s">
        <v>4125</v>
      </c>
      <c r="C1" s="18" t="s">
        <v>4126</v>
      </c>
    </row>
    <row r="2" spans="1:8">
      <c r="A2" s="6" t="s">
        <v>4112</v>
      </c>
      <c r="B2" s="6">
        <v>380</v>
      </c>
      <c r="C2" s="6">
        <v>370</v>
      </c>
    </row>
    <row r="3" spans="1:8">
      <c r="A3" s="6" t="s">
        <v>4113</v>
      </c>
      <c r="B3" s="6">
        <v>250362</v>
      </c>
    </row>
    <row r="4" spans="1:8">
      <c r="A4" s="6" t="s">
        <v>4114</v>
      </c>
      <c r="B4" s="23">
        <v>664.78</v>
      </c>
      <c r="C4" s="23">
        <v>351.32</v>
      </c>
    </row>
    <row r="5" spans="1:8">
      <c r="A5" s="6" t="s">
        <v>4115</v>
      </c>
      <c r="B5" s="6">
        <v>1</v>
      </c>
      <c r="C5" s="6">
        <v>45</v>
      </c>
      <c r="G5" s="21"/>
      <c r="H5" s="21"/>
    </row>
    <row r="6" spans="1:8">
      <c r="A6" s="6" t="s">
        <v>4116</v>
      </c>
      <c r="B6" s="6">
        <v>206</v>
      </c>
      <c r="G6" s="22"/>
      <c r="H6" s="22"/>
    </row>
    <row r="7" spans="1:8">
      <c r="A7" s="6" t="s">
        <v>4117</v>
      </c>
      <c r="B7" s="6">
        <v>1305</v>
      </c>
      <c r="C7" s="6">
        <v>1184</v>
      </c>
      <c r="G7" s="21"/>
      <c r="H7" s="21"/>
    </row>
    <row r="8" spans="1:8">
      <c r="A8" s="6" t="s">
        <v>4118</v>
      </c>
      <c r="B8" s="6">
        <v>72</v>
      </c>
      <c r="C8" s="6">
        <v>33</v>
      </c>
      <c r="G8" s="21"/>
      <c r="H8" s="21"/>
    </row>
    <row r="9" spans="1:8">
      <c r="G9" s="22"/>
      <c r="H9" s="22"/>
    </row>
    <row r="10" spans="1:8" ht="15.75" thickBot="1">
      <c r="A10" s="24" t="s">
        <v>4376</v>
      </c>
      <c r="B10" s="17" t="s">
        <v>4125</v>
      </c>
      <c r="C10" s="17" t="s">
        <v>4126</v>
      </c>
      <c r="E10" s="17"/>
      <c r="F10" s="17"/>
      <c r="G10" s="21"/>
      <c r="H10" s="21"/>
    </row>
    <row r="11" spans="1:8">
      <c r="A11" s="9" t="s">
        <v>4372</v>
      </c>
      <c r="B11" s="10">
        <v>0</v>
      </c>
      <c r="C11" s="11">
        <v>0</v>
      </c>
      <c r="F11" s="30"/>
      <c r="G11" s="21"/>
      <c r="H11" s="21"/>
    </row>
    <row r="12" spans="1:8">
      <c r="A12" s="12" t="s">
        <v>4119</v>
      </c>
      <c r="B12" s="6">
        <v>1</v>
      </c>
      <c r="C12" s="14">
        <v>45</v>
      </c>
      <c r="F12" s="30"/>
      <c r="G12" s="21"/>
      <c r="H12" s="21"/>
    </row>
    <row r="13" spans="1:8">
      <c r="A13" s="12" t="s">
        <v>4120</v>
      </c>
      <c r="B13" s="6">
        <v>7</v>
      </c>
      <c r="C13" s="14">
        <v>59</v>
      </c>
      <c r="F13" s="30"/>
    </row>
    <row r="14" spans="1:8">
      <c r="A14" s="12" t="s">
        <v>4121</v>
      </c>
      <c r="B14" s="6">
        <v>7</v>
      </c>
      <c r="C14" s="14">
        <v>45</v>
      </c>
      <c r="F14" s="30"/>
    </row>
    <row r="15" spans="1:8">
      <c r="A15" s="12" t="s">
        <v>4122</v>
      </c>
      <c r="B15" s="6">
        <v>19</v>
      </c>
      <c r="C15" s="14">
        <v>42</v>
      </c>
      <c r="F15" s="30"/>
    </row>
    <row r="16" spans="1:8">
      <c r="A16" s="12" t="s">
        <v>4123</v>
      </c>
      <c r="B16" s="6">
        <v>41</v>
      </c>
      <c r="C16" s="14">
        <v>52</v>
      </c>
      <c r="F16" s="30"/>
    </row>
    <row r="17" spans="1:6">
      <c r="A17" s="12" t="s">
        <v>4124</v>
      </c>
      <c r="B17" s="6">
        <v>283</v>
      </c>
      <c r="C17" s="14">
        <v>115</v>
      </c>
      <c r="F17" s="30"/>
    </row>
    <row r="18" spans="1:6">
      <c r="A18" s="12" t="s">
        <v>4377</v>
      </c>
      <c r="B18" s="6">
        <v>22</v>
      </c>
      <c r="C18" s="14">
        <v>2</v>
      </c>
    </row>
    <row r="19" spans="1:6" s="47" customFormat="1">
      <c r="A19" s="12"/>
      <c r="C19" s="14"/>
    </row>
    <row r="20" spans="1:6" ht="15.75" thickBot="1">
      <c r="A20" s="25" t="s">
        <v>4374</v>
      </c>
      <c r="B20" s="13"/>
      <c r="C20" s="14"/>
      <c r="E20" s="17"/>
      <c r="F20" s="17"/>
    </row>
    <row r="21" spans="1:6">
      <c r="A21" s="15" t="s">
        <v>4373</v>
      </c>
      <c r="B21" s="10">
        <v>0</v>
      </c>
      <c r="C21" s="11"/>
    </row>
    <row r="22" spans="1:6">
      <c r="A22" s="12" t="s">
        <v>4119</v>
      </c>
      <c r="B22" s="13">
        <v>74</v>
      </c>
      <c r="C22" s="14"/>
    </row>
    <row r="23" spans="1:6">
      <c r="A23" s="12" t="s">
        <v>4120</v>
      </c>
      <c r="B23" s="13">
        <v>1204</v>
      </c>
      <c r="C23" s="14"/>
    </row>
    <row r="24" spans="1:6">
      <c r="A24" s="12" t="s">
        <v>4121</v>
      </c>
      <c r="B24" s="13">
        <v>1454</v>
      </c>
      <c r="C24" s="14"/>
    </row>
    <row r="25" spans="1:6">
      <c r="A25" s="12" t="s">
        <v>4122</v>
      </c>
      <c r="B25" s="13">
        <v>6668</v>
      </c>
      <c r="C25" s="14"/>
    </row>
    <row r="26" spans="1:6">
      <c r="A26" s="12" t="s">
        <v>4123</v>
      </c>
      <c r="B26" s="13">
        <v>19608</v>
      </c>
      <c r="C26" s="14"/>
    </row>
    <row r="27" spans="1:6">
      <c r="A27" s="12" t="s">
        <v>4124</v>
      </c>
      <c r="B27" s="13">
        <v>196897</v>
      </c>
      <c r="C27" s="14"/>
    </row>
    <row r="28" spans="1:6">
      <c r="A28" s="12" t="s">
        <v>4377</v>
      </c>
      <c r="B28" s="13">
        <v>24457</v>
      </c>
      <c r="C28" s="14"/>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1:E135"/>
  <sheetViews>
    <sheetView topLeftCell="A49" workbookViewId="0">
      <selection activeCell="D70" sqref="D70"/>
    </sheetView>
  </sheetViews>
  <sheetFormatPr defaultRowHeight="15"/>
  <cols>
    <col min="1" max="1" width="35.42578125" customWidth="1"/>
    <col min="2" max="2" width="17.85546875" customWidth="1"/>
    <col min="4" max="4" width="36.42578125" customWidth="1"/>
    <col min="5" max="5" width="17.5703125" customWidth="1"/>
  </cols>
  <sheetData>
    <row r="1" spans="1:5" s="6" customFormat="1" ht="40.5" customHeight="1">
      <c r="A1" s="20" t="s">
        <v>4326</v>
      </c>
      <c r="B1" s="21" t="s">
        <v>4375</v>
      </c>
      <c r="C1" s="20"/>
      <c r="D1" s="20" t="s">
        <v>4327</v>
      </c>
      <c r="E1" s="6" t="s">
        <v>4375</v>
      </c>
    </row>
    <row r="2" spans="1:5">
      <c r="A2" t="s">
        <v>4263</v>
      </c>
      <c r="B2">
        <v>2</v>
      </c>
      <c r="D2" t="s">
        <v>4325</v>
      </c>
      <c r="E2">
        <v>22</v>
      </c>
    </row>
    <row r="3" spans="1:5">
      <c r="A3" t="s">
        <v>4262</v>
      </c>
      <c r="B3">
        <v>1</v>
      </c>
      <c r="D3" t="s">
        <v>4261</v>
      </c>
      <c r="E3">
        <v>4</v>
      </c>
    </row>
    <row r="4" spans="1:5">
      <c r="A4" t="s">
        <v>4261</v>
      </c>
      <c r="B4">
        <v>4</v>
      </c>
      <c r="D4" t="s">
        <v>4324</v>
      </c>
      <c r="E4">
        <v>1</v>
      </c>
    </row>
    <row r="5" spans="1:5">
      <c r="A5" t="s">
        <v>4260</v>
      </c>
      <c r="B5">
        <v>1</v>
      </c>
      <c r="D5" t="s">
        <v>4323</v>
      </c>
      <c r="E5">
        <v>3</v>
      </c>
    </row>
    <row r="6" spans="1:5">
      <c r="A6" t="s">
        <v>4259</v>
      </c>
      <c r="B6">
        <v>1</v>
      </c>
      <c r="D6" t="s">
        <v>4322</v>
      </c>
      <c r="E6">
        <v>6</v>
      </c>
    </row>
    <row r="7" spans="1:5">
      <c r="A7" t="s">
        <v>4258</v>
      </c>
      <c r="B7">
        <v>1</v>
      </c>
      <c r="D7" t="s">
        <v>4254</v>
      </c>
      <c r="E7">
        <v>10</v>
      </c>
    </row>
    <row r="8" spans="1:5">
      <c r="A8" t="s">
        <v>4135</v>
      </c>
      <c r="B8">
        <v>6</v>
      </c>
      <c r="D8" t="s">
        <v>4321</v>
      </c>
      <c r="E8">
        <v>1</v>
      </c>
    </row>
    <row r="9" spans="1:5">
      <c r="A9" t="s">
        <v>4257</v>
      </c>
      <c r="B9">
        <v>3</v>
      </c>
      <c r="D9" t="s">
        <v>4253</v>
      </c>
      <c r="E9">
        <v>3</v>
      </c>
    </row>
    <row r="10" spans="1:5">
      <c r="A10" t="s">
        <v>4256</v>
      </c>
      <c r="B10">
        <v>1</v>
      </c>
      <c r="D10" t="s">
        <v>4320</v>
      </c>
      <c r="E10">
        <v>1</v>
      </c>
    </row>
    <row r="11" spans="1:5">
      <c r="A11" t="s">
        <v>4255</v>
      </c>
      <c r="B11">
        <v>1</v>
      </c>
      <c r="D11" t="s">
        <v>4245</v>
      </c>
      <c r="E11">
        <v>6</v>
      </c>
    </row>
    <row r="12" spans="1:5">
      <c r="A12" t="s">
        <v>4254</v>
      </c>
      <c r="B12">
        <v>3</v>
      </c>
      <c r="D12" t="s">
        <v>4319</v>
      </c>
      <c r="E12">
        <v>1</v>
      </c>
    </row>
    <row r="13" spans="1:5">
      <c r="A13" t="s">
        <v>4253</v>
      </c>
      <c r="B13">
        <v>7</v>
      </c>
      <c r="D13" t="s">
        <v>4243</v>
      </c>
      <c r="E13">
        <v>3</v>
      </c>
    </row>
    <row r="14" spans="1:5">
      <c r="A14" t="s">
        <v>4252</v>
      </c>
      <c r="B14">
        <v>1</v>
      </c>
      <c r="D14" t="s">
        <v>4318</v>
      </c>
      <c r="E14">
        <v>2</v>
      </c>
    </row>
    <row r="15" spans="1:5">
      <c r="A15" t="s">
        <v>4251</v>
      </c>
      <c r="B15">
        <v>2</v>
      </c>
      <c r="D15" t="s">
        <v>4317</v>
      </c>
      <c r="E15">
        <v>5</v>
      </c>
    </row>
    <row r="16" spans="1:5">
      <c r="A16" t="s">
        <v>4250</v>
      </c>
      <c r="B16">
        <v>1</v>
      </c>
      <c r="D16" t="s">
        <v>4239</v>
      </c>
      <c r="E16">
        <v>3</v>
      </c>
    </row>
    <row r="17" spans="1:5">
      <c r="A17" t="s">
        <v>4249</v>
      </c>
      <c r="B17">
        <v>1</v>
      </c>
      <c r="D17" t="s">
        <v>4316</v>
      </c>
      <c r="E17">
        <v>4</v>
      </c>
    </row>
    <row r="18" spans="1:5">
      <c r="A18" t="s">
        <v>4248</v>
      </c>
      <c r="B18">
        <v>2</v>
      </c>
      <c r="D18" t="s">
        <v>4315</v>
      </c>
      <c r="E18">
        <v>1</v>
      </c>
    </row>
    <row r="19" spans="1:5">
      <c r="A19" t="s">
        <v>4247</v>
      </c>
      <c r="B19">
        <v>1</v>
      </c>
      <c r="D19" t="s">
        <v>4314</v>
      </c>
      <c r="E19">
        <v>6</v>
      </c>
    </row>
    <row r="20" spans="1:5">
      <c r="A20" t="s">
        <v>4246</v>
      </c>
      <c r="B20">
        <v>1</v>
      </c>
      <c r="D20" t="s">
        <v>4223</v>
      </c>
      <c r="E20">
        <v>4</v>
      </c>
    </row>
    <row r="21" spans="1:5">
      <c r="A21" t="s">
        <v>4245</v>
      </c>
      <c r="B21">
        <v>6</v>
      </c>
      <c r="D21" t="s">
        <v>4313</v>
      </c>
      <c r="E21">
        <v>7</v>
      </c>
    </row>
    <row r="22" spans="1:5">
      <c r="A22" t="s">
        <v>4244</v>
      </c>
      <c r="B22">
        <v>1</v>
      </c>
      <c r="D22" t="s">
        <v>4134</v>
      </c>
      <c r="E22">
        <v>6</v>
      </c>
    </row>
    <row r="23" spans="1:5">
      <c r="A23" t="s">
        <v>4243</v>
      </c>
      <c r="B23">
        <v>7</v>
      </c>
      <c r="D23" t="s">
        <v>4210</v>
      </c>
      <c r="E23">
        <v>1</v>
      </c>
    </row>
    <row r="24" spans="1:5">
      <c r="A24" t="s">
        <v>4242</v>
      </c>
      <c r="B24">
        <v>2</v>
      </c>
      <c r="D24" t="s">
        <v>4312</v>
      </c>
      <c r="E24">
        <v>1</v>
      </c>
    </row>
    <row r="25" spans="1:5">
      <c r="A25" t="s">
        <v>4241</v>
      </c>
      <c r="B25">
        <v>1</v>
      </c>
      <c r="D25" t="s">
        <v>4311</v>
      </c>
      <c r="E25">
        <v>1</v>
      </c>
    </row>
    <row r="26" spans="1:5">
      <c r="A26" t="s">
        <v>4240</v>
      </c>
      <c r="B26">
        <v>4</v>
      </c>
      <c r="D26" t="s">
        <v>4310</v>
      </c>
      <c r="E26">
        <v>1</v>
      </c>
    </row>
    <row r="27" spans="1:5">
      <c r="A27" t="s">
        <v>4239</v>
      </c>
      <c r="B27">
        <v>6</v>
      </c>
      <c r="D27" t="s">
        <v>4309</v>
      </c>
      <c r="E27">
        <v>1</v>
      </c>
    </row>
    <row r="28" spans="1:5">
      <c r="A28" t="s">
        <v>4238</v>
      </c>
      <c r="B28">
        <v>1</v>
      </c>
      <c r="D28" t="s">
        <v>4308</v>
      </c>
      <c r="E28">
        <v>1</v>
      </c>
    </row>
    <row r="29" spans="1:5">
      <c r="A29" t="s">
        <v>4237</v>
      </c>
      <c r="B29">
        <v>1</v>
      </c>
      <c r="D29" t="s">
        <v>4205</v>
      </c>
      <c r="E29">
        <v>2</v>
      </c>
    </row>
    <row r="30" spans="1:5">
      <c r="A30" t="s">
        <v>4236</v>
      </c>
      <c r="B30">
        <v>1</v>
      </c>
      <c r="D30" t="s">
        <v>4307</v>
      </c>
      <c r="E30">
        <v>1</v>
      </c>
    </row>
    <row r="31" spans="1:5">
      <c r="A31" t="s">
        <v>4235</v>
      </c>
      <c r="B31">
        <v>1</v>
      </c>
      <c r="D31" t="s">
        <v>4306</v>
      </c>
      <c r="E31">
        <v>2</v>
      </c>
    </row>
    <row r="32" spans="1:5">
      <c r="A32" t="s">
        <v>4234</v>
      </c>
      <c r="B32">
        <v>1</v>
      </c>
      <c r="D32" t="s">
        <v>4305</v>
      </c>
      <c r="E32">
        <v>1</v>
      </c>
    </row>
    <row r="33" spans="1:5">
      <c r="A33" t="s">
        <v>4233</v>
      </c>
      <c r="B33">
        <v>2</v>
      </c>
      <c r="D33" t="s">
        <v>4201</v>
      </c>
      <c r="E33">
        <v>4</v>
      </c>
    </row>
    <row r="34" spans="1:5">
      <c r="A34" t="s">
        <v>4232</v>
      </c>
      <c r="B34">
        <v>1</v>
      </c>
      <c r="D34" t="s">
        <v>4304</v>
      </c>
      <c r="E34">
        <v>1</v>
      </c>
    </row>
    <row r="35" spans="1:5">
      <c r="A35" t="s">
        <v>4231</v>
      </c>
      <c r="B35">
        <v>1</v>
      </c>
      <c r="D35" t="s">
        <v>4303</v>
      </c>
      <c r="E35">
        <v>3</v>
      </c>
    </row>
    <row r="36" spans="1:5">
      <c r="A36" t="s">
        <v>4230</v>
      </c>
      <c r="B36">
        <v>1</v>
      </c>
      <c r="D36" t="s">
        <v>4302</v>
      </c>
      <c r="E36">
        <v>1</v>
      </c>
    </row>
    <row r="37" spans="1:5">
      <c r="A37" t="s">
        <v>4229</v>
      </c>
      <c r="B37">
        <v>1</v>
      </c>
      <c r="D37" t="s">
        <v>4132</v>
      </c>
      <c r="E37">
        <v>3</v>
      </c>
    </row>
    <row r="38" spans="1:5">
      <c r="A38" t="s">
        <v>4228</v>
      </c>
      <c r="B38">
        <v>1</v>
      </c>
      <c r="D38" t="s">
        <v>4301</v>
      </c>
      <c r="E38">
        <v>16</v>
      </c>
    </row>
    <row r="39" spans="1:5">
      <c r="A39" t="s">
        <v>4227</v>
      </c>
      <c r="B39">
        <v>1</v>
      </c>
      <c r="D39" t="s">
        <v>4300</v>
      </c>
      <c r="E39">
        <v>1</v>
      </c>
    </row>
    <row r="40" spans="1:5">
      <c r="A40" t="s">
        <v>4226</v>
      </c>
      <c r="B40">
        <v>1</v>
      </c>
      <c r="D40" t="s">
        <v>4299</v>
      </c>
      <c r="E40">
        <v>22</v>
      </c>
    </row>
    <row r="41" spans="1:5">
      <c r="A41" t="s">
        <v>4225</v>
      </c>
      <c r="B41">
        <v>2</v>
      </c>
      <c r="D41" t="s">
        <v>4298</v>
      </c>
      <c r="E41">
        <v>1</v>
      </c>
    </row>
    <row r="42" spans="1:5">
      <c r="A42" t="s">
        <v>4224</v>
      </c>
      <c r="B42">
        <v>1</v>
      </c>
      <c r="D42" t="s">
        <v>4297</v>
      </c>
      <c r="E42">
        <v>6</v>
      </c>
    </row>
    <row r="43" spans="1:5">
      <c r="A43" t="s">
        <v>4223</v>
      </c>
      <c r="B43">
        <v>5</v>
      </c>
      <c r="D43" t="s">
        <v>4296</v>
      </c>
      <c r="E43">
        <v>10</v>
      </c>
    </row>
    <row r="44" spans="1:5">
      <c r="A44" t="s">
        <v>4222</v>
      </c>
      <c r="B44">
        <v>1</v>
      </c>
      <c r="D44" t="s">
        <v>4295</v>
      </c>
      <c r="E44">
        <v>1</v>
      </c>
    </row>
    <row r="45" spans="1:5">
      <c r="A45" t="s">
        <v>4221</v>
      </c>
      <c r="B45">
        <v>2</v>
      </c>
      <c r="D45" t="s">
        <v>4294</v>
      </c>
      <c r="E45">
        <v>2</v>
      </c>
    </row>
    <row r="46" spans="1:5">
      <c r="A46" t="s">
        <v>4220</v>
      </c>
      <c r="B46">
        <v>7</v>
      </c>
      <c r="D46" t="s">
        <v>4293</v>
      </c>
      <c r="E46">
        <v>5</v>
      </c>
    </row>
    <row r="47" spans="1:5">
      <c r="A47" t="s">
        <v>4219</v>
      </c>
      <c r="B47">
        <v>2</v>
      </c>
      <c r="D47" t="s">
        <v>4292</v>
      </c>
      <c r="E47">
        <v>1</v>
      </c>
    </row>
    <row r="48" spans="1:5">
      <c r="A48" t="s">
        <v>4218</v>
      </c>
      <c r="B48">
        <v>1</v>
      </c>
      <c r="D48" t="s">
        <v>4169</v>
      </c>
      <c r="E48">
        <v>1</v>
      </c>
    </row>
    <row r="49" spans="1:5">
      <c r="A49" t="s">
        <v>4217</v>
      </c>
      <c r="B49">
        <v>1</v>
      </c>
      <c r="D49" t="s">
        <v>4291</v>
      </c>
      <c r="E49">
        <v>1</v>
      </c>
    </row>
    <row r="50" spans="1:5">
      <c r="A50" t="s">
        <v>4134</v>
      </c>
      <c r="B50">
        <v>29</v>
      </c>
      <c r="D50" t="s">
        <v>4157</v>
      </c>
      <c r="E50">
        <v>1</v>
      </c>
    </row>
    <row r="51" spans="1:5">
      <c r="A51" t="s">
        <v>4216</v>
      </c>
      <c r="B51">
        <v>2</v>
      </c>
      <c r="D51" t="s">
        <v>4290</v>
      </c>
      <c r="E51">
        <v>5</v>
      </c>
    </row>
    <row r="52" spans="1:5">
      <c r="A52" t="s">
        <v>4215</v>
      </c>
      <c r="B52">
        <v>2</v>
      </c>
      <c r="D52" t="s">
        <v>4289</v>
      </c>
      <c r="E52">
        <v>1</v>
      </c>
    </row>
    <row r="53" spans="1:5">
      <c r="A53" t="s">
        <v>4214</v>
      </c>
      <c r="B53">
        <v>2</v>
      </c>
      <c r="D53" t="s">
        <v>4288</v>
      </c>
      <c r="E53">
        <v>4</v>
      </c>
    </row>
    <row r="54" spans="1:5">
      <c r="A54" t="s">
        <v>4213</v>
      </c>
      <c r="B54">
        <v>6</v>
      </c>
      <c r="D54" t="s">
        <v>4287</v>
      </c>
      <c r="E54">
        <v>1</v>
      </c>
    </row>
    <row r="55" spans="1:5">
      <c r="A55" t="s">
        <v>4212</v>
      </c>
      <c r="B55">
        <v>1</v>
      </c>
      <c r="D55" t="s">
        <v>4286</v>
      </c>
      <c r="E55">
        <v>1</v>
      </c>
    </row>
    <row r="56" spans="1:5">
      <c r="A56" t="s">
        <v>4211</v>
      </c>
      <c r="B56">
        <v>1</v>
      </c>
      <c r="D56" t="s">
        <v>4285</v>
      </c>
      <c r="E56">
        <v>1</v>
      </c>
    </row>
    <row r="57" spans="1:5">
      <c r="A57" t="s">
        <v>4210</v>
      </c>
      <c r="B57">
        <v>1</v>
      </c>
      <c r="D57" t="s">
        <v>4284</v>
      </c>
      <c r="E57">
        <v>1</v>
      </c>
    </row>
    <row r="58" spans="1:5">
      <c r="A58" t="s">
        <v>4209</v>
      </c>
      <c r="B58">
        <v>1</v>
      </c>
      <c r="D58" t="s">
        <v>4283</v>
      </c>
      <c r="E58">
        <v>2</v>
      </c>
    </row>
    <row r="59" spans="1:5">
      <c r="A59" t="s">
        <v>4208</v>
      </c>
      <c r="B59">
        <v>1</v>
      </c>
      <c r="D59" t="s">
        <v>4282</v>
      </c>
      <c r="E59">
        <v>3</v>
      </c>
    </row>
    <row r="60" spans="1:5">
      <c r="A60" t="s">
        <v>4207</v>
      </c>
      <c r="B60">
        <v>1</v>
      </c>
      <c r="D60" t="s">
        <v>4281</v>
      </c>
      <c r="E60">
        <v>3</v>
      </c>
    </row>
    <row r="61" spans="1:5">
      <c r="A61" t="s">
        <v>4206</v>
      </c>
      <c r="B61">
        <v>1</v>
      </c>
      <c r="D61" t="s">
        <v>4280</v>
      </c>
      <c r="E61">
        <v>2</v>
      </c>
    </row>
    <row r="62" spans="1:5">
      <c r="A62" t="s">
        <v>4205</v>
      </c>
      <c r="B62">
        <v>9</v>
      </c>
      <c r="D62" t="s">
        <v>4279</v>
      </c>
      <c r="E62">
        <v>1</v>
      </c>
    </row>
    <row r="63" spans="1:5">
      <c r="A63" t="s">
        <v>4204</v>
      </c>
      <c r="B63">
        <v>1</v>
      </c>
      <c r="D63" t="s">
        <v>4278</v>
      </c>
      <c r="E63">
        <v>1</v>
      </c>
    </row>
    <row r="64" spans="1:5">
      <c r="A64" t="s">
        <v>4203</v>
      </c>
      <c r="B64">
        <v>1</v>
      </c>
      <c r="D64" t="s">
        <v>4277</v>
      </c>
      <c r="E64">
        <v>2</v>
      </c>
    </row>
    <row r="65" spans="1:5">
      <c r="A65" t="s">
        <v>4202</v>
      </c>
      <c r="B65">
        <v>1</v>
      </c>
      <c r="D65" t="s">
        <v>4276</v>
      </c>
      <c r="E65">
        <v>5</v>
      </c>
    </row>
    <row r="66" spans="1:5">
      <c r="A66" t="s">
        <v>4201</v>
      </c>
      <c r="B66">
        <v>27</v>
      </c>
      <c r="D66" t="s">
        <v>4275</v>
      </c>
      <c r="E66">
        <v>40</v>
      </c>
    </row>
    <row r="67" spans="1:5">
      <c r="A67" t="s">
        <v>4200</v>
      </c>
      <c r="B67">
        <v>1</v>
      </c>
      <c r="D67" t="s">
        <v>4274</v>
      </c>
      <c r="E67">
        <v>11</v>
      </c>
    </row>
    <row r="68" spans="1:5">
      <c r="A68" t="s">
        <v>4199</v>
      </c>
      <c r="B68">
        <v>1</v>
      </c>
      <c r="D68" t="s">
        <v>4273</v>
      </c>
      <c r="E68">
        <v>1</v>
      </c>
    </row>
    <row r="69" spans="1:5">
      <c r="A69" t="s">
        <v>4198</v>
      </c>
      <c r="B69">
        <v>1</v>
      </c>
      <c r="D69" t="s">
        <v>4272</v>
      </c>
      <c r="E69">
        <v>10</v>
      </c>
    </row>
    <row r="70" spans="1:5">
      <c r="A70" t="s">
        <v>4197</v>
      </c>
      <c r="B70">
        <v>1</v>
      </c>
      <c r="D70" t="s">
        <v>4271</v>
      </c>
      <c r="E70">
        <v>2</v>
      </c>
    </row>
    <row r="71" spans="1:5">
      <c r="A71" t="s">
        <v>4196</v>
      </c>
      <c r="B71">
        <v>1</v>
      </c>
      <c r="D71" t="s">
        <v>4270</v>
      </c>
      <c r="E71">
        <v>39</v>
      </c>
    </row>
    <row r="72" spans="1:5">
      <c r="A72" t="s">
        <v>4195</v>
      </c>
      <c r="B72">
        <v>1</v>
      </c>
      <c r="D72" t="s">
        <v>4269</v>
      </c>
      <c r="E72">
        <v>1</v>
      </c>
    </row>
    <row r="73" spans="1:5">
      <c r="A73" t="s">
        <v>4194</v>
      </c>
      <c r="B73">
        <v>1</v>
      </c>
      <c r="D73" t="s">
        <v>4268</v>
      </c>
      <c r="E73">
        <v>1</v>
      </c>
    </row>
    <row r="74" spans="1:5">
      <c r="A74" t="s">
        <v>4193</v>
      </c>
      <c r="B74">
        <v>1</v>
      </c>
      <c r="D74" t="s">
        <v>4267</v>
      </c>
      <c r="E74">
        <v>1</v>
      </c>
    </row>
    <row r="75" spans="1:5">
      <c r="A75" t="s">
        <v>4192</v>
      </c>
      <c r="B75">
        <v>1</v>
      </c>
      <c r="E75">
        <f>SUM(E2:E74)</f>
        <v>330</v>
      </c>
    </row>
    <row r="76" spans="1:5">
      <c r="A76" t="s">
        <v>4191</v>
      </c>
      <c r="B76">
        <v>1</v>
      </c>
    </row>
    <row r="77" spans="1:5">
      <c r="A77" t="s">
        <v>4190</v>
      </c>
      <c r="B77">
        <v>3</v>
      </c>
    </row>
    <row r="78" spans="1:5">
      <c r="A78" t="s">
        <v>4133</v>
      </c>
      <c r="B78">
        <v>2</v>
      </c>
    </row>
    <row r="79" spans="1:5">
      <c r="A79" t="s">
        <v>4189</v>
      </c>
      <c r="B79">
        <v>1</v>
      </c>
    </row>
    <row r="80" spans="1:5">
      <c r="A80" t="s">
        <v>4188</v>
      </c>
      <c r="B80">
        <v>1</v>
      </c>
    </row>
    <row r="81" spans="1:2">
      <c r="A81" t="s">
        <v>4132</v>
      </c>
      <c r="B81">
        <v>19</v>
      </c>
    </row>
    <row r="82" spans="1:2">
      <c r="A82" t="s">
        <v>4187</v>
      </c>
      <c r="B82">
        <v>1</v>
      </c>
    </row>
    <row r="83" spans="1:2">
      <c r="A83" t="s">
        <v>4186</v>
      </c>
      <c r="B83">
        <v>1</v>
      </c>
    </row>
    <row r="84" spans="1:2">
      <c r="A84" t="s">
        <v>4185</v>
      </c>
      <c r="B84">
        <v>1</v>
      </c>
    </row>
    <row r="85" spans="1:2">
      <c r="A85" t="s">
        <v>4184</v>
      </c>
      <c r="B85">
        <v>2</v>
      </c>
    </row>
    <row r="86" spans="1:2">
      <c r="A86" t="s">
        <v>4183</v>
      </c>
      <c r="B86">
        <v>1</v>
      </c>
    </row>
    <row r="87" spans="1:2">
      <c r="A87" t="s">
        <v>4182</v>
      </c>
      <c r="B87">
        <v>1</v>
      </c>
    </row>
    <row r="88" spans="1:2">
      <c r="A88" t="s">
        <v>4181</v>
      </c>
      <c r="B88">
        <v>1</v>
      </c>
    </row>
    <row r="89" spans="1:2">
      <c r="A89" t="s">
        <v>4131</v>
      </c>
      <c r="B89">
        <v>1</v>
      </c>
    </row>
    <row r="90" spans="1:2">
      <c r="A90" t="s">
        <v>4180</v>
      </c>
      <c r="B90">
        <v>1</v>
      </c>
    </row>
    <row r="91" spans="1:2">
      <c r="A91" t="s">
        <v>4179</v>
      </c>
      <c r="B91">
        <v>1</v>
      </c>
    </row>
    <row r="92" spans="1:2">
      <c r="A92" t="s">
        <v>4178</v>
      </c>
      <c r="B92">
        <v>1</v>
      </c>
    </row>
    <row r="93" spans="1:2">
      <c r="A93" t="s">
        <v>4177</v>
      </c>
      <c r="B93">
        <v>1</v>
      </c>
    </row>
    <row r="94" spans="1:2">
      <c r="A94" t="s">
        <v>4176</v>
      </c>
      <c r="B94">
        <v>1</v>
      </c>
    </row>
    <row r="95" spans="1:2">
      <c r="A95" t="s">
        <v>4175</v>
      </c>
      <c r="B95">
        <v>4</v>
      </c>
    </row>
    <row r="96" spans="1:2">
      <c r="A96" t="s">
        <v>4174</v>
      </c>
      <c r="B96">
        <v>5</v>
      </c>
    </row>
    <row r="97" spans="1:2">
      <c r="A97" t="s">
        <v>4173</v>
      </c>
      <c r="B97">
        <v>1</v>
      </c>
    </row>
    <row r="98" spans="1:2">
      <c r="A98" t="s">
        <v>4172</v>
      </c>
      <c r="B98">
        <v>1</v>
      </c>
    </row>
    <row r="99" spans="1:2">
      <c r="A99" t="s">
        <v>4171</v>
      </c>
      <c r="B99">
        <v>2</v>
      </c>
    </row>
    <row r="100" spans="1:2">
      <c r="A100" t="s">
        <v>4170</v>
      </c>
      <c r="B100">
        <v>16</v>
      </c>
    </row>
    <row r="101" spans="1:2">
      <c r="A101" t="s">
        <v>4169</v>
      </c>
      <c r="B101">
        <v>1</v>
      </c>
    </row>
    <row r="102" spans="1:2">
      <c r="A102" t="s">
        <v>4168</v>
      </c>
      <c r="B102">
        <v>1</v>
      </c>
    </row>
    <row r="103" spans="1:2">
      <c r="A103" t="s">
        <v>4167</v>
      </c>
      <c r="B103">
        <v>2</v>
      </c>
    </row>
    <row r="104" spans="1:2">
      <c r="A104" t="s">
        <v>4166</v>
      </c>
      <c r="B104">
        <v>2</v>
      </c>
    </row>
    <row r="105" spans="1:2">
      <c r="A105" t="s">
        <v>4165</v>
      </c>
      <c r="B105">
        <v>2</v>
      </c>
    </row>
    <row r="106" spans="1:2">
      <c r="A106" t="s">
        <v>4164</v>
      </c>
      <c r="B106">
        <v>1</v>
      </c>
    </row>
    <row r="107" spans="1:2">
      <c r="A107" t="s">
        <v>4163</v>
      </c>
      <c r="B107">
        <v>6</v>
      </c>
    </row>
    <row r="108" spans="1:2">
      <c r="A108" t="s">
        <v>4162</v>
      </c>
      <c r="B108">
        <v>1</v>
      </c>
    </row>
    <row r="109" spans="1:2">
      <c r="A109" t="s">
        <v>4161</v>
      </c>
      <c r="B109">
        <v>1</v>
      </c>
    </row>
    <row r="110" spans="1:2">
      <c r="A110" t="s">
        <v>4160</v>
      </c>
      <c r="B110">
        <v>2</v>
      </c>
    </row>
    <row r="111" spans="1:2">
      <c r="A111" t="s">
        <v>4159</v>
      </c>
      <c r="B111">
        <v>2</v>
      </c>
    </row>
    <row r="112" spans="1:2">
      <c r="A112" t="s">
        <v>4158</v>
      </c>
      <c r="B112">
        <v>1</v>
      </c>
    </row>
    <row r="113" spans="1:2">
      <c r="A113" t="s">
        <v>4157</v>
      </c>
      <c r="B113">
        <v>1</v>
      </c>
    </row>
    <row r="114" spans="1:2">
      <c r="A114" t="s">
        <v>4156</v>
      </c>
      <c r="B114">
        <v>5</v>
      </c>
    </row>
    <row r="115" spans="1:2">
      <c r="A115" t="s">
        <v>4155</v>
      </c>
      <c r="B115">
        <v>1</v>
      </c>
    </row>
    <row r="116" spans="1:2">
      <c r="A116" t="s">
        <v>4154</v>
      </c>
      <c r="B116">
        <v>1</v>
      </c>
    </row>
    <row r="117" spans="1:2">
      <c r="A117" t="s">
        <v>4153</v>
      </c>
      <c r="B117">
        <v>1</v>
      </c>
    </row>
    <row r="118" spans="1:2">
      <c r="A118" t="s">
        <v>4130</v>
      </c>
      <c r="B118">
        <v>4</v>
      </c>
    </row>
    <row r="119" spans="1:2">
      <c r="A119" t="s">
        <v>4152</v>
      </c>
      <c r="B119">
        <v>1</v>
      </c>
    </row>
    <row r="120" spans="1:2">
      <c r="A120" t="s">
        <v>4151</v>
      </c>
      <c r="B120">
        <v>1</v>
      </c>
    </row>
    <row r="121" spans="1:2">
      <c r="A121" t="s">
        <v>4150</v>
      </c>
      <c r="B121">
        <v>1</v>
      </c>
    </row>
    <row r="122" spans="1:2">
      <c r="A122" t="s">
        <v>4149</v>
      </c>
      <c r="B122">
        <v>1</v>
      </c>
    </row>
    <row r="123" spans="1:2">
      <c r="A123" t="s">
        <v>4148</v>
      </c>
      <c r="B123">
        <v>1</v>
      </c>
    </row>
    <row r="124" spans="1:2">
      <c r="A124" t="s">
        <v>4147</v>
      </c>
      <c r="B124">
        <v>1</v>
      </c>
    </row>
    <row r="125" spans="1:2">
      <c r="A125" t="s">
        <v>4146</v>
      </c>
      <c r="B125">
        <v>1</v>
      </c>
    </row>
    <row r="126" spans="1:2">
      <c r="A126" t="s">
        <v>4145</v>
      </c>
      <c r="B126">
        <v>1</v>
      </c>
    </row>
    <row r="127" spans="1:2">
      <c r="A127" t="s">
        <v>4144</v>
      </c>
      <c r="B127">
        <v>1</v>
      </c>
    </row>
    <row r="128" spans="1:2">
      <c r="A128" t="s">
        <v>4143</v>
      </c>
      <c r="B128">
        <v>1</v>
      </c>
    </row>
    <row r="129" spans="1:2">
      <c r="A129" t="s">
        <v>4142</v>
      </c>
      <c r="B129">
        <v>2</v>
      </c>
    </row>
    <row r="130" spans="1:2">
      <c r="A130" t="s">
        <v>4141</v>
      </c>
      <c r="B130">
        <v>1</v>
      </c>
    </row>
    <row r="131" spans="1:2">
      <c r="A131" t="s">
        <v>4140</v>
      </c>
      <c r="B131">
        <v>2</v>
      </c>
    </row>
    <row r="132" spans="1:2">
      <c r="A132" t="s">
        <v>4139</v>
      </c>
      <c r="B132">
        <v>2</v>
      </c>
    </row>
    <row r="133" spans="1:2">
      <c r="A133" t="s">
        <v>4138</v>
      </c>
      <c r="B133">
        <v>3</v>
      </c>
    </row>
    <row r="134" spans="1:2">
      <c r="A134" t="s">
        <v>4137</v>
      </c>
      <c r="B134">
        <v>5</v>
      </c>
    </row>
    <row r="135" spans="1:2">
      <c r="A135" t="s">
        <v>4136</v>
      </c>
      <c r="B135">
        <v>2</v>
      </c>
    </row>
  </sheetData>
  <sortState ref="D2:E86">
    <sortCondition ref="D2:D86"/>
  </sortState>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EL34"/>
  <sheetViews>
    <sheetView workbookViewId="0">
      <pane xSplit="1" ySplit="1" topLeftCell="B2" activePane="bottomRight" state="frozen"/>
      <selection pane="topRight" activeCell="B1" sqref="B1"/>
      <selection pane="bottomLeft" activeCell="A2" sqref="A2"/>
      <selection pane="bottomRight" activeCell="A31" sqref="A31"/>
    </sheetView>
  </sheetViews>
  <sheetFormatPr defaultRowHeight="15"/>
  <cols>
    <col min="1" max="1" width="16.28515625" customWidth="1"/>
    <col min="2" max="15" width="0" hidden="1" customWidth="1"/>
    <col min="20" max="20" width="22.140625" hidden="1" customWidth="1"/>
    <col min="21" max="56" width="0" hidden="1" customWidth="1"/>
    <col min="57" max="57" width="13.42578125" hidden="1" customWidth="1"/>
    <col min="58" max="58" width="18.7109375" customWidth="1"/>
    <col min="61" max="61" width="15.85546875" customWidth="1"/>
    <col min="89" max="105" width="0" hidden="1" customWidth="1"/>
    <col min="115" max="142" width="0" hidden="1" customWidth="1"/>
  </cols>
  <sheetData>
    <row r="1" spans="1:142" s="1" customFormat="1" ht="90">
      <c r="A1" s="1" t="s">
        <v>0</v>
      </c>
      <c r="B1" s="1" t="s">
        <v>1</v>
      </c>
      <c r="C1" s="1" t="s">
        <v>2</v>
      </c>
      <c r="D1" s="1" t="s">
        <v>3</v>
      </c>
      <c r="E1" s="1" t="s">
        <v>4</v>
      </c>
      <c r="F1" s="1" t="s">
        <v>5</v>
      </c>
      <c r="G1" s="1" t="s">
        <v>6</v>
      </c>
      <c r="H1" s="1" t="s">
        <v>3474</v>
      </c>
      <c r="I1" s="1" t="s">
        <v>3475</v>
      </c>
      <c r="J1" s="1" t="s">
        <v>3861</v>
      </c>
      <c r="K1" s="2" t="s">
        <v>3471</v>
      </c>
      <c r="L1" s="2" t="s">
        <v>3472</v>
      </c>
      <c r="M1" s="2" t="s">
        <v>3473</v>
      </c>
      <c r="N1" s="2" t="s">
        <v>8</v>
      </c>
      <c r="O1" s="2" t="s">
        <v>4080</v>
      </c>
      <c r="P1" s="1" t="s">
        <v>3476</v>
      </c>
      <c r="Q1" s="1" t="s">
        <v>3477</v>
      </c>
      <c r="R1" s="1" t="s">
        <v>3478</v>
      </c>
      <c r="S1" s="1" t="s">
        <v>3479</v>
      </c>
      <c r="T1" s="1" t="s">
        <v>7</v>
      </c>
      <c r="U1" s="1" t="s">
        <v>8</v>
      </c>
      <c r="V1" s="1" t="s">
        <v>9</v>
      </c>
      <c r="W1" s="1" t="s">
        <v>10</v>
      </c>
      <c r="X1" s="1" t="s">
        <v>11</v>
      </c>
      <c r="Y1" s="1" t="s">
        <v>12</v>
      </c>
      <c r="Z1" s="1" t="s">
        <v>13</v>
      </c>
      <c r="AA1" s="1" t="s">
        <v>14</v>
      </c>
      <c r="AB1" s="1" t="s">
        <v>15</v>
      </c>
      <c r="AC1" s="1" t="s">
        <v>16</v>
      </c>
      <c r="AD1" s="1" t="s">
        <v>17</v>
      </c>
      <c r="AE1" s="1" t="s">
        <v>18</v>
      </c>
      <c r="AF1" s="1" t="s">
        <v>19</v>
      </c>
      <c r="AG1" s="1" t="s">
        <v>20</v>
      </c>
      <c r="AH1" s="1" t="s">
        <v>21</v>
      </c>
      <c r="AI1" s="1" t="s">
        <v>22</v>
      </c>
      <c r="AJ1" s="1" t="s">
        <v>23</v>
      </c>
      <c r="AK1" s="1" t="s">
        <v>24</v>
      </c>
      <c r="AL1" s="1" t="s">
        <v>25</v>
      </c>
      <c r="AM1" s="1" t="s">
        <v>8</v>
      </c>
      <c r="AN1" s="1" t="s">
        <v>9</v>
      </c>
      <c r="AO1" s="1" t="s">
        <v>10</v>
      </c>
      <c r="AP1" s="1" t="s">
        <v>11</v>
      </c>
      <c r="AQ1" s="1" t="s">
        <v>12</v>
      </c>
      <c r="AR1" s="1" t="s">
        <v>13</v>
      </c>
      <c r="AS1" s="1" t="s">
        <v>14</v>
      </c>
      <c r="AT1" s="1" t="s">
        <v>15</v>
      </c>
      <c r="AU1" s="1" t="s">
        <v>16</v>
      </c>
      <c r="AV1" s="1" t="s">
        <v>17</v>
      </c>
      <c r="AW1" s="1" t="s">
        <v>18</v>
      </c>
      <c r="AX1" s="1" t="s">
        <v>19</v>
      </c>
      <c r="AY1" s="1" t="s">
        <v>20</v>
      </c>
      <c r="AZ1" s="1" t="s">
        <v>21</v>
      </c>
      <c r="BA1" s="1" t="s">
        <v>22</v>
      </c>
      <c r="BB1" s="1" t="s">
        <v>23</v>
      </c>
      <c r="BC1" s="1" t="s">
        <v>24</v>
      </c>
      <c r="BD1" s="1" t="s">
        <v>26</v>
      </c>
      <c r="BE1" s="1" t="s">
        <v>27</v>
      </c>
      <c r="BF1" s="1" t="s">
        <v>28</v>
      </c>
      <c r="BG1" s="1" t="s">
        <v>8</v>
      </c>
      <c r="BH1" s="1" t="s">
        <v>9</v>
      </c>
      <c r="BI1" s="1" t="s">
        <v>10</v>
      </c>
      <c r="BJ1" s="1" t="s">
        <v>11</v>
      </c>
      <c r="BK1" s="1" t="s">
        <v>12</v>
      </c>
      <c r="BL1" s="1" t="s">
        <v>13</v>
      </c>
      <c r="BM1" s="1" t="s">
        <v>14</v>
      </c>
      <c r="BN1" s="1" t="s">
        <v>15</v>
      </c>
      <c r="BO1" s="1" t="s">
        <v>16</v>
      </c>
      <c r="BP1" s="1" t="s">
        <v>17</v>
      </c>
      <c r="BQ1" s="1" t="s">
        <v>18</v>
      </c>
      <c r="BR1" s="1" t="s">
        <v>19</v>
      </c>
      <c r="BS1" s="1" t="s">
        <v>20</v>
      </c>
      <c r="BT1" s="1" t="s">
        <v>23</v>
      </c>
      <c r="BU1" s="1" t="s">
        <v>26</v>
      </c>
      <c r="BV1" s="1" t="s">
        <v>27</v>
      </c>
      <c r="BW1" s="1" t="s">
        <v>29</v>
      </c>
      <c r="BX1" s="1" t="s">
        <v>8</v>
      </c>
      <c r="BY1" s="1" t="s">
        <v>10</v>
      </c>
      <c r="BZ1" s="1" t="s">
        <v>11</v>
      </c>
      <c r="CA1" s="1" t="s">
        <v>12</v>
      </c>
      <c r="CB1" s="1" t="s">
        <v>13</v>
      </c>
      <c r="CC1" s="1" t="s">
        <v>14</v>
      </c>
      <c r="CD1" s="1" t="s">
        <v>15</v>
      </c>
      <c r="CE1" s="1" t="s">
        <v>16</v>
      </c>
      <c r="CF1" s="1" t="s">
        <v>17</v>
      </c>
      <c r="CG1" s="1" t="s">
        <v>18</v>
      </c>
      <c r="CH1" s="1" t="s">
        <v>19</v>
      </c>
      <c r="CI1" s="1" t="s">
        <v>20</v>
      </c>
      <c r="CJ1" s="1" t="s">
        <v>30</v>
      </c>
      <c r="CK1" s="1" t="s">
        <v>31</v>
      </c>
      <c r="CL1" s="1" t="s">
        <v>8</v>
      </c>
      <c r="CM1" s="1" t="s">
        <v>32</v>
      </c>
      <c r="CN1" s="1" t="s">
        <v>33</v>
      </c>
      <c r="CO1" s="1" t="s">
        <v>34</v>
      </c>
      <c r="CP1" s="1" t="s">
        <v>35</v>
      </c>
      <c r="CQ1" s="1" t="s">
        <v>36</v>
      </c>
      <c r="CR1" s="1" t="s">
        <v>37</v>
      </c>
      <c r="CS1" s="1" t="s">
        <v>38</v>
      </c>
      <c r="CT1" s="1" t="s">
        <v>39</v>
      </c>
      <c r="CU1" s="1" t="s">
        <v>35</v>
      </c>
      <c r="CV1" s="1" t="s">
        <v>40</v>
      </c>
      <c r="CW1" s="1" t="s">
        <v>41</v>
      </c>
      <c r="CX1" s="1" t="s">
        <v>42</v>
      </c>
      <c r="CY1" s="1" t="s">
        <v>43</v>
      </c>
      <c r="CZ1" s="1" t="s">
        <v>35</v>
      </c>
      <c r="DA1" s="1" t="s">
        <v>44</v>
      </c>
      <c r="DB1" s="1" t="s">
        <v>45</v>
      </c>
      <c r="DC1" s="1" t="s">
        <v>8</v>
      </c>
      <c r="DD1" s="1" t="s">
        <v>46</v>
      </c>
      <c r="DE1" s="1" t="s">
        <v>47</v>
      </c>
      <c r="DF1" s="1" t="s">
        <v>48</v>
      </c>
      <c r="DG1" s="1" t="s">
        <v>49</v>
      </c>
      <c r="DH1" s="1" t="s">
        <v>48</v>
      </c>
      <c r="DI1" s="1" t="s">
        <v>50</v>
      </c>
      <c r="DJ1" s="1" t="s">
        <v>48</v>
      </c>
      <c r="DK1" s="1" t="s">
        <v>51</v>
      </c>
      <c r="DL1" s="1" t="s">
        <v>8</v>
      </c>
      <c r="DM1" s="1" t="s">
        <v>10</v>
      </c>
      <c r="DN1" s="1" t="s">
        <v>11</v>
      </c>
      <c r="DO1" s="1" t="s">
        <v>12</v>
      </c>
      <c r="DP1" s="1" t="s">
        <v>13</v>
      </c>
      <c r="DQ1" s="1" t="s">
        <v>14</v>
      </c>
      <c r="DR1" s="1" t="s">
        <v>15</v>
      </c>
      <c r="DS1" s="1" t="s">
        <v>16</v>
      </c>
      <c r="DT1" s="1" t="s">
        <v>17</v>
      </c>
      <c r="DU1" s="1" t="s">
        <v>18</v>
      </c>
      <c r="DV1" s="1" t="s">
        <v>19</v>
      </c>
      <c r="DW1" s="1" t="s">
        <v>20</v>
      </c>
      <c r="DX1" s="1" t="s">
        <v>23</v>
      </c>
      <c r="DY1" s="1" t="s">
        <v>52</v>
      </c>
      <c r="DZ1" s="1" t="s">
        <v>8</v>
      </c>
      <c r="EA1" s="1" t="s">
        <v>10</v>
      </c>
      <c r="EB1" s="1" t="s">
        <v>11</v>
      </c>
      <c r="EC1" s="1" t="s">
        <v>12</v>
      </c>
      <c r="ED1" s="1" t="s">
        <v>13</v>
      </c>
      <c r="EE1" s="1" t="s">
        <v>14</v>
      </c>
      <c r="EF1" s="1" t="s">
        <v>15</v>
      </c>
      <c r="EG1" s="1" t="s">
        <v>16</v>
      </c>
      <c r="EH1" s="1" t="s">
        <v>17</v>
      </c>
      <c r="EI1" s="1" t="s">
        <v>18</v>
      </c>
      <c r="EJ1" s="1" t="s">
        <v>19</v>
      </c>
      <c r="EK1" s="1" t="s">
        <v>20</v>
      </c>
      <c r="EL1" s="1" t="s">
        <v>23</v>
      </c>
    </row>
    <row r="2" spans="1:142" s="6" customFormat="1">
      <c r="A2" s="6" t="str">
        <f>HYPERLINK(".\links\seq\TI_asb-448-seq.txt","TI_asb-448")</f>
        <v>TI_asb-448</v>
      </c>
      <c r="B2" s="6">
        <v>448</v>
      </c>
      <c r="C2" s="6" t="str">
        <f>HYPERLINK(".\links\tsa\TI_asb-448-tsa.txt","2")</f>
        <v>2</v>
      </c>
      <c r="D2" s="6">
        <v>2</v>
      </c>
      <c r="E2" s="6">
        <v>876</v>
      </c>
      <c r="F2" s="6">
        <v>762</v>
      </c>
      <c r="G2" s="6" t="str">
        <f>HYPERLINK(".\links\qual\TI_asb-448-qual.txt","62")</f>
        <v>62</v>
      </c>
      <c r="H2" s="6">
        <v>1</v>
      </c>
      <c r="I2" s="6">
        <v>1</v>
      </c>
      <c r="J2" s="6">
        <f t="shared" ref="J2:J34" si="0">ABS(H2-I2)</f>
        <v>0</v>
      </c>
      <c r="K2" s="6" t="s">
        <v>3868</v>
      </c>
      <c r="L2" s="6" t="s">
        <v>3869</v>
      </c>
      <c r="P2" s="6">
        <v>876</v>
      </c>
      <c r="Q2" s="6">
        <v>693</v>
      </c>
      <c r="R2" s="6" t="s">
        <v>3754</v>
      </c>
      <c r="S2" s="6">
        <v>2</v>
      </c>
      <c r="T2" s="6" t="str">
        <f>HYPERLINK(".\links\NR-LIGHT\TI_asb-448-NR-LIGHT.txt","aldehyde dehydrogenase 2, like")</f>
        <v>aldehyde dehydrogenase 2, like</v>
      </c>
      <c r="U2" s="6" t="str">
        <f>HYPERLINK("http://www.ncbi.nlm.nih.gov/sutils/blink.cgi?pid=292614411","6.8")</f>
        <v>6.8</v>
      </c>
      <c r="V2" s="6" t="str">
        <f>HYPERLINK(".\links\NR-LIGHT\TI_asb-448-NR-LIGHT.txt"," 8")</f>
        <v xml:space="preserve"> 8</v>
      </c>
      <c r="W2" s="6" t="str">
        <f>HYPERLINK("http://www.ncbi.nlm.nih.gov/protein/292614411","gi|292614411")</f>
        <v>gi|292614411</v>
      </c>
      <c r="X2" s="6">
        <v>33.9</v>
      </c>
      <c r="Y2" s="6">
        <v>46</v>
      </c>
      <c r="Z2" s="6">
        <v>516</v>
      </c>
      <c r="AA2" s="6">
        <v>34</v>
      </c>
      <c r="AB2" s="6">
        <v>9</v>
      </c>
      <c r="AC2" s="6">
        <v>30</v>
      </c>
      <c r="AD2" s="6">
        <v>2</v>
      </c>
      <c r="AE2" s="6">
        <v>326</v>
      </c>
      <c r="AF2" s="6">
        <v>74</v>
      </c>
      <c r="AG2" s="6">
        <v>1</v>
      </c>
      <c r="AH2" s="6">
        <v>2</v>
      </c>
      <c r="AI2" s="6" t="s">
        <v>53</v>
      </c>
      <c r="AJ2" s="6" t="s">
        <v>54</v>
      </c>
      <c r="AK2" s="6" t="s">
        <v>202</v>
      </c>
      <c r="AL2" s="6" t="str">
        <f>HYPERLINK(".\links\SWISSP\TI_asb-448-SWISSP.txt","Actin-related protein 9 OS=Oryza sativa subsp. japonica GN=ARP9 PE=2 SV=1")</f>
        <v>Actin-related protein 9 OS=Oryza sativa subsp. japonica GN=ARP9 PE=2 SV=1</v>
      </c>
      <c r="AM2" s="6" t="str">
        <f>HYPERLINK("http://www.uniprot.org/uniprot/Q0JF03","0.23")</f>
        <v>0.23</v>
      </c>
      <c r="AN2" s="6" t="str">
        <f>HYPERLINK(".\links\SWISSP\TI_asb-448-SWISSP.txt"," 5")</f>
        <v xml:space="preserve"> 5</v>
      </c>
      <c r="AO2" s="6" t="s">
        <v>2691</v>
      </c>
      <c r="AP2" s="6">
        <v>36.6</v>
      </c>
      <c r="AQ2" s="6">
        <v>118</v>
      </c>
      <c r="AR2" s="6">
        <v>586</v>
      </c>
      <c r="AS2" s="6">
        <v>26</v>
      </c>
      <c r="AT2" s="6">
        <v>20</v>
      </c>
      <c r="AU2" s="6">
        <v>87</v>
      </c>
      <c r="AV2" s="6">
        <v>14</v>
      </c>
      <c r="AW2" s="6">
        <v>123</v>
      </c>
      <c r="AX2" s="6">
        <v>68</v>
      </c>
      <c r="AY2" s="6">
        <v>1</v>
      </c>
      <c r="AZ2" s="6">
        <v>2</v>
      </c>
      <c r="BA2" s="6" t="s">
        <v>53</v>
      </c>
      <c r="BB2" s="6" t="s">
        <v>54</v>
      </c>
      <c r="BC2" s="6" t="s">
        <v>2692</v>
      </c>
      <c r="BD2" s="6" t="s">
        <v>2693</v>
      </c>
      <c r="BE2" s="6" t="s">
        <v>2694</v>
      </c>
      <c r="BF2" s="6" t="str">
        <f>HYPERLINK(".\links\PREV-RHOD-PEP\TI_asb-448-PREV-RHOD-PEP.txt","Contig17914_3")</f>
        <v>Contig17914_3</v>
      </c>
      <c r="BG2" s="7">
        <v>6.0000000000000001E-64</v>
      </c>
      <c r="BH2" s="6" t="str">
        <f>HYPERLINK(".\links\PREV-RHOD-PEP\TI_asb-448-PREV-RHOD-PEP.txt"," 10")</f>
        <v xml:space="preserve"> 10</v>
      </c>
      <c r="BI2" s="6" t="s">
        <v>2695</v>
      </c>
      <c r="BJ2" s="6">
        <v>240</v>
      </c>
      <c r="BK2" s="6">
        <v>226</v>
      </c>
      <c r="BL2" s="6">
        <v>225</v>
      </c>
      <c r="BM2" s="6">
        <v>51</v>
      </c>
      <c r="BN2" s="6">
        <v>100</v>
      </c>
      <c r="BO2" s="6">
        <v>110</v>
      </c>
      <c r="BP2" s="6">
        <v>0</v>
      </c>
      <c r="BQ2" s="6">
        <v>1</v>
      </c>
      <c r="BR2" s="6">
        <v>8</v>
      </c>
      <c r="BS2" s="6">
        <v>1</v>
      </c>
      <c r="BT2" s="6" t="s">
        <v>54</v>
      </c>
      <c r="BU2" s="6" t="s">
        <v>2696</v>
      </c>
      <c r="BV2" s="6" t="s">
        <v>439</v>
      </c>
      <c r="BW2" s="6" t="str">
        <f>HYPERLINK(".\links\PREV-RHOD-CDS\TI_asb-448-PREV-RHOD-CDS.txt","Contig17914_2")</f>
        <v>Contig17914_2</v>
      </c>
      <c r="BX2" s="7">
        <v>4.9999999999999999E-13</v>
      </c>
      <c r="BY2" s="6" t="s">
        <v>2697</v>
      </c>
      <c r="BZ2" s="6">
        <v>75.8</v>
      </c>
      <c r="CA2" s="6">
        <v>944</v>
      </c>
      <c r="CB2" s="6">
        <v>1323</v>
      </c>
      <c r="CC2" s="6">
        <v>89</v>
      </c>
      <c r="CD2" s="6">
        <v>71</v>
      </c>
      <c r="CE2" s="6">
        <v>7</v>
      </c>
      <c r="CF2" s="6">
        <v>0</v>
      </c>
      <c r="CG2" s="6">
        <v>55</v>
      </c>
      <c r="CH2" s="6">
        <v>65</v>
      </c>
      <c r="CI2" s="6">
        <v>4</v>
      </c>
      <c r="CJ2" s="6" t="s">
        <v>54</v>
      </c>
      <c r="CK2" s="6" t="s">
        <v>2698</v>
      </c>
      <c r="CL2" s="6">
        <f>HYPERLINK(".\links\GO\TI_asb-448-GO.txt",0.73)</f>
        <v>0.73</v>
      </c>
      <c r="CM2" s="6" t="s">
        <v>2699</v>
      </c>
      <c r="CN2" s="6" t="s">
        <v>129</v>
      </c>
      <c r="CO2" s="6" t="s">
        <v>130</v>
      </c>
      <c r="CP2" s="6" t="s">
        <v>2700</v>
      </c>
      <c r="CQ2" s="6">
        <v>0.73</v>
      </c>
      <c r="CR2" s="6" t="s">
        <v>60</v>
      </c>
      <c r="CS2" s="6" t="s">
        <v>60</v>
      </c>
      <c r="CU2" s="6" t="s">
        <v>61</v>
      </c>
      <c r="CV2" s="6">
        <v>0.73</v>
      </c>
      <c r="CW2" s="6" t="s">
        <v>2701</v>
      </c>
      <c r="CX2" s="6" t="s">
        <v>129</v>
      </c>
      <c r="CY2" s="6" t="s">
        <v>130</v>
      </c>
      <c r="CZ2" s="6" t="s">
        <v>2702</v>
      </c>
      <c r="DA2" s="6">
        <v>0.73</v>
      </c>
      <c r="DB2" s="6" t="s">
        <v>56</v>
      </c>
      <c r="DC2" s="6" t="s">
        <v>56</v>
      </c>
      <c r="DD2" s="6" t="s">
        <v>56</v>
      </c>
      <c r="DE2" s="6" t="s">
        <v>56</v>
      </c>
      <c r="DF2" s="6" t="s">
        <v>56</v>
      </c>
      <c r="DG2" s="6" t="str">
        <f>HYPERLINK(".\links\PRK\TI_asb-448-PRK.txt","coproporphyrinogen III oxidase")</f>
        <v>coproporphyrinogen III oxidase</v>
      </c>
      <c r="DH2" s="6">
        <v>8.7999999999999995E-2</v>
      </c>
      <c r="DI2" s="6" t="str">
        <f>HYPERLINK(".\links\SMART\TI_asb-448-SMART.txt","STE")</f>
        <v>STE</v>
      </c>
      <c r="DJ2" s="6" t="str">
        <f>HYPERLINK("http://smart.embl-heidelberg.de/smart/do_annotation.pl?DOMAIN=STE&amp;BLAST=DUMMY","0.095")</f>
        <v>0.095</v>
      </c>
      <c r="DK2" s="6" t="s">
        <v>56</v>
      </c>
      <c r="DY2" s="6" t="s">
        <v>56</v>
      </c>
    </row>
    <row r="3" spans="1:142" s="6" customFormat="1">
      <c r="A3" s="6" t="str">
        <f>HYPERLINK(".\links\seq\TI_asb-562-seq.txt","TI_asb-562")</f>
        <v>TI_asb-562</v>
      </c>
      <c r="B3" s="6">
        <v>562</v>
      </c>
      <c r="C3" s="6" t="str">
        <f>HYPERLINK(".\links\tsa\TI_asb-562-tsa.txt","1")</f>
        <v>1</v>
      </c>
      <c r="D3" s="6">
        <v>1</v>
      </c>
      <c r="E3" s="6">
        <v>830</v>
      </c>
      <c r="F3" s="6">
        <v>807</v>
      </c>
      <c r="G3" s="6" t="str">
        <f>HYPERLINK(".\links\qual\TI_asb-562-qual.txt","47")</f>
        <v>47</v>
      </c>
      <c r="H3" s="6">
        <v>1</v>
      </c>
      <c r="I3" s="6">
        <v>0</v>
      </c>
      <c r="J3" s="6">
        <f t="shared" si="0"/>
        <v>1</v>
      </c>
      <c r="K3" s="6" t="s">
        <v>3868</v>
      </c>
      <c r="L3" s="6" t="s">
        <v>3869</v>
      </c>
      <c r="P3" s="6">
        <v>830</v>
      </c>
      <c r="Q3" s="6">
        <v>669</v>
      </c>
      <c r="R3" s="6" t="s">
        <v>3834</v>
      </c>
      <c r="S3" s="6">
        <v>2</v>
      </c>
      <c r="T3" s="6" t="str">
        <f>HYPERLINK(".\links\NR-LIGHT\TI_asb-562-NR-LIGHT.txt","ACYPI37407")</f>
        <v>ACYPI37407</v>
      </c>
      <c r="U3" s="6" t="str">
        <f>HYPERLINK("http://www.ncbi.nlm.nih.gov/sutils/blink.cgi?pid=239789926","0.051")</f>
        <v>0.051</v>
      </c>
      <c r="V3" s="6" t="str">
        <f>HYPERLINK(".\links\NR-LIGHT\TI_asb-562-NR-LIGHT.txt"," 10")</f>
        <v xml:space="preserve"> 10</v>
      </c>
      <c r="W3" s="6" t="str">
        <f>HYPERLINK("http://www.ncbi.nlm.nih.gov/protein/239789926","gi|239789926")</f>
        <v>gi|239789926</v>
      </c>
      <c r="X3" s="6">
        <v>40.799999999999997</v>
      </c>
      <c r="Y3" s="6">
        <v>159</v>
      </c>
      <c r="Z3" s="6">
        <v>214</v>
      </c>
      <c r="AA3" s="6">
        <v>23</v>
      </c>
      <c r="AB3" s="6">
        <v>74</v>
      </c>
      <c r="AC3" s="6">
        <v>122</v>
      </c>
      <c r="AD3" s="6">
        <v>5</v>
      </c>
      <c r="AE3" s="6">
        <v>21</v>
      </c>
      <c r="AF3" s="6">
        <v>206</v>
      </c>
      <c r="AG3" s="6">
        <v>1</v>
      </c>
      <c r="AH3" s="6">
        <v>2</v>
      </c>
      <c r="AI3" s="6" t="s">
        <v>53</v>
      </c>
      <c r="AJ3" s="6" t="s">
        <v>54</v>
      </c>
      <c r="AK3" s="6" t="s">
        <v>177</v>
      </c>
      <c r="AL3" s="6" t="str">
        <f>HYPERLINK(".\links\SWISSP\TI_asb-562-SWISSP.txt","Reticulocyte-binding protein PFD0110w OS=Plasmodium falciparum (isolate 3D7)")</f>
        <v>Reticulocyte-binding protein PFD0110w OS=Plasmodium falciparum (isolate 3D7)</v>
      </c>
      <c r="AM3" s="6" t="str">
        <f>HYPERLINK("http://www.uniprot.org/uniprot/P86148","0.48")</f>
        <v>0.48</v>
      </c>
      <c r="AN3" s="6" t="str">
        <f>HYPERLINK(".\links\SWISSP\TI_asb-562-SWISSP.txt"," 6")</f>
        <v xml:space="preserve"> 6</v>
      </c>
      <c r="AO3" s="6" t="s">
        <v>3295</v>
      </c>
      <c r="AP3" s="6">
        <v>35.4</v>
      </c>
      <c r="AQ3" s="6">
        <v>193</v>
      </c>
      <c r="AR3" s="6">
        <v>2971</v>
      </c>
      <c r="AS3" s="6">
        <v>20</v>
      </c>
      <c r="AT3" s="6">
        <v>6</v>
      </c>
      <c r="AU3" s="6">
        <v>153</v>
      </c>
      <c r="AV3" s="6">
        <v>20</v>
      </c>
      <c r="AW3" s="6">
        <v>1626</v>
      </c>
      <c r="AX3" s="6">
        <v>161</v>
      </c>
      <c r="AY3" s="6">
        <v>1</v>
      </c>
      <c r="AZ3" s="6">
        <v>2</v>
      </c>
      <c r="BA3" s="6" t="s">
        <v>53</v>
      </c>
      <c r="BB3" s="6" t="s">
        <v>54</v>
      </c>
      <c r="BC3" s="6" t="s">
        <v>1763</v>
      </c>
      <c r="BD3" s="6" t="s">
        <v>3296</v>
      </c>
      <c r="BE3" s="6" t="s">
        <v>3297</v>
      </c>
      <c r="BF3" s="6" t="str">
        <f>HYPERLINK(".\links\PREV-RHOD-PEP\TI_asb-562-PREV-RHOD-PEP.txt","Contig17710_43")</f>
        <v>Contig17710_43</v>
      </c>
      <c r="BG3" s="7">
        <v>3.9999999999999998E-75</v>
      </c>
      <c r="BH3" s="6" t="str">
        <f>HYPERLINK(".\links\PREV-RHOD-PEP\TI_asb-562-PREV-RHOD-PEP.txt"," 7")</f>
        <v xml:space="preserve"> 7</v>
      </c>
      <c r="BI3" s="6" t="s">
        <v>3298</v>
      </c>
      <c r="BJ3" s="6">
        <v>277</v>
      </c>
      <c r="BK3" s="6">
        <v>205</v>
      </c>
      <c r="BL3" s="6">
        <v>223</v>
      </c>
      <c r="BM3" s="6">
        <v>66</v>
      </c>
      <c r="BN3" s="6">
        <v>92</v>
      </c>
      <c r="BO3" s="6">
        <v>69</v>
      </c>
      <c r="BP3" s="6">
        <v>2</v>
      </c>
      <c r="BQ3" s="6">
        <v>3</v>
      </c>
      <c r="BR3" s="6">
        <v>110</v>
      </c>
      <c r="BS3" s="6">
        <v>1</v>
      </c>
      <c r="BT3" s="6" t="s">
        <v>54</v>
      </c>
      <c r="BU3" s="6" t="s">
        <v>3299</v>
      </c>
      <c r="BV3" s="6" t="s">
        <v>439</v>
      </c>
      <c r="BW3" s="6" t="str">
        <f>HYPERLINK(".\links\PREV-RHOD-CDS\TI_asb-562-PREV-RHOD-CDS.txt","Contig17710_43")</f>
        <v>Contig17710_43</v>
      </c>
      <c r="BX3" s="7">
        <v>1E-22</v>
      </c>
      <c r="BY3" s="6" t="s">
        <v>3298</v>
      </c>
      <c r="BZ3" s="6">
        <v>107</v>
      </c>
      <c r="CA3" s="6">
        <v>329</v>
      </c>
      <c r="CB3" s="6">
        <v>672</v>
      </c>
      <c r="CC3" s="6">
        <v>79</v>
      </c>
      <c r="CD3" s="6">
        <v>49</v>
      </c>
      <c r="CE3" s="6">
        <v>69</v>
      </c>
      <c r="CF3" s="6">
        <v>0</v>
      </c>
      <c r="CG3" s="6">
        <v>208</v>
      </c>
      <c r="CH3" s="6">
        <v>308</v>
      </c>
      <c r="CI3" s="6">
        <v>1</v>
      </c>
      <c r="CJ3" s="6" t="s">
        <v>54</v>
      </c>
      <c r="CK3" s="6" t="s">
        <v>3300</v>
      </c>
      <c r="CL3" s="6">
        <f>HYPERLINK(".\links\GO\TI_asb-562-GO.txt",0.047)</f>
        <v>4.7E-2</v>
      </c>
      <c r="CM3" s="6" t="s">
        <v>2141</v>
      </c>
      <c r="CN3" s="6" t="s">
        <v>185</v>
      </c>
      <c r="CO3" s="6" t="s">
        <v>222</v>
      </c>
      <c r="CP3" s="6" t="s">
        <v>2142</v>
      </c>
      <c r="CQ3" s="6">
        <v>4.7E-2</v>
      </c>
      <c r="CR3" s="6" t="s">
        <v>60</v>
      </c>
      <c r="CS3" s="6" t="s">
        <v>60</v>
      </c>
      <c r="CU3" s="6" t="s">
        <v>61</v>
      </c>
      <c r="CV3" s="6">
        <v>4.7E-2</v>
      </c>
      <c r="CW3" s="6" t="s">
        <v>881</v>
      </c>
      <c r="CX3" s="6" t="s">
        <v>185</v>
      </c>
      <c r="CY3" s="6" t="s">
        <v>222</v>
      </c>
      <c r="CZ3" s="6" t="s">
        <v>882</v>
      </c>
      <c r="DA3" s="6">
        <v>4.7E-2</v>
      </c>
      <c r="DB3" s="6" t="s">
        <v>56</v>
      </c>
      <c r="DC3" s="6" t="s">
        <v>56</v>
      </c>
      <c r="DD3" s="6" t="s">
        <v>56</v>
      </c>
      <c r="DE3" s="6" t="s">
        <v>56</v>
      </c>
      <c r="DF3" s="6" t="s">
        <v>56</v>
      </c>
      <c r="DG3" s="6" t="str">
        <f>HYPERLINK(".\links\PRK\TI_asb-562-PRK.txt","NADH dehydrogenase subunit 3")</f>
        <v>NADH dehydrogenase subunit 3</v>
      </c>
      <c r="DH3" s="6">
        <v>7.9000000000000001E-2</v>
      </c>
      <c r="DI3" s="6" t="str">
        <f>HYPERLINK(".\links\SMART\TI_asb-562-SMART.txt","PKS_KS")</f>
        <v>PKS_KS</v>
      </c>
      <c r="DJ3" s="6" t="str">
        <f>HYPERLINK("http://smart.embl-heidelberg.de/smart/do_annotation.pl?DOMAIN=PKS_KS&amp;BLAST=DUMMY","0.062")</f>
        <v>0.062</v>
      </c>
      <c r="DK3" s="6" t="s">
        <v>56</v>
      </c>
      <c r="DY3" s="6" t="s">
        <v>56</v>
      </c>
    </row>
    <row r="4" spans="1:142" s="6" customFormat="1">
      <c r="A4" s="6" t="str">
        <f>HYPERLINK(".\links\seq\TI_asb-262-seq.txt","TI_asb-262")</f>
        <v>TI_asb-262</v>
      </c>
      <c r="B4" s="6">
        <v>262</v>
      </c>
      <c r="C4" s="6" t="str">
        <f>HYPERLINK(".\links\tsa\TI_asb-262-tsa.txt","4")</f>
        <v>4</v>
      </c>
      <c r="D4" s="6">
        <v>4</v>
      </c>
      <c r="E4" s="6">
        <v>706</v>
      </c>
      <c r="G4" s="6" t="str">
        <f>HYPERLINK(".\links\qual\TI_asb-262-qual.txt","79")</f>
        <v>79</v>
      </c>
      <c r="H4" s="6">
        <v>3</v>
      </c>
      <c r="I4" s="6">
        <v>1</v>
      </c>
      <c r="J4" s="6">
        <f t="shared" si="0"/>
        <v>2</v>
      </c>
      <c r="K4" s="6" t="s">
        <v>3868</v>
      </c>
      <c r="L4" s="6" t="s">
        <v>3869</v>
      </c>
      <c r="P4" s="6">
        <v>706</v>
      </c>
      <c r="Q4" s="6">
        <v>645</v>
      </c>
      <c r="R4" s="6" t="s">
        <v>3630</v>
      </c>
      <c r="S4" s="6">
        <v>2</v>
      </c>
      <c r="T4" s="6" t="str">
        <f>HYPERLINK(".\links\NR-LIGHT\TI_asb-262-NR-LIGHT.txt","hypothetical protein")</f>
        <v>hypothetical protein</v>
      </c>
      <c r="U4" s="6" t="str">
        <f>HYPERLINK("http://www.ncbi.nlm.nih.gov/sutils/blink.cgi?pid=68063775","0.11")</f>
        <v>0.11</v>
      </c>
      <c r="V4" s="6" t="str">
        <f>HYPERLINK(".\links\NR-LIGHT\TI_asb-262-NR-LIGHT.txt"," 10")</f>
        <v xml:space="preserve"> 10</v>
      </c>
      <c r="W4" s="6" t="str">
        <f>HYPERLINK("http://www.ncbi.nlm.nih.gov/protein/68063775","gi|68063775")</f>
        <v>gi|68063775</v>
      </c>
      <c r="X4" s="6">
        <v>39.299999999999997</v>
      </c>
      <c r="Y4" s="6">
        <v>124</v>
      </c>
      <c r="Z4" s="6">
        <v>581</v>
      </c>
      <c r="AA4" s="6">
        <v>27</v>
      </c>
      <c r="AB4" s="6">
        <v>21</v>
      </c>
      <c r="AC4" s="6">
        <v>90</v>
      </c>
      <c r="AD4" s="6">
        <v>5</v>
      </c>
      <c r="AE4" s="6">
        <v>58</v>
      </c>
      <c r="AF4" s="6">
        <v>329</v>
      </c>
      <c r="AG4" s="6">
        <v>1</v>
      </c>
      <c r="AH4" s="6">
        <v>2</v>
      </c>
      <c r="AI4" s="6" t="s">
        <v>53</v>
      </c>
      <c r="AJ4" s="6" t="s">
        <v>54</v>
      </c>
      <c r="AK4" s="6" t="s">
        <v>1117</v>
      </c>
      <c r="AL4" s="6" t="str">
        <f>HYPERLINK(".\links\SWISSP\TI_asb-262-SWISSP.txt","PAB-dependent poly(A)-specific ribonuclease subunit PAN2 OS=Candida albicans")</f>
        <v>PAB-dependent poly(A)-specific ribonuclease subunit PAN2 OS=Candida albicans</v>
      </c>
      <c r="AM4" s="6" t="str">
        <f>HYPERLINK("http://www.uniprot.org/uniprot/Q5APK0","0.13")</f>
        <v>0.13</v>
      </c>
      <c r="AN4" s="6" t="str">
        <f>HYPERLINK(".\links\SWISSP\TI_asb-262-SWISSP.txt"," 9")</f>
        <v xml:space="preserve"> 9</v>
      </c>
      <c r="AO4" s="6" t="s">
        <v>1652</v>
      </c>
      <c r="AP4" s="6">
        <v>37</v>
      </c>
      <c r="AQ4" s="6">
        <v>79</v>
      </c>
      <c r="AR4" s="6">
        <v>1190</v>
      </c>
      <c r="AS4" s="6">
        <v>25</v>
      </c>
      <c r="AT4" s="6">
        <v>7</v>
      </c>
      <c r="AU4" s="6">
        <v>59</v>
      </c>
      <c r="AV4" s="6">
        <v>0</v>
      </c>
      <c r="AW4" s="6">
        <v>346</v>
      </c>
      <c r="AX4" s="6">
        <v>170</v>
      </c>
      <c r="AY4" s="6">
        <v>1</v>
      </c>
      <c r="AZ4" s="6">
        <v>2</v>
      </c>
      <c r="BA4" s="6" t="s">
        <v>53</v>
      </c>
      <c r="BB4" s="6" t="s">
        <v>54</v>
      </c>
      <c r="BC4" s="6" t="s">
        <v>1653</v>
      </c>
      <c r="BD4" s="6" t="s">
        <v>1654</v>
      </c>
      <c r="BE4" s="6" t="s">
        <v>1655</v>
      </c>
      <c r="BF4" s="6" t="str">
        <f>HYPERLINK(".\links\PREV-RHOD-PEP\TI_asb-262-PREV-RHOD-PEP.txt","Contig17963_38")</f>
        <v>Contig17963_38</v>
      </c>
      <c r="BG4" s="7">
        <v>2.0000000000000001E-63</v>
      </c>
      <c r="BH4" s="6" t="str">
        <f>HYPERLINK(".\links\PREV-RHOD-PEP\TI_asb-262-PREV-RHOD-PEP.txt"," 10")</f>
        <v xml:space="preserve"> 10</v>
      </c>
      <c r="BI4" s="6" t="s">
        <v>1656</v>
      </c>
      <c r="BJ4" s="6">
        <v>238</v>
      </c>
      <c r="BK4" s="6">
        <v>210</v>
      </c>
      <c r="BL4" s="6">
        <v>238</v>
      </c>
      <c r="BM4" s="6">
        <v>55</v>
      </c>
      <c r="BN4" s="6">
        <v>88</v>
      </c>
      <c r="BO4" s="6">
        <v>94</v>
      </c>
      <c r="BP4" s="6">
        <v>4</v>
      </c>
      <c r="BQ4" s="6">
        <v>4</v>
      </c>
      <c r="BR4" s="6">
        <v>86</v>
      </c>
      <c r="BS4" s="6">
        <v>1</v>
      </c>
      <c r="BT4" s="6" t="s">
        <v>54</v>
      </c>
      <c r="BU4" s="6" t="s">
        <v>1657</v>
      </c>
      <c r="BV4" s="6" t="s">
        <v>56</v>
      </c>
      <c r="BW4" s="6" t="str">
        <f>HYPERLINK(".\links\PREV-RHOD-CDS\TI_asb-262-PREV-RHOD-CDS.txt","Contig17963_38")</f>
        <v>Contig17963_38</v>
      </c>
      <c r="BX4" s="7">
        <v>6E-9</v>
      </c>
      <c r="BY4" s="6" t="s">
        <v>1656</v>
      </c>
      <c r="BZ4" s="6">
        <v>61.9</v>
      </c>
      <c r="CA4" s="6">
        <v>90</v>
      </c>
      <c r="CB4" s="6">
        <v>717</v>
      </c>
      <c r="CC4" s="6">
        <v>83</v>
      </c>
      <c r="CD4" s="6">
        <v>13</v>
      </c>
      <c r="CE4" s="6">
        <v>15</v>
      </c>
      <c r="CF4" s="6">
        <v>0</v>
      </c>
      <c r="CG4" s="6">
        <v>87</v>
      </c>
      <c r="CH4" s="6">
        <v>154</v>
      </c>
      <c r="CI4" s="6">
        <v>1</v>
      </c>
      <c r="CJ4" s="6" t="s">
        <v>54</v>
      </c>
      <c r="CK4" s="6" t="s">
        <v>1658</v>
      </c>
      <c r="CL4" s="6">
        <f>HYPERLINK(".\links\GO\TI_asb-262-GO.txt",2)</f>
        <v>2</v>
      </c>
      <c r="CM4" s="6" t="s">
        <v>58</v>
      </c>
      <c r="CN4" s="6" t="s">
        <v>58</v>
      </c>
      <c r="CP4" s="6" t="s">
        <v>59</v>
      </c>
      <c r="CQ4" s="6">
        <v>2</v>
      </c>
      <c r="CR4" s="6" t="s">
        <v>60</v>
      </c>
      <c r="CS4" s="6" t="s">
        <v>60</v>
      </c>
      <c r="CU4" s="6" t="s">
        <v>61</v>
      </c>
      <c r="CV4" s="6">
        <v>2</v>
      </c>
      <c r="CW4" s="6" t="s">
        <v>62</v>
      </c>
      <c r="CX4" s="6" t="s">
        <v>58</v>
      </c>
      <c r="CZ4" s="6" t="s">
        <v>63</v>
      </c>
      <c r="DA4" s="6">
        <v>2</v>
      </c>
      <c r="DB4" s="6" t="str">
        <f>HYPERLINK(".\links\CDD\TI_asb-262-CDD.txt","JHBP")</f>
        <v>JHBP</v>
      </c>
      <c r="DC4" s="6" t="str">
        <f>HYPERLINK("http://www.ncbi.nlm.nih.gov/Structure/cdd/cddsrv.cgi?uid=smart00700&amp;version=v4.0","0.066")</f>
        <v>0.066</v>
      </c>
      <c r="DD4" s="6" t="s">
        <v>1659</v>
      </c>
      <c r="DE4" s="6" t="str">
        <f>HYPERLINK(".\links\PFAM\TI_asb-262-PFAM.txt","DUF161")</f>
        <v>DUF161</v>
      </c>
      <c r="DF4" s="6" t="str">
        <f>HYPERLINK("http://pfam.sanger.ac.uk/family?acc=PF02588","0.022")</f>
        <v>0.022</v>
      </c>
      <c r="DG4" s="6" t="s">
        <v>56</v>
      </c>
      <c r="DH4" s="6" t="s">
        <v>56</v>
      </c>
      <c r="DI4" s="6" t="str">
        <f>HYPERLINK(".\links\SMART\TI_asb-262-SMART.txt","JHBP")</f>
        <v>JHBP</v>
      </c>
      <c r="DJ4" s="6" t="str">
        <f>HYPERLINK("http://smart.embl-heidelberg.de/smart/do_annotation.pl?DOMAIN=JHBP&amp;BLAST=DUMMY","7E-004")</f>
        <v>7E-004</v>
      </c>
      <c r="DK4" s="6" t="s">
        <v>56</v>
      </c>
      <c r="DY4" s="6" t="s">
        <v>56</v>
      </c>
    </row>
    <row r="5" spans="1:142" s="6" customFormat="1">
      <c r="A5" s="6" t="str">
        <f>HYPERLINK(".\links\seq\TI_asb-86-seq.txt","TI_asb-86")</f>
        <v>TI_asb-86</v>
      </c>
      <c r="B5" s="6">
        <v>86</v>
      </c>
      <c r="C5" s="6" t="str">
        <f>HYPERLINK(".\links\tsa\TI_asb-86-tsa.txt","1")</f>
        <v>1</v>
      </c>
      <c r="D5" s="6">
        <v>1</v>
      </c>
      <c r="E5" s="6">
        <v>782</v>
      </c>
      <c r="F5" s="6">
        <v>764</v>
      </c>
      <c r="G5" s="6" t="str">
        <f>HYPERLINK(".\links\qual\TI_asb-86-qual.txt","39")</f>
        <v>39</v>
      </c>
      <c r="H5" s="6">
        <v>1</v>
      </c>
      <c r="I5" s="6">
        <v>0</v>
      </c>
      <c r="J5" s="6">
        <f t="shared" si="0"/>
        <v>1</v>
      </c>
      <c r="K5" s="6" t="s">
        <v>3868</v>
      </c>
      <c r="L5" s="6" t="s">
        <v>3869</v>
      </c>
      <c r="P5" s="6">
        <v>782</v>
      </c>
      <c r="Q5" s="6">
        <v>765</v>
      </c>
      <c r="R5" s="6" t="s">
        <v>3529</v>
      </c>
      <c r="S5" s="6">
        <v>1</v>
      </c>
      <c r="T5" s="6" t="str">
        <f>HYPERLINK(".\links\NR-LIGHT\TI_asb-86-NR-LIGHT.txt","hypothetical protein")</f>
        <v>hypothetical protein</v>
      </c>
      <c r="U5" s="6" t="str">
        <f>HYPERLINK("http://www.ncbi.nlm.nih.gov/sutils/blink.cgi?pid=156549214","6E-006")</f>
        <v>6E-006</v>
      </c>
      <c r="V5" s="6" t="str">
        <f>HYPERLINK(".\links\NR-LIGHT\TI_asb-86-NR-LIGHT.txt"," 10")</f>
        <v xml:space="preserve"> 10</v>
      </c>
      <c r="W5" s="6" t="str">
        <f>HYPERLINK("http://www.ncbi.nlm.nih.gov/protein/156549214","gi|156549214")</f>
        <v>gi|156549214</v>
      </c>
      <c r="X5" s="6">
        <v>45.4</v>
      </c>
      <c r="Y5" s="6">
        <v>118</v>
      </c>
      <c r="Z5" s="6">
        <v>144</v>
      </c>
      <c r="AA5" s="6">
        <v>31</v>
      </c>
      <c r="AB5" s="6">
        <v>82</v>
      </c>
      <c r="AC5" s="6">
        <v>81</v>
      </c>
      <c r="AD5" s="6">
        <v>7</v>
      </c>
      <c r="AE5" s="6">
        <v>21</v>
      </c>
      <c r="AF5" s="6">
        <v>295</v>
      </c>
      <c r="AG5" s="6">
        <v>2</v>
      </c>
      <c r="AH5" s="6">
        <v>1</v>
      </c>
      <c r="AI5" s="6" t="s">
        <v>65</v>
      </c>
      <c r="AJ5" s="6" t="s">
        <v>54</v>
      </c>
      <c r="AK5" s="6" t="s">
        <v>66</v>
      </c>
      <c r="AL5" s="6" t="str">
        <f>HYPERLINK(".\links\SWISSP\TI_asb-86-SWISSP.txt","Microtubule-associated protein Jupiter OS=Drosophila melanogaster GN=Jupiter")</f>
        <v>Microtubule-associated protein Jupiter OS=Drosophila melanogaster GN=Jupiter</v>
      </c>
      <c r="AM5" s="6" t="str">
        <f>HYPERLINK("http://www.uniprot.org/uniprot/Q9I7K0","6E-005")</f>
        <v>6E-005</v>
      </c>
      <c r="AN5" s="6" t="str">
        <f>HYPERLINK(".\links\SWISSP\TI_asb-86-SWISSP.txt"," 10")</f>
        <v xml:space="preserve"> 10</v>
      </c>
      <c r="AO5" s="6" t="s">
        <v>664</v>
      </c>
      <c r="AP5" s="6">
        <v>48.1</v>
      </c>
      <c r="AQ5" s="6">
        <v>51</v>
      </c>
      <c r="AR5" s="6">
        <v>208</v>
      </c>
      <c r="AS5" s="6">
        <v>45</v>
      </c>
      <c r="AT5" s="6">
        <v>25</v>
      </c>
      <c r="AU5" s="6">
        <v>28</v>
      </c>
      <c r="AV5" s="6">
        <v>0</v>
      </c>
      <c r="AW5" s="6">
        <v>21</v>
      </c>
      <c r="AX5" s="6">
        <v>295</v>
      </c>
      <c r="AY5" s="6">
        <v>1</v>
      </c>
      <c r="AZ5" s="6">
        <v>1</v>
      </c>
      <c r="BA5" s="6" t="s">
        <v>53</v>
      </c>
      <c r="BB5" s="6" t="s">
        <v>54</v>
      </c>
      <c r="BC5" s="6" t="s">
        <v>143</v>
      </c>
      <c r="BD5" s="6" t="s">
        <v>665</v>
      </c>
      <c r="BE5" s="6" t="s">
        <v>666</v>
      </c>
      <c r="BF5" s="6" t="str">
        <f>HYPERLINK(".\links\PREV-RHOD-PEP\TI_asb-86-PREV-RHOD-PEP.txt","Contig17848_93")</f>
        <v>Contig17848_93</v>
      </c>
      <c r="BG5" s="7">
        <v>3.0000000000000001E-26</v>
      </c>
      <c r="BH5" s="6" t="str">
        <f>HYPERLINK(".\links\PREV-RHOD-PEP\TI_asb-86-PREV-RHOD-PEP.txt"," 10")</f>
        <v xml:space="preserve"> 10</v>
      </c>
      <c r="BI5" s="6" t="s">
        <v>667</v>
      </c>
      <c r="BJ5" s="6">
        <v>107</v>
      </c>
      <c r="BK5" s="6">
        <v>157</v>
      </c>
      <c r="BL5" s="6">
        <v>178</v>
      </c>
      <c r="BM5" s="6">
        <v>44</v>
      </c>
      <c r="BN5" s="6">
        <v>88</v>
      </c>
      <c r="BO5" s="6">
        <v>87</v>
      </c>
      <c r="BP5" s="6">
        <v>50</v>
      </c>
      <c r="BQ5" s="6">
        <v>8</v>
      </c>
      <c r="BR5" s="6">
        <v>298</v>
      </c>
      <c r="BS5" s="6">
        <v>2</v>
      </c>
      <c r="BT5" s="6" t="s">
        <v>54</v>
      </c>
      <c r="BU5" s="6" t="s">
        <v>668</v>
      </c>
      <c r="BV5" s="6" t="s">
        <v>669</v>
      </c>
      <c r="BW5" s="6" t="str">
        <f>HYPERLINK(".\links\PREV-RHOD-CDS\TI_asb-86-PREV-RHOD-CDS.txt","Contig17848_93")</f>
        <v>Contig17848_93</v>
      </c>
      <c r="BX5" s="7">
        <v>4.9999999999999999E-13</v>
      </c>
      <c r="BY5" s="6" t="s">
        <v>667</v>
      </c>
      <c r="BZ5" s="6">
        <v>75.8</v>
      </c>
      <c r="CA5" s="6">
        <v>304</v>
      </c>
      <c r="CB5" s="6">
        <v>537</v>
      </c>
      <c r="CC5" s="6">
        <v>100</v>
      </c>
      <c r="CD5" s="6">
        <v>57</v>
      </c>
      <c r="CE5" s="6">
        <v>0</v>
      </c>
      <c r="CF5" s="6">
        <v>0</v>
      </c>
      <c r="CG5" s="6">
        <v>106</v>
      </c>
      <c r="CH5" s="6">
        <v>379</v>
      </c>
      <c r="CI5" s="6">
        <v>2</v>
      </c>
      <c r="CJ5" s="6" t="s">
        <v>54</v>
      </c>
      <c r="CK5" s="6" t="s">
        <v>670</v>
      </c>
      <c r="CL5" s="6">
        <f>HYPERLINK(".\links\GO\TI_asb-86-GO.txt",0.001)</f>
        <v>1E-3</v>
      </c>
      <c r="CM5" s="6" t="s">
        <v>58</v>
      </c>
      <c r="CN5" s="6" t="s">
        <v>58</v>
      </c>
      <c r="CP5" s="6" t="s">
        <v>59</v>
      </c>
      <c r="CQ5" s="6">
        <v>1E-3</v>
      </c>
      <c r="CR5" s="6" t="s">
        <v>60</v>
      </c>
      <c r="CS5" s="6" t="s">
        <v>60</v>
      </c>
      <c r="CU5" s="6" t="s">
        <v>61</v>
      </c>
      <c r="CV5" s="6">
        <v>1E-3</v>
      </c>
      <c r="CW5" s="6" t="s">
        <v>62</v>
      </c>
      <c r="CX5" s="6" t="s">
        <v>58</v>
      </c>
      <c r="CZ5" s="6" t="s">
        <v>63</v>
      </c>
      <c r="DA5" s="6">
        <v>1E-3</v>
      </c>
      <c r="DB5" s="6" t="s">
        <v>56</v>
      </c>
      <c r="DC5" s="6" t="s">
        <v>56</v>
      </c>
      <c r="DD5" s="6" t="s">
        <v>56</v>
      </c>
      <c r="DE5" s="6" t="s">
        <v>56</v>
      </c>
      <c r="DF5" s="6" t="s">
        <v>56</v>
      </c>
      <c r="DG5" s="6" t="str">
        <f>HYPERLINK(".\links\PRK\TI_asb-86-PRK.txt","NAD kinase.")</f>
        <v>NAD kinase.</v>
      </c>
      <c r="DH5" s="6">
        <v>1.2999999999999999E-2</v>
      </c>
      <c r="DI5" s="6" t="s">
        <v>56</v>
      </c>
      <c r="DJ5" s="6" t="s">
        <v>56</v>
      </c>
      <c r="DK5" s="6" t="s">
        <v>56</v>
      </c>
      <c r="DY5" s="6" t="s">
        <v>56</v>
      </c>
    </row>
    <row r="6" spans="1:142" s="6" customFormat="1">
      <c r="A6" s="6" t="str">
        <f>HYPERLINK(".\links\seq\TI_asb-424-seq.txt","TI_asb-424")</f>
        <v>TI_asb-424</v>
      </c>
      <c r="B6" s="6">
        <v>424</v>
      </c>
      <c r="C6" s="6" t="str">
        <f>HYPERLINK(".\links\tsa\TI_asb-424-tsa.txt","6")</f>
        <v>6</v>
      </c>
      <c r="D6" s="6">
        <v>6</v>
      </c>
      <c r="E6" s="6">
        <v>607</v>
      </c>
      <c r="F6" s="6">
        <v>575</v>
      </c>
      <c r="G6" s="6" t="str">
        <f>HYPERLINK(".\links\qual\TI_asb-424-qual.txt","91")</f>
        <v>91</v>
      </c>
      <c r="H6" s="6">
        <v>2</v>
      </c>
      <c r="I6" s="6">
        <v>4</v>
      </c>
      <c r="J6" s="6">
        <f t="shared" si="0"/>
        <v>2</v>
      </c>
      <c r="K6" s="6" t="s">
        <v>3868</v>
      </c>
      <c r="L6" s="6" t="s">
        <v>3869</v>
      </c>
      <c r="P6" s="6">
        <v>607</v>
      </c>
      <c r="Q6" s="6">
        <v>357</v>
      </c>
      <c r="R6" s="6" t="s">
        <v>3734</v>
      </c>
      <c r="S6" s="6">
        <v>2</v>
      </c>
      <c r="T6" s="6" t="str">
        <f>HYPERLINK(".\links\NR-LIGHT\TI_asb-424-NR-LIGHT.txt","hypothetical protein")</f>
        <v>hypothetical protein</v>
      </c>
      <c r="U6" s="6" t="str">
        <f>HYPERLINK("http://www.ncbi.nlm.nih.gov/sutils/blink.cgi?pid=189240937","0.021")</f>
        <v>0.021</v>
      </c>
      <c r="V6" s="6" t="str">
        <f>HYPERLINK(".\links\NR-LIGHT\TI_asb-424-NR-LIGHT.txt"," 10")</f>
        <v xml:space="preserve"> 10</v>
      </c>
      <c r="W6" s="6" t="str">
        <f>HYPERLINK("http://www.ncbi.nlm.nih.gov/protein/189240937","gi|189240937")</f>
        <v>gi|189240937</v>
      </c>
      <c r="X6" s="6">
        <v>41.2</v>
      </c>
      <c r="Y6" s="6">
        <v>83</v>
      </c>
      <c r="Z6" s="6">
        <v>104</v>
      </c>
      <c r="AA6" s="6">
        <v>28</v>
      </c>
      <c r="AB6" s="6">
        <v>80</v>
      </c>
      <c r="AC6" s="6">
        <v>59</v>
      </c>
      <c r="AD6" s="6">
        <v>0</v>
      </c>
      <c r="AE6" s="6">
        <v>22</v>
      </c>
      <c r="AF6" s="6">
        <v>119</v>
      </c>
      <c r="AG6" s="6">
        <v>1</v>
      </c>
      <c r="AH6" s="6">
        <v>2</v>
      </c>
      <c r="AI6" s="6" t="s">
        <v>53</v>
      </c>
      <c r="AJ6" s="6" t="s">
        <v>54</v>
      </c>
      <c r="AK6" s="6" t="s">
        <v>79</v>
      </c>
      <c r="AL6" s="6" t="str">
        <f>HYPERLINK(".\links\SWISSP\TI_asb-424-SWISSP.txt","Fungal protease inhibitor-1 OS=Antheraea mylitta GN=fpi-1 PE=1 SV=1")</f>
        <v>Fungal protease inhibitor-1 OS=Antheraea mylitta GN=fpi-1 PE=1 SV=1</v>
      </c>
      <c r="AM6" s="6" t="str">
        <f>HYPERLINK("http://www.uniprot.org/uniprot/B0JFB8","0.27")</f>
        <v>0.27</v>
      </c>
      <c r="AN6" s="6" t="str">
        <f>HYPERLINK(".\links\SWISSP\TI_asb-424-SWISSP.txt"," 10")</f>
        <v xml:space="preserve"> 10</v>
      </c>
      <c r="AO6" s="6" t="s">
        <v>2530</v>
      </c>
      <c r="AP6" s="6">
        <v>35.4</v>
      </c>
      <c r="AQ6" s="6">
        <v>84</v>
      </c>
      <c r="AR6" s="6">
        <v>105</v>
      </c>
      <c r="AS6" s="6">
        <v>21</v>
      </c>
      <c r="AT6" s="6">
        <v>80</v>
      </c>
      <c r="AU6" s="6">
        <v>66</v>
      </c>
      <c r="AV6" s="6">
        <v>6</v>
      </c>
      <c r="AW6" s="6">
        <v>21</v>
      </c>
      <c r="AX6" s="6">
        <v>119</v>
      </c>
      <c r="AY6" s="6">
        <v>1</v>
      </c>
      <c r="AZ6" s="6">
        <v>2</v>
      </c>
      <c r="BA6" s="6" t="s">
        <v>53</v>
      </c>
      <c r="BB6" s="6" t="s">
        <v>54</v>
      </c>
      <c r="BC6" s="6" t="s">
        <v>2531</v>
      </c>
      <c r="BD6" s="6" t="s">
        <v>2532</v>
      </c>
      <c r="BE6" s="6" t="s">
        <v>2533</v>
      </c>
      <c r="BF6" s="6" t="str">
        <f>HYPERLINK(".\links\PREV-RHOD-PEP\TI_asb-424-PREV-RHOD-PEP.txt","Contig17970_431")</f>
        <v>Contig17970_431</v>
      </c>
      <c r="BG6" s="7">
        <v>4.0000000000000003E-17</v>
      </c>
      <c r="BH6" s="6" t="str">
        <f>HYPERLINK(".\links\PREV-RHOD-PEP\TI_asb-424-PREV-RHOD-PEP.txt"," 6")</f>
        <v xml:space="preserve"> 6</v>
      </c>
      <c r="BI6" s="6" t="s">
        <v>2534</v>
      </c>
      <c r="BJ6" s="6">
        <v>84</v>
      </c>
      <c r="BK6" s="6">
        <v>82</v>
      </c>
      <c r="BL6" s="6">
        <v>102</v>
      </c>
      <c r="BM6" s="6">
        <v>42</v>
      </c>
      <c r="BN6" s="6">
        <v>80</v>
      </c>
      <c r="BO6" s="6">
        <v>47</v>
      </c>
      <c r="BP6" s="6">
        <v>0</v>
      </c>
      <c r="BQ6" s="6">
        <v>19</v>
      </c>
      <c r="BR6" s="6">
        <v>113</v>
      </c>
      <c r="BS6" s="6">
        <v>1</v>
      </c>
      <c r="BT6" s="6" t="s">
        <v>54</v>
      </c>
      <c r="BU6" s="6" t="s">
        <v>2535</v>
      </c>
      <c r="BV6" s="6" t="s">
        <v>56</v>
      </c>
      <c r="BW6" s="6" t="str">
        <f>HYPERLINK(".\links\PREV-RHOD-CDS\TI_asb-424-PREV-RHOD-CDS.txt","Contig16317_1")</f>
        <v>Contig16317_1</v>
      </c>
      <c r="BX6" s="6">
        <v>1.2</v>
      </c>
      <c r="BY6" s="6" t="s">
        <v>2536</v>
      </c>
      <c r="BZ6" s="6">
        <v>34.200000000000003</v>
      </c>
      <c r="CA6" s="6">
        <v>16</v>
      </c>
      <c r="CB6" s="6">
        <v>543</v>
      </c>
      <c r="CC6" s="6">
        <v>100</v>
      </c>
      <c r="CD6" s="6">
        <v>3</v>
      </c>
      <c r="CE6" s="6">
        <v>0</v>
      </c>
      <c r="CF6" s="6">
        <v>0</v>
      </c>
      <c r="CG6" s="6">
        <v>506</v>
      </c>
      <c r="CH6" s="6">
        <v>162</v>
      </c>
      <c r="CI6" s="6">
        <v>1</v>
      </c>
      <c r="CJ6" s="6" t="s">
        <v>54</v>
      </c>
      <c r="CK6" s="6" t="s">
        <v>2537</v>
      </c>
      <c r="CL6" s="6">
        <f>HYPERLINK(".\links\GO\TI_asb-424-GO.txt",0.4)</f>
        <v>0.4</v>
      </c>
      <c r="CM6" s="6" t="s">
        <v>58</v>
      </c>
      <c r="CN6" s="6" t="s">
        <v>58</v>
      </c>
      <c r="CP6" s="6" t="s">
        <v>59</v>
      </c>
      <c r="CQ6" s="6">
        <v>0.88</v>
      </c>
      <c r="CR6" s="6" t="s">
        <v>60</v>
      </c>
      <c r="CS6" s="6" t="s">
        <v>60</v>
      </c>
      <c r="CU6" s="6" t="s">
        <v>61</v>
      </c>
      <c r="CV6" s="6">
        <v>0.88</v>
      </c>
      <c r="CW6" s="6" t="s">
        <v>62</v>
      </c>
      <c r="CX6" s="6" t="s">
        <v>58</v>
      </c>
      <c r="CZ6" s="6" t="s">
        <v>63</v>
      </c>
      <c r="DA6" s="6">
        <v>0.88</v>
      </c>
      <c r="DB6" s="6" t="s">
        <v>56</v>
      </c>
      <c r="DC6" s="6" t="s">
        <v>56</v>
      </c>
      <c r="DD6" s="6" t="s">
        <v>56</v>
      </c>
      <c r="DE6" s="6" t="str">
        <f>HYPERLINK(".\links\PFAM\TI_asb-424-PFAM.txt","Innexin")</f>
        <v>Innexin</v>
      </c>
      <c r="DF6" s="6" t="str">
        <f>HYPERLINK("http://pfam.sanger.ac.uk/family?acc=PF00876","0.016")</f>
        <v>0.016</v>
      </c>
      <c r="DG6" s="6" t="str">
        <f>HYPERLINK(".\links\PRK\TI_asb-424-PRK.txt","NADH dehydrogenase subunit 4")</f>
        <v>NADH dehydrogenase subunit 4</v>
      </c>
      <c r="DH6" s="6">
        <v>8.9999999999999993E-3</v>
      </c>
      <c r="DI6" s="6" t="str">
        <f>HYPERLINK(".\links\SMART\TI_asb-424-SMART.txt","IB")</f>
        <v>IB</v>
      </c>
      <c r="DJ6" s="6" t="str">
        <f>HYPERLINK("http://smart.embl-heidelberg.de/smart/do_annotation.pl?DOMAIN=IB&amp;BLAST=DUMMY","0.042")</f>
        <v>0.042</v>
      </c>
      <c r="DK6" s="6" t="s">
        <v>56</v>
      </c>
      <c r="DY6" s="6" t="s">
        <v>56</v>
      </c>
    </row>
    <row r="7" spans="1:142" s="6" customFormat="1">
      <c r="A7" s="6" t="str">
        <f>HYPERLINK(".\links\seq\TI_asb-512-seq.txt","TI_asb-512")</f>
        <v>TI_asb-512</v>
      </c>
      <c r="B7" s="6">
        <v>512</v>
      </c>
      <c r="C7" s="6" t="str">
        <f>HYPERLINK(".\links\tsa\TI_asb-512-tsa.txt","1")</f>
        <v>1</v>
      </c>
      <c r="D7" s="6">
        <v>1</v>
      </c>
      <c r="E7" s="6">
        <v>559</v>
      </c>
      <c r="G7" s="6" t="str">
        <f>HYPERLINK(".\links\qual\TI_asb-512-qual.txt","45")</f>
        <v>45</v>
      </c>
      <c r="H7" s="6">
        <v>0</v>
      </c>
      <c r="I7" s="6">
        <v>1</v>
      </c>
      <c r="J7" s="6">
        <f t="shared" si="0"/>
        <v>1</v>
      </c>
      <c r="K7" s="6" t="s">
        <v>3868</v>
      </c>
      <c r="L7" s="6" t="s">
        <v>3869</v>
      </c>
      <c r="P7" s="6">
        <v>559</v>
      </c>
      <c r="Q7" s="6">
        <v>552</v>
      </c>
      <c r="R7" s="6" t="s">
        <v>3793</v>
      </c>
      <c r="S7" s="6">
        <v>3</v>
      </c>
      <c r="T7" s="6" t="str">
        <f>HYPERLINK(".\links\NR-LIGHT\TI_asb-512-NR-LIGHT.txt","hypothetical protein TcasGA2_TC013968")</f>
        <v>hypothetical protein TcasGA2_TC013968</v>
      </c>
      <c r="U7" s="6" t="str">
        <f>HYPERLINK("http://www.ncbi.nlm.nih.gov/sutils/blink.cgi?pid=270007404","0.25")</f>
        <v>0.25</v>
      </c>
      <c r="V7" s="6" t="str">
        <f>HYPERLINK(".\links\NR-LIGHT\TI_asb-512-NR-LIGHT.txt"," 9")</f>
        <v xml:space="preserve"> 9</v>
      </c>
      <c r="W7" s="6" t="str">
        <f>HYPERLINK("http://www.ncbi.nlm.nih.gov/protein/270007404","gi|270007404")</f>
        <v>gi|270007404</v>
      </c>
      <c r="X7" s="6">
        <v>37.4</v>
      </c>
      <c r="Y7" s="6">
        <v>106</v>
      </c>
      <c r="Z7" s="6">
        <v>280</v>
      </c>
      <c r="AA7" s="6">
        <v>24</v>
      </c>
      <c r="AB7" s="6">
        <v>38</v>
      </c>
      <c r="AC7" s="6">
        <v>80</v>
      </c>
      <c r="AD7" s="6">
        <v>4</v>
      </c>
      <c r="AE7" s="6">
        <v>68</v>
      </c>
      <c r="AF7" s="6">
        <v>243</v>
      </c>
      <c r="AG7" s="6">
        <v>1</v>
      </c>
      <c r="AH7" s="6">
        <v>3</v>
      </c>
      <c r="AI7" s="6" t="s">
        <v>53</v>
      </c>
      <c r="AJ7" s="6" t="s">
        <v>54</v>
      </c>
      <c r="AK7" s="6" t="s">
        <v>79</v>
      </c>
      <c r="AL7" s="6" t="str">
        <f>HYPERLINK(".\links\SWISSP\TI_asb-512-SWISSP.txt","Putative ATP-dependent RNA helicase D1133L OS=African swine fever virus (isolate")</f>
        <v>Putative ATP-dependent RNA helicase D1133L OS=African swine fever virus (isolate</v>
      </c>
      <c r="AM7" s="6" t="str">
        <f>HYPERLINK("http://www.uniprot.org/uniprot/P0C9A6","0.67")</f>
        <v>0.67</v>
      </c>
      <c r="AN7" s="6" t="str">
        <f>HYPERLINK(".\links\SWISSP\TI_asb-512-SWISSP.txt"," 10")</f>
        <v xml:space="preserve"> 10</v>
      </c>
      <c r="AO7" s="6" t="s">
        <v>3020</v>
      </c>
      <c r="AP7" s="6">
        <v>33.9</v>
      </c>
      <c r="AQ7" s="6">
        <v>64</v>
      </c>
      <c r="AR7" s="6">
        <v>1133</v>
      </c>
      <c r="AS7" s="6">
        <v>32</v>
      </c>
      <c r="AT7" s="6">
        <v>6</v>
      </c>
      <c r="AU7" s="6">
        <v>43</v>
      </c>
      <c r="AV7" s="6">
        <v>1</v>
      </c>
      <c r="AW7" s="6">
        <v>924</v>
      </c>
      <c r="AX7" s="6">
        <v>198</v>
      </c>
      <c r="AY7" s="6">
        <v>1</v>
      </c>
      <c r="AZ7" s="6">
        <v>3</v>
      </c>
      <c r="BA7" s="6" t="s">
        <v>53</v>
      </c>
      <c r="BB7" s="6" t="s">
        <v>54</v>
      </c>
      <c r="BC7" s="6" t="s">
        <v>3021</v>
      </c>
      <c r="BD7" s="6" t="s">
        <v>3022</v>
      </c>
      <c r="BE7" s="6" t="s">
        <v>3023</v>
      </c>
      <c r="BF7" s="6" t="str">
        <f>HYPERLINK(".\links\PREV-RHOD-PEP\TI_asb-512-PREV-RHOD-PEP.txt","Contig17934_11")</f>
        <v>Contig17934_11</v>
      </c>
      <c r="BG7" s="7">
        <v>3.9999999999999998E-44</v>
      </c>
      <c r="BH7" s="6" t="str">
        <f>HYPERLINK(".\links\PREV-RHOD-PEP\TI_asb-512-PREV-RHOD-PEP.txt"," 9")</f>
        <v xml:space="preserve"> 9</v>
      </c>
      <c r="BI7" s="6" t="s">
        <v>1492</v>
      </c>
      <c r="BJ7" s="6">
        <v>173</v>
      </c>
      <c r="BK7" s="6">
        <v>180</v>
      </c>
      <c r="BL7" s="6">
        <v>269</v>
      </c>
      <c r="BM7" s="6">
        <v>50</v>
      </c>
      <c r="BN7" s="6">
        <v>67</v>
      </c>
      <c r="BO7" s="6">
        <v>90</v>
      </c>
      <c r="BP7" s="6">
        <v>0</v>
      </c>
      <c r="BQ7" s="6">
        <v>1</v>
      </c>
      <c r="BR7" s="6">
        <v>18</v>
      </c>
      <c r="BS7" s="6">
        <v>1</v>
      </c>
      <c r="BT7" s="6" t="s">
        <v>54</v>
      </c>
      <c r="BU7" s="6" t="s">
        <v>3024</v>
      </c>
      <c r="BV7" s="6" t="s">
        <v>439</v>
      </c>
      <c r="BW7" s="6" t="str">
        <f>HYPERLINK(".\links\PREV-RHOD-CDS\TI_asb-512-PREV-RHOD-CDS.txt","Contig17934_11")</f>
        <v>Contig17934_11</v>
      </c>
      <c r="BX7" s="6">
        <v>4.0000000000000001E-3</v>
      </c>
      <c r="BY7" s="6" t="s">
        <v>1492</v>
      </c>
      <c r="BZ7" s="6">
        <v>42.1</v>
      </c>
      <c r="CA7" s="6">
        <v>64</v>
      </c>
      <c r="CB7" s="6">
        <v>810</v>
      </c>
      <c r="CC7" s="6">
        <v>83</v>
      </c>
      <c r="CD7" s="6">
        <v>8</v>
      </c>
      <c r="CE7" s="6">
        <v>11</v>
      </c>
      <c r="CF7" s="6">
        <v>0</v>
      </c>
      <c r="CG7" s="6">
        <v>208</v>
      </c>
      <c r="CH7" s="6">
        <v>225</v>
      </c>
      <c r="CI7" s="6">
        <v>1</v>
      </c>
      <c r="CJ7" s="6" t="s">
        <v>54</v>
      </c>
      <c r="CK7" s="6" t="s">
        <v>3025</v>
      </c>
      <c r="CL7" s="6">
        <f>HYPERLINK(".\links\GO\TI_asb-512-GO.txt",2.9)</f>
        <v>2.9</v>
      </c>
      <c r="CM7" s="6" t="s">
        <v>2141</v>
      </c>
      <c r="CN7" s="6" t="s">
        <v>185</v>
      </c>
      <c r="CO7" s="6" t="s">
        <v>222</v>
      </c>
      <c r="CP7" s="6" t="s">
        <v>2142</v>
      </c>
      <c r="CQ7" s="6">
        <v>2.9</v>
      </c>
      <c r="CR7" s="6" t="s">
        <v>224</v>
      </c>
      <c r="CS7" s="6" t="s">
        <v>75</v>
      </c>
      <c r="CT7" s="6" t="s">
        <v>76</v>
      </c>
      <c r="CU7" s="6" t="s">
        <v>225</v>
      </c>
      <c r="CV7" s="6">
        <v>2.9</v>
      </c>
      <c r="CW7" s="6" t="s">
        <v>2457</v>
      </c>
      <c r="CX7" s="6" t="s">
        <v>185</v>
      </c>
      <c r="CY7" s="6" t="s">
        <v>222</v>
      </c>
      <c r="CZ7" s="6" t="s">
        <v>2458</v>
      </c>
      <c r="DA7" s="6">
        <v>2.9</v>
      </c>
      <c r="DB7" s="6" t="str">
        <f>HYPERLINK(".\links\CDD\TI_asb-512-CDD.txt","PRK07168")</f>
        <v>PRK07168</v>
      </c>
      <c r="DC7" s="6" t="str">
        <f>HYPERLINK("http://www.ncbi.nlm.nih.gov/Structure/cdd/cddsrv.cgi?uid=PRK07168&amp;version=v4.0","0.027")</f>
        <v>0.027</v>
      </c>
      <c r="DD7" s="6" t="s">
        <v>3026</v>
      </c>
      <c r="DE7" s="6" t="s">
        <v>56</v>
      </c>
      <c r="DF7" s="6" t="s">
        <v>56</v>
      </c>
      <c r="DG7" s="6" t="str">
        <f>HYPERLINK(".\links\PRK\TI_asb-512-PRK.txt","bifunctional uroporphyrinogen-III methyltransferase/uroporphyrinogen-III synthase")</f>
        <v>bifunctional uroporphyrinogen-III methyltransferase/uroporphyrinogen-III synthase</v>
      </c>
      <c r="DH7" s="6">
        <v>1.6E-2</v>
      </c>
      <c r="DI7" s="6" t="str">
        <f>HYPERLINK(".\links\SMART\TI_asb-512-SMART.txt","Alpha_kinase")</f>
        <v>Alpha_kinase</v>
      </c>
      <c r="DJ7" s="6" t="str">
        <f>HYPERLINK("http://smart.embl-heidelberg.de/smart/do_annotation.pl?DOMAIN=Alpha_kinase&amp;BLAST=DUMMY","0.057")</f>
        <v>0.057</v>
      </c>
      <c r="DK7" s="6" t="s">
        <v>56</v>
      </c>
      <c r="DY7" s="6" t="s">
        <v>56</v>
      </c>
    </row>
    <row r="8" spans="1:142" s="6" customFormat="1">
      <c r="A8" s="6" t="str">
        <f>HYPERLINK(".\links\seq\TI_asb-389-seq.txt","TI_asb-389")</f>
        <v>TI_asb-389</v>
      </c>
      <c r="B8" s="6">
        <v>389</v>
      </c>
      <c r="C8" s="6" t="str">
        <f>HYPERLINK(".\links\tsa\TI_asb-389-tsa.txt","1")</f>
        <v>1</v>
      </c>
      <c r="D8" s="6">
        <v>1</v>
      </c>
      <c r="E8" s="6">
        <v>584</v>
      </c>
      <c r="G8" s="6" t="str">
        <f>HYPERLINK(".\links\qual\TI_asb-389-qual.txt","49")</f>
        <v>49</v>
      </c>
      <c r="H8" s="6">
        <v>1</v>
      </c>
      <c r="I8" s="6">
        <v>0</v>
      </c>
      <c r="J8" s="6">
        <f t="shared" si="0"/>
        <v>1</v>
      </c>
      <c r="K8" s="6" t="s">
        <v>3868</v>
      </c>
      <c r="L8" s="6" t="s">
        <v>3869</v>
      </c>
      <c r="P8" s="6">
        <v>584</v>
      </c>
      <c r="Q8" s="6">
        <v>384</v>
      </c>
      <c r="R8" s="6" t="s">
        <v>3710</v>
      </c>
      <c r="S8" s="6">
        <v>1</v>
      </c>
      <c r="T8" s="6" t="str">
        <f>HYPERLINK(".\links\NR-LIGHT\TI_asb-389-NR-LIGHT.txt","structural protein")</f>
        <v>structural protein</v>
      </c>
      <c r="U8" s="6" t="str">
        <f>HYPERLINK("http://www.ncbi.nlm.nih.gov/sutils/blink.cgi?pid=189007679","0.21")</f>
        <v>0.21</v>
      </c>
      <c r="V8" s="6" t="str">
        <f>HYPERLINK(".\links\NR-LIGHT\TI_asb-389-NR-LIGHT.txt"," 10")</f>
        <v xml:space="preserve"> 10</v>
      </c>
      <c r="W8" s="6" t="str">
        <f>HYPERLINK("http://www.ncbi.nlm.nih.gov/protein/189007679","gi|189007679")</f>
        <v>gi|189007679</v>
      </c>
      <c r="X8" s="6">
        <v>37.700000000000003</v>
      </c>
      <c r="Y8" s="6">
        <v>90</v>
      </c>
      <c r="Z8" s="6">
        <v>1160</v>
      </c>
      <c r="AA8" s="6">
        <v>24</v>
      </c>
      <c r="AB8" s="6">
        <v>8</v>
      </c>
      <c r="AC8" s="6">
        <v>68</v>
      </c>
      <c r="AD8" s="6">
        <v>0</v>
      </c>
      <c r="AE8" s="6">
        <v>1025</v>
      </c>
      <c r="AF8" s="6">
        <v>187</v>
      </c>
      <c r="AG8" s="6">
        <v>1</v>
      </c>
      <c r="AH8" s="6">
        <v>1</v>
      </c>
      <c r="AI8" s="6" t="s">
        <v>53</v>
      </c>
      <c r="AJ8" s="6" t="s">
        <v>54</v>
      </c>
      <c r="AK8" s="6" t="s">
        <v>2336</v>
      </c>
      <c r="AL8" s="6" t="str">
        <f>HYPERLINK(".\links\SWISSP\TI_asb-389-SWISSP.txt","Spike glycoprotein OS=Human coronavirus 229E GN=S PE=1 SV=1")</f>
        <v>Spike glycoprotein OS=Human coronavirus 229E GN=S PE=1 SV=1</v>
      </c>
      <c r="AM8" s="6" t="str">
        <f>HYPERLINK("http://www.uniprot.org/uniprot/P15423","0.96")</f>
        <v>0.96</v>
      </c>
      <c r="AN8" s="6" t="str">
        <f>HYPERLINK(".\links\SWISSP\TI_asb-389-SWISSP.txt"," 6")</f>
        <v xml:space="preserve"> 6</v>
      </c>
      <c r="AO8" s="6" t="s">
        <v>2337</v>
      </c>
      <c r="AP8" s="6">
        <v>33.5</v>
      </c>
      <c r="AQ8" s="6">
        <v>77</v>
      </c>
      <c r="AR8" s="6">
        <v>1173</v>
      </c>
      <c r="AS8" s="6">
        <v>31</v>
      </c>
      <c r="AT8" s="6">
        <v>7</v>
      </c>
      <c r="AU8" s="6">
        <v>53</v>
      </c>
      <c r="AV8" s="6">
        <v>0</v>
      </c>
      <c r="AW8" s="6">
        <v>462</v>
      </c>
      <c r="AX8" s="6">
        <v>217</v>
      </c>
      <c r="AY8" s="6">
        <v>1</v>
      </c>
      <c r="AZ8" s="6">
        <v>1</v>
      </c>
      <c r="BA8" s="6" t="s">
        <v>53</v>
      </c>
      <c r="BB8" s="6" t="s">
        <v>54</v>
      </c>
      <c r="BC8" s="6" t="s">
        <v>2338</v>
      </c>
      <c r="BD8" s="6" t="s">
        <v>2339</v>
      </c>
      <c r="BE8" s="6" t="s">
        <v>2340</v>
      </c>
      <c r="BF8" s="6" t="str">
        <f>HYPERLINK(".\links\PREV-RHOD-PEP\TI_asb-389-PREV-RHOD-PEP.txt","Contig17945_36")</f>
        <v>Contig17945_36</v>
      </c>
      <c r="BG8" s="7">
        <v>2.0000000000000001E-25</v>
      </c>
      <c r="BH8" s="6" t="str">
        <f>HYPERLINK(".\links\PREV-RHOD-PEP\TI_asb-389-PREV-RHOD-PEP.txt"," 10")</f>
        <v xml:space="preserve"> 10</v>
      </c>
      <c r="BI8" s="6" t="s">
        <v>2341</v>
      </c>
      <c r="BJ8" s="6">
        <v>103</v>
      </c>
      <c r="BK8" s="6">
        <v>124</v>
      </c>
      <c r="BL8" s="6">
        <v>201</v>
      </c>
      <c r="BM8" s="6">
        <v>42</v>
      </c>
      <c r="BN8" s="6">
        <v>62</v>
      </c>
      <c r="BO8" s="6">
        <v>71</v>
      </c>
      <c r="BP8" s="6">
        <v>0</v>
      </c>
      <c r="BQ8" s="6">
        <v>39</v>
      </c>
      <c r="BR8" s="6">
        <v>3</v>
      </c>
      <c r="BS8" s="6">
        <v>2</v>
      </c>
      <c r="BT8" s="6" t="s">
        <v>54</v>
      </c>
      <c r="BU8" s="6" t="s">
        <v>2342</v>
      </c>
      <c r="BV8" s="6" t="s">
        <v>56</v>
      </c>
      <c r="BW8" s="6" t="str">
        <f>HYPERLINK(".\links\PREV-RHOD-CDS\TI_asb-389-PREV-RHOD-CDS.txt","Contig17945_46")</f>
        <v>Contig17945_46</v>
      </c>
      <c r="BX8" s="7">
        <v>3E-10</v>
      </c>
      <c r="BY8" s="6" t="s">
        <v>2343</v>
      </c>
      <c r="BZ8" s="6">
        <v>65.900000000000006</v>
      </c>
      <c r="CA8" s="6">
        <v>56</v>
      </c>
      <c r="CB8" s="6">
        <v>924</v>
      </c>
      <c r="CC8" s="6">
        <v>89</v>
      </c>
      <c r="CD8" s="6">
        <v>6</v>
      </c>
      <c r="CE8" s="6">
        <v>6</v>
      </c>
      <c r="CF8" s="6">
        <v>0</v>
      </c>
      <c r="CG8" s="6">
        <v>744</v>
      </c>
      <c r="CH8" s="6">
        <v>264</v>
      </c>
      <c r="CI8" s="6">
        <v>1</v>
      </c>
      <c r="CJ8" s="6" t="s">
        <v>54</v>
      </c>
      <c r="CK8" s="6" t="s">
        <v>2344</v>
      </c>
      <c r="CL8" s="6">
        <f>HYPERLINK(".\links\GO\TI_asb-389-GO.txt",0.097)</f>
        <v>9.7000000000000003E-2</v>
      </c>
      <c r="CM8" s="6" t="s">
        <v>2345</v>
      </c>
      <c r="CN8" s="6" t="s">
        <v>102</v>
      </c>
      <c r="CO8" s="6" t="s">
        <v>103</v>
      </c>
      <c r="CP8" s="6" t="s">
        <v>2346</v>
      </c>
      <c r="CQ8" s="6">
        <v>7</v>
      </c>
      <c r="CR8" s="6" t="s">
        <v>241</v>
      </c>
      <c r="CS8" s="6" t="s">
        <v>75</v>
      </c>
      <c r="CT8" s="6" t="s">
        <v>76</v>
      </c>
      <c r="CU8" s="6" t="s">
        <v>242</v>
      </c>
      <c r="CV8" s="6">
        <v>7</v>
      </c>
      <c r="CW8" s="6" t="s">
        <v>2347</v>
      </c>
      <c r="CX8" s="6" t="s">
        <v>102</v>
      </c>
      <c r="CY8" s="6" t="s">
        <v>103</v>
      </c>
      <c r="CZ8" s="6" t="s">
        <v>2348</v>
      </c>
      <c r="DA8" s="6">
        <v>7</v>
      </c>
      <c r="DB8" s="6" t="str">
        <f>HYPERLINK(".\links\CDD\TI_asb-389-CDD.txt","CYTB")</f>
        <v>CYTB</v>
      </c>
      <c r="DC8" s="6" t="str">
        <f>HYPERLINK("http://www.ncbi.nlm.nih.gov/Structure/cdd/cddsrv.cgi?uid=MTH00046&amp;version=v4.0","0.030")</f>
        <v>0.030</v>
      </c>
      <c r="DD8" s="6" t="s">
        <v>2349</v>
      </c>
      <c r="DE8" s="6" t="str">
        <f>HYPERLINK(".\links\PFAM\TI_asb-389-PFAM.txt","DUF862")</f>
        <v>DUF862</v>
      </c>
      <c r="DF8" s="6" t="str">
        <f>HYPERLINK("http://pfam.sanger.ac.uk/family?acc=PF05903","0.032")</f>
        <v>0.032</v>
      </c>
      <c r="DG8" s="6" t="str">
        <f>HYPERLINK(".\links\PRK\TI_asb-389-PRK.txt","cytochrome b")</f>
        <v>cytochrome b</v>
      </c>
      <c r="DH8" s="6">
        <v>0.03</v>
      </c>
      <c r="DI8" s="6" t="s">
        <v>56</v>
      </c>
      <c r="DJ8" s="6" t="s">
        <v>56</v>
      </c>
      <c r="DK8" s="6" t="s">
        <v>56</v>
      </c>
      <c r="DY8" s="6" t="s">
        <v>56</v>
      </c>
    </row>
    <row r="9" spans="1:142" s="6" customFormat="1">
      <c r="A9" s="6" t="str">
        <f>HYPERLINK(".\links\seq\TI_asb-50-seq.txt","TI_asb-50")</f>
        <v>TI_asb-50</v>
      </c>
      <c r="B9" s="6">
        <v>50</v>
      </c>
      <c r="C9" s="6" t="str">
        <f>HYPERLINK(".\links\tsa\TI_asb-50-tsa.txt","1")</f>
        <v>1</v>
      </c>
      <c r="D9" s="6">
        <v>1</v>
      </c>
      <c r="E9" s="6">
        <v>680</v>
      </c>
      <c r="F9" s="6">
        <v>658</v>
      </c>
      <c r="G9" s="6" t="str">
        <f>HYPERLINK(".\links\qual\TI_asb-50-qual.txt","50")</f>
        <v>50</v>
      </c>
      <c r="H9" s="6">
        <v>1</v>
      </c>
      <c r="I9" s="6">
        <v>0</v>
      </c>
      <c r="J9" s="6">
        <f t="shared" si="0"/>
        <v>1</v>
      </c>
      <c r="K9" s="6" t="s">
        <v>3868</v>
      </c>
      <c r="L9" s="6" t="s">
        <v>3869</v>
      </c>
      <c r="P9" s="6">
        <v>680</v>
      </c>
      <c r="Q9" s="6">
        <v>675</v>
      </c>
      <c r="R9" s="6" t="s">
        <v>3509</v>
      </c>
      <c r="S9" s="6">
        <v>2</v>
      </c>
      <c r="T9" s="6" t="str">
        <f>HYPERLINK(".\links\NR-LIGHT\TI_asb-50-NR-LIGHT.txt","hypothetical protein")</f>
        <v>hypothetical protein</v>
      </c>
      <c r="U9" s="6" t="str">
        <f>HYPERLINK("http://www.ncbi.nlm.nih.gov/sutils/blink.cgi?pid=156544907","4E-010")</f>
        <v>4E-010</v>
      </c>
      <c r="V9" s="6" t="str">
        <f>HYPERLINK(".\links\NR-LIGHT\TI_asb-50-NR-LIGHT.txt"," 10")</f>
        <v xml:space="preserve"> 10</v>
      </c>
      <c r="W9" s="6" t="str">
        <f>HYPERLINK("http://www.ncbi.nlm.nih.gov/protein/156544907","gi|156544907")</f>
        <v>gi|156544907</v>
      </c>
      <c r="X9" s="6">
        <v>67.400000000000006</v>
      </c>
      <c r="Y9" s="6">
        <v>182</v>
      </c>
      <c r="Z9" s="6">
        <v>1493</v>
      </c>
      <c r="AA9" s="6">
        <v>23</v>
      </c>
      <c r="AB9" s="6">
        <v>12</v>
      </c>
      <c r="AC9" s="6">
        <v>139</v>
      </c>
      <c r="AD9" s="6">
        <v>0</v>
      </c>
      <c r="AE9" s="6">
        <v>473</v>
      </c>
      <c r="AF9" s="6">
        <v>65</v>
      </c>
      <c r="AG9" s="6">
        <v>3</v>
      </c>
      <c r="AH9" s="6">
        <v>2</v>
      </c>
      <c r="AI9" s="6" t="s">
        <v>53</v>
      </c>
      <c r="AJ9" s="6" t="s">
        <v>54</v>
      </c>
      <c r="AK9" s="6" t="s">
        <v>66</v>
      </c>
      <c r="AL9" s="6" t="str">
        <f>HYPERLINK(".\links\SWISSP\TI_asb-50-SWISSP.txt","Mite allergen Lep d 7 OS=Lepidoglyphus destructor PE=1 SV=1")</f>
        <v>Mite allergen Lep d 7 OS=Lepidoglyphus destructor PE=1 SV=1</v>
      </c>
      <c r="AM9" s="6" t="str">
        <f>HYPERLINK("http://www.uniprot.org/uniprot/Q9U1G2","0.004")</f>
        <v>0.004</v>
      </c>
      <c r="AN9" s="6" t="str">
        <f>HYPERLINK(".\links\SWISSP\TI_asb-50-SWISSP.txt"," 10")</f>
        <v xml:space="preserve"> 10</v>
      </c>
      <c r="AO9" s="6" t="s">
        <v>433</v>
      </c>
      <c r="AP9" s="6">
        <v>42</v>
      </c>
      <c r="AQ9" s="6">
        <v>190</v>
      </c>
      <c r="AR9" s="6">
        <v>216</v>
      </c>
      <c r="AS9" s="6">
        <v>20</v>
      </c>
      <c r="AT9" s="6">
        <v>88</v>
      </c>
      <c r="AU9" s="6">
        <v>152</v>
      </c>
      <c r="AV9" s="6">
        <v>2</v>
      </c>
      <c r="AW9" s="6">
        <v>27</v>
      </c>
      <c r="AX9" s="6">
        <v>80</v>
      </c>
      <c r="AY9" s="6">
        <v>1</v>
      </c>
      <c r="AZ9" s="6">
        <v>2</v>
      </c>
      <c r="BA9" s="6" t="s">
        <v>53</v>
      </c>
      <c r="BB9" s="6" t="s">
        <v>54</v>
      </c>
      <c r="BC9" s="6" t="s">
        <v>434</v>
      </c>
      <c r="BD9" s="6" t="s">
        <v>435</v>
      </c>
      <c r="BE9" s="6" t="s">
        <v>436</v>
      </c>
      <c r="BF9" s="6" t="str">
        <f>HYPERLINK(".\links\PREV-RHOD-PEP\TI_asb-50-PREV-RHOD-PEP.txt","Contig17849_53")</f>
        <v>Contig17849_53</v>
      </c>
      <c r="BG9" s="7">
        <v>6.0000000000000004E-85</v>
      </c>
      <c r="BH9" s="6" t="str">
        <f>HYPERLINK(".\links\PREV-RHOD-PEP\TI_asb-50-PREV-RHOD-PEP.txt"," 10")</f>
        <v xml:space="preserve"> 10</v>
      </c>
      <c r="BI9" s="6" t="s">
        <v>437</v>
      </c>
      <c r="BJ9" s="6">
        <v>309</v>
      </c>
      <c r="BK9" s="6">
        <v>213</v>
      </c>
      <c r="BL9" s="6">
        <v>424</v>
      </c>
      <c r="BM9" s="6">
        <v>68</v>
      </c>
      <c r="BN9" s="6">
        <v>50</v>
      </c>
      <c r="BO9" s="6">
        <v>68</v>
      </c>
      <c r="BP9" s="6">
        <v>0</v>
      </c>
      <c r="BQ9" s="6">
        <v>4</v>
      </c>
      <c r="BR9" s="6">
        <v>17</v>
      </c>
      <c r="BS9" s="6">
        <v>1</v>
      </c>
      <c r="BT9" s="6" t="s">
        <v>54</v>
      </c>
      <c r="BU9" s="6" t="s">
        <v>438</v>
      </c>
      <c r="BV9" s="6" t="s">
        <v>439</v>
      </c>
      <c r="BW9" s="6" t="str">
        <f>HYPERLINK(".\links\PREV-RHOD-CDS\TI_asb-50-PREV-RHOD-CDS.txt","Contig17849_53")</f>
        <v>Contig17849_53</v>
      </c>
      <c r="BX9" s="7">
        <v>1.9999999999999998E-21</v>
      </c>
      <c r="BY9" s="6" t="s">
        <v>437</v>
      </c>
      <c r="BZ9" s="6">
        <v>103</v>
      </c>
      <c r="CA9" s="6">
        <v>147</v>
      </c>
      <c r="CB9" s="6">
        <v>1275</v>
      </c>
      <c r="CC9" s="6">
        <v>83</v>
      </c>
      <c r="CD9" s="6">
        <v>12</v>
      </c>
      <c r="CE9" s="6">
        <v>24</v>
      </c>
      <c r="CF9" s="6">
        <v>0</v>
      </c>
      <c r="CG9" s="6">
        <v>73</v>
      </c>
      <c r="CH9" s="6">
        <v>80</v>
      </c>
      <c r="CI9" s="6">
        <v>1</v>
      </c>
      <c r="CJ9" s="6" t="s">
        <v>54</v>
      </c>
      <c r="CK9" s="6" t="s">
        <v>440</v>
      </c>
      <c r="CL9" s="6">
        <f>HYPERLINK(".\links\GO\TI_asb-50-GO.txt",0.64)</f>
        <v>0.64</v>
      </c>
      <c r="CM9" s="6" t="s">
        <v>58</v>
      </c>
      <c r="CN9" s="6" t="s">
        <v>58</v>
      </c>
      <c r="CP9" s="6" t="s">
        <v>59</v>
      </c>
      <c r="CQ9" s="6">
        <v>1.4</v>
      </c>
      <c r="CR9" s="6" t="s">
        <v>441</v>
      </c>
      <c r="CS9" s="6" t="s">
        <v>75</v>
      </c>
      <c r="CT9" s="6" t="s">
        <v>442</v>
      </c>
      <c r="CU9" s="6" t="s">
        <v>443</v>
      </c>
      <c r="CV9" s="6">
        <v>1.4</v>
      </c>
      <c r="CW9" s="6" t="s">
        <v>444</v>
      </c>
      <c r="CX9" s="6" t="s">
        <v>58</v>
      </c>
      <c r="CZ9" s="6" t="s">
        <v>445</v>
      </c>
      <c r="DA9" s="6">
        <v>1.4</v>
      </c>
      <c r="DB9" s="6" t="str">
        <f>HYPERLINK(".\links\CDD\TI_asb-50-CDD.txt","dnaA")</f>
        <v>dnaA</v>
      </c>
      <c r="DC9" s="6" t="str">
        <f>HYPERLINK("http://www.ncbi.nlm.nih.gov/Structure/cdd/cddsrv.cgi?uid=PRK00149&amp;version=v4.0","0.082")</f>
        <v>0.082</v>
      </c>
      <c r="DD9" s="6" t="s">
        <v>446</v>
      </c>
      <c r="DE9" s="6" t="str">
        <f>HYPERLINK(".\links\PFAM\TI_asb-50-PFAM.txt","Frag1")</f>
        <v>Frag1</v>
      </c>
      <c r="DF9" s="6" t="str">
        <f>HYPERLINK("http://pfam.sanger.ac.uk/family?acc=PF10277","0.100")</f>
        <v>0.100</v>
      </c>
      <c r="DG9" s="6" t="s">
        <v>56</v>
      </c>
      <c r="DH9" s="6" t="s">
        <v>56</v>
      </c>
      <c r="DI9" s="6" t="str">
        <f>HYPERLINK(".\links\SMART\TI_asb-50-SMART.txt","PLCYc")</f>
        <v>PLCYc</v>
      </c>
      <c r="DJ9" s="6" t="str">
        <f>HYPERLINK("http://smart.embl-heidelberg.de/smart/do_annotation.pl?DOMAIN=PLCYc&amp;BLAST=DUMMY","0.044")</f>
        <v>0.044</v>
      </c>
      <c r="DK9" s="6" t="s">
        <v>56</v>
      </c>
      <c r="DY9" s="6" t="s">
        <v>56</v>
      </c>
    </row>
    <row r="10" spans="1:142" s="6" customFormat="1">
      <c r="A10" s="6" t="str">
        <f>HYPERLINK(".\links\seq\TI_asb-563-seq.txt","TI_asb-563")</f>
        <v>TI_asb-563</v>
      </c>
      <c r="B10" s="6">
        <v>563</v>
      </c>
      <c r="C10" s="6" t="str">
        <f>HYPERLINK(".\links\tsa\TI_asb-563-tsa.txt","1")</f>
        <v>1</v>
      </c>
      <c r="D10" s="6">
        <v>1</v>
      </c>
      <c r="E10" s="6">
        <v>504</v>
      </c>
      <c r="G10" s="6" t="str">
        <f>HYPERLINK(".\links\qual\TI_asb-563-qual.txt","40")</f>
        <v>40</v>
      </c>
      <c r="H10" s="6">
        <v>1</v>
      </c>
      <c r="I10" s="6">
        <v>0</v>
      </c>
      <c r="J10" s="6">
        <f t="shared" si="0"/>
        <v>1</v>
      </c>
      <c r="K10" s="6" t="s">
        <v>3868</v>
      </c>
      <c r="L10" s="6" t="s">
        <v>3869</v>
      </c>
      <c r="P10" s="6">
        <v>504</v>
      </c>
      <c r="Q10" s="6">
        <v>288</v>
      </c>
      <c r="R10" s="6" t="s">
        <v>3835</v>
      </c>
      <c r="S10" s="6">
        <v>1</v>
      </c>
      <c r="T10" s="6" t="str">
        <f>HYPERLINK(".\links\NR-LIGHT\TI_asb-563-NR-LIGHT.txt","zinc finger protein GLI1")</f>
        <v>zinc finger protein GLI1</v>
      </c>
      <c r="U10" s="6" t="str">
        <f>HYPERLINK("http://www.ncbi.nlm.nih.gov/sutils/blink.cgi?pid=170035164","3.6")</f>
        <v>3.6</v>
      </c>
      <c r="V10" s="6" t="str">
        <f>HYPERLINK(".\links\NR-LIGHT\TI_asb-563-NR-LIGHT.txt"," 2")</f>
        <v xml:space="preserve"> 2</v>
      </c>
      <c r="W10" s="6" t="str">
        <f>HYPERLINK("http://www.ncbi.nlm.nih.gov/protein/170035164","gi|170035164")</f>
        <v>gi|170035164</v>
      </c>
      <c r="X10" s="6">
        <v>33.1</v>
      </c>
      <c r="Y10" s="6">
        <v>40</v>
      </c>
      <c r="Z10" s="6">
        <v>670</v>
      </c>
      <c r="AA10" s="6">
        <v>37</v>
      </c>
      <c r="AB10" s="6">
        <v>6</v>
      </c>
      <c r="AC10" s="6">
        <v>25</v>
      </c>
      <c r="AD10" s="6">
        <v>0</v>
      </c>
      <c r="AE10" s="6">
        <v>176</v>
      </c>
      <c r="AF10" s="6">
        <v>19</v>
      </c>
      <c r="AG10" s="6">
        <v>1</v>
      </c>
      <c r="AH10" s="6">
        <v>-1</v>
      </c>
      <c r="AI10" s="6" t="s">
        <v>53</v>
      </c>
      <c r="AJ10" s="6" t="s">
        <v>64</v>
      </c>
      <c r="AK10" s="6" t="s">
        <v>111</v>
      </c>
      <c r="AL10" s="6" t="str">
        <f>HYPERLINK(".\links\SWISSP\TI_asb-563-SWISSP.txt","Soluble pyridine nucleotide transhydrogenase OS=Pseudomonas stutzeri (strain")</f>
        <v>Soluble pyridine nucleotide transhydrogenase OS=Pseudomonas stutzeri (strain</v>
      </c>
      <c r="AM10" s="6" t="str">
        <f>HYPERLINK("http://www.uniprot.org/uniprot/A4VMU6","4.5")</f>
        <v>4.5</v>
      </c>
      <c r="AN10" s="6" t="str">
        <f>HYPERLINK(".\links\SWISSP\TI_asb-563-SWISSP.txt"," 2")</f>
        <v xml:space="preserve"> 2</v>
      </c>
      <c r="AO10" s="6" t="s">
        <v>3301</v>
      </c>
      <c r="AP10" s="6">
        <v>30.8</v>
      </c>
      <c r="AQ10" s="6">
        <v>41</v>
      </c>
      <c r="AR10" s="6">
        <v>464</v>
      </c>
      <c r="AS10" s="6">
        <v>41</v>
      </c>
      <c r="AT10" s="6">
        <v>9</v>
      </c>
      <c r="AU10" s="6">
        <v>24</v>
      </c>
      <c r="AV10" s="6">
        <v>5</v>
      </c>
      <c r="AW10" s="6">
        <v>230</v>
      </c>
      <c r="AX10" s="6">
        <v>199</v>
      </c>
      <c r="AY10" s="6">
        <v>1</v>
      </c>
      <c r="AZ10" s="6">
        <v>1</v>
      </c>
      <c r="BA10" s="6" t="s">
        <v>53</v>
      </c>
      <c r="BB10" s="6" t="s">
        <v>54</v>
      </c>
      <c r="BC10" s="6" t="s">
        <v>3302</v>
      </c>
      <c r="BD10" s="6" t="s">
        <v>3303</v>
      </c>
      <c r="BE10" s="6" t="s">
        <v>3304</v>
      </c>
      <c r="BF10" s="6" t="str">
        <f>HYPERLINK(".\links\PREV-RHOD-PEP\TI_asb-563-PREV-RHOD-PEP.txt","Contig17710_43")</f>
        <v>Contig17710_43</v>
      </c>
      <c r="BG10" s="7">
        <v>3.9999999999999999E-48</v>
      </c>
      <c r="BH10" s="6" t="str">
        <f>HYPERLINK(".\links\PREV-RHOD-PEP\TI_asb-563-PREV-RHOD-PEP.txt"," 4")</f>
        <v xml:space="preserve"> 4</v>
      </c>
      <c r="BI10" s="6" t="s">
        <v>3298</v>
      </c>
      <c r="BJ10" s="6">
        <v>155</v>
      </c>
      <c r="BK10" s="6">
        <v>109</v>
      </c>
      <c r="BL10" s="6">
        <v>223</v>
      </c>
      <c r="BM10" s="6">
        <v>66</v>
      </c>
      <c r="BN10" s="6">
        <v>49</v>
      </c>
      <c r="BO10" s="6">
        <v>36</v>
      </c>
      <c r="BP10" s="6">
        <v>0</v>
      </c>
      <c r="BQ10" s="6">
        <v>3</v>
      </c>
      <c r="BR10" s="6">
        <v>44</v>
      </c>
      <c r="BS10" s="6">
        <v>2</v>
      </c>
      <c r="BT10" s="6" t="s">
        <v>54</v>
      </c>
      <c r="BU10" s="6" t="s">
        <v>3305</v>
      </c>
      <c r="BV10" s="6" t="s">
        <v>56</v>
      </c>
      <c r="BW10" s="6" t="str">
        <f>HYPERLINK(".\links\PREV-RHOD-CDS\TI_asb-563-PREV-RHOD-CDS.txt","Contig17710_43")</f>
        <v>Contig17710_43</v>
      </c>
      <c r="BX10" s="7">
        <v>2.9999999999999999E-19</v>
      </c>
      <c r="BY10" s="6" t="s">
        <v>3298</v>
      </c>
      <c r="BZ10" s="6">
        <v>95.6</v>
      </c>
      <c r="CA10" s="6">
        <v>354</v>
      </c>
      <c r="CB10" s="6">
        <v>672</v>
      </c>
      <c r="CC10" s="6">
        <v>80</v>
      </c>
      <c r="CD10" s="6">
        <v>53</v>
      </c>
      <c r="CE10" s="6">
        <v>41</v>
      </c>
      <c r="CF10" s="6">
        <v>0</v>
      </c>
      <c r="CG10" s="6">
        <v>65</v>
      </c>
      <c r="CH10" s="6">
        <v>99</v>
      </c>
      <c r="CI10" s="6">
        <v>2</v>
      </c>
      <c r="CJ10" s="6" t="s">
        <v>54</v>
      </c>
      <c r="CK10" s="6" t="s">
        <v>3306</v>
      </c>
      <c r="CL10" s="6">
        <f>HYPERLINK(".\links\GO\TI_asb-563-GO.txt",3)</f>
        <v>3</v>
      </c>
      <c r="CM10" s="6" t="s">
        <v>58</v>
      </c>
      <c r="CN10" s="6" t="s">
        <v>58</v>
      </c>
      <c r="CP10" s="6" t="s">
        <v>59</v>
      </c>
      <c r="CQ10" s="6">
        <v>3</v>
      </c>
      <c r="CR10" s="6" t="s">
        <v>1311</v>
      </c>
      <c r="CS10" s="6" t="s">
        <v>75</v>
      </c>
      <c r="CT10" s="6" t="s">
        <v>76</v>
      </c>
      <c r="CU10" s="6" t="s">
        <v>1312</v>
      </c>
      <c r="CV10" s="6">
        <v>3</v>
      </c>
      <c r="CW10" s="6" t="s">
        <v>1313</v>
      </c>
      <c r="CX10" s="6" t="s">
        <v>58</v>
      </c>
      <c r="CZ10" s="6" t="s">
        <v>1314</v>
      </c>
      <c r="DA10" s="6">
        <v>3</v>
      </c>
      <c r="DB10" s="6" t="s">
        <v>56</v>
      </c>
      <c r="DC10" s="6" t="s">
        <v>56</v>
      </c>
      <c r="DD10" s="6" t="s">
        <v>56</v>
      </c>
      <c r="DE10" s="6" t="s">
        <v>56</v>
      </c>
      <c r="DF10" s="6" t="s">
        <v>56</v>
      </c>
      <c r="DG10" s="6" t="s">
        <v>56</v>
      </c>
      <c r="DH10" s="6" t="s">
        <v>56</v>
      </c>
      <c r="DI10" s="6" t="str">
        <f>HYPERLINK(".\links\SMART\TI_asb-563-SMART.txt","PKS_KS")</f>
        <v>PKS_KS</v>
      </c>
      <c r="DJ10" s="6" t="str">
        <f>HYPERLINK("http://smart.embl-heidelberg.de/smart/do_annotation.pl?DOMAIN=PKS_KS&amp;BLAST=DUMMY","0.040")</f>
        <v>0.040</v>
      </c>
      <c r="DK10" s="6" t="s">
        <v>56</v>
      </c>
      <c r="DY10" s="6" t="s">
        <v>56</v>
      </c>
    </row>
    <row r="11" spans="1:142" s="6" customFormat="1">
      <c r="A11" s="6" t="str">
        <f>HYPERLINK(".\links\seq\TI_asb-524-seq.txt","TI_asb-524")</f>
        <v>TI_asb-524</v>
      </c>
      <c r="B11" s="6">
        <v>524</v>
      </c>
      <c r="C11" s="6" t="str">
        <f>HYPERLINK(".\links\tsa\TI_asb-524-tsa.txt","3")</f>
        <v>3</v>
      </c>
      <c r="D11" s="6">
        <v>3</v>
      </c>
      <c r="E11" s="6">
        <v>787</v>
      </c>
      <c r="G11" s="6" t="str">
        <f>HYPERLINK(".\links\qual\TI_asb-524-qual.txt","79")</f>
        <v>79</v>
      </c>
      <c r="H11" s="6">
        <v>0</v>
      </c>
      <c r="I11" s="6">
        <v>3</v>
      </c>
      <c r="J11" s="6">
        <f t="shared" si="0"/>
        <v>3</v>
      </c>
      <c r="K11" s="6" t="s">
        <v>3868</v>
      </c>
      <c r="L11" s="6" t="s">
        <v>3869</v>
      </c>
      <c r="P11" s="6">
        <v>787</v>
      </c>
      <c r="Q11" s="6">
        <v>633</v>
      </c>
      <c r="R11" s="6" t="s">
        <v>3801</v>
      </c>
      <c r="S11" s="6">
        <v>3</v>
      </c>
      <c r="T11" s="6" t="str">
        <f>HYPERLINK(".\links\NR-LIGHT\TI_asb-524-NR-LIGHT.txt","hypothetical protein")</f>
        <v>hypothetical protein</v>
      </c>
      <c r="U11" s="6" t="str">
        <f>HYPERLINK("http://www.ncbi.nlm.nih.gov/sutils/blink.cgi?pid=156544907","6E-008")</f>
        <v>6E-008</v>
      </c>
      <c r="V11" s="6" t="str">
        <f>HYPERLINK(".\links\NR-LIGHT\TI_asb-524-NR-LIGHT.txt"," 8")</f>
        <v xml:space="preserve"> 8</v>
      </c>
      <c r="W11" s="6" t="str">
        <f>HYPERLINK("http://www.ncbi.nlm.nih.gov/protein/156544907","gi|156544907")</f>
        <v>gi|156544907</v>
      </c>
      <c r="X11" s="6">
        <v>60.5</v>
      </c>
      <c r="Y11" s="6">
        <v>192</v>
      </c>
      <c r="Z11" s="6">
        <v>1493</v>
      </c>
      <c r="AA11" s="6">
        <v>23</v>
      </c>
      <c r="AB11" s="6">
        <v>13</v>
      </c>
      <c r="AC11" s="6">
        <v>146</v>
      </c>
      <c r="AD11" s="6">
        <v>3</v>
      </c>
      <c r="AE11" s="6">
        <v>899</v>
      </c>
      <c r="AF11" s="6">
        <v>42</v>
      </c>
      <c r="AG11" s="6">
        <v>2</v>
      </c>
      <c r="AH11" s="6">
        <v>3</v>
      </c>
      <c r="AI11" s="6" t="s">
        <v>53</v>
      </c>
      <c r="AJ11" s="6" t="s">
        <v>54</v>
      </c>
      <c r="AK11" s="6" t="s">
        <v>66</v>
      </c>
      <c r="AL11" s="6" t="str">
        <f>HYPERLINK(".\links\SWISSP\TI_asb-524-SWISSP.txt","Mite allergen Der f 7 OS=Dermatophagoides farinae GN=DERF7 PE=1 SV=1")</f>
        <v>Mite allergen Der f 7 OS=Dermatophagoides farinae GN=DERF7 PE=1 SV=1</v>
      </c>
      <c r="AM11" s="6" t="str">
        <f>HYPERLINK("http://www.uniprot.org/uniprot/Q26456","1.7")</f>
        <v>1.7</v>
      </c>
      <c r="AN11" s="6" t="str">
        <f>HYPERLINK(".\links\SWISSP\TI_asb-524-SWISSP.txt"," 5")</f>
        <v xml:space="preserve"> 5</v>
      </c>
      <c r="AO11" s="6" t="s">
        <v>3084</v>
      </c>
      <c r="AP11" s="6">
        <v>33.5</v>
      </c>
      <c r="AQ11" s="6">
        <v>86</v>
      </c>
      <c r="AR11" s="6">
        <v>213</v>
      </c>
      <c r="AS11" s="6">
        <v>23</v>
      </c>
      <c r="AT11" s="6">
        <v>40</v>
      </c>
      <c r="AU11" s="6">
        <v>66</v>
      </c>
      <c r="AV11" s="6">
        <v>0</v>
      </c>
      <c r="AW11" s="6">
        <v>26</v>
      </c>
      <c r="AX11" s="6">
        <v>33</v>
      </c>
      <c r="AY11" s="6">
        <v>1</v>
      </c>
      <c r="AZ11" s="6">
        <v>3</v>
      </c>
      <c r="BA11" s="6" t="s">
        <v>53</v>
      </c>
      <c r="BB11" s="6" t="s">
        <v>54</v>
      </c>
      <c r="BC11" s="6" t="s">
        <v>3085</v>
      </c>
      <c r="BD11" s="6" t="s">
        <v>3086</v>
      </c>
      <c r="BE11" s="6" t="s">
        <v>3087</v>
      </c>
      <c r="BF11" s="6" t="str">
        <f>HYPERLINK(".\links\PREV-RHOD-PEP\TI_asb-524-PREV-RHOD-PEP.txt","Contig17849_53")</f>
        <v>Contig17849_53</v>
      </c>
      <c r="BG11" s="7">
        <v>1.0000000000000001E-68</v>
      </c>
      <c r="BH11" s="6" t="str">
        <f>HYPERLINK(".\links\PREV-RHOD-PEP\TI_asb-524-PREV-RHOD-PEP.txt"," 10")</f>
        <v xml:space="preserve"> 10</v>
      </c>
      <c r="BI11" s="6" t="s">
        <v>437</v>
      </c>
      <c r="BJ11" s="6">
        <v>255</v>
      </c>
      <c r="BK11" s="6">
        <v>203</v>
      </c>
      <c r="BL11" s="6">
        <v>424</v>
      </c>
      <c r="BM11" s="6">
        <v>58</v>
      </c>
      <c r="BN11" s="6">
        <v>48</v>
      </c>
      <c r="BO11" s="6">
        <v>85</v>
      </c>
      <c r="BP11" s="6">
        <v>0</v>
      </c>
      <c r="BQ11" s="6">
        <v>49</v>
      </c>
      <c r="BR11" s="6">
        <v>27</v>
      </c>
      <c r="BS11" s="6">
        <v>2</v>
      </c>
      <c r="BT11" s="6" t="s">
        <v>54</v>
      </c>
      <c r="BU11" s="6" t="s">
        <v>3088</v>
      </c>
      <c r="BV11" s="6" t="s">
        <v>439</v>
      </c>
      <c r="BW11" s="6" t="str">
        <f>HYPERLINK(".\links\PREV-RHOD-CDS\TI_asb-524-PREV-RHOD-CDS.txt","Contig17849_51")</f>
        <v>Contig17849_51</v>
      </c>
      <c r="BX11" s="7">
        <v>3.0000000000000001E-17</v>
      </c>
      <c r="BY11" s="6" t="s">
        <v>3089</v>
      </c>
      <c r="BZ11" s="6">
        <v>89.7</v>
      </c>
      <c r="CA11" s="6">
        <v>336</v>
      </c>
      <c r="CB11" s="6">
        <v>624</v>
      </c>
      <c r="CC11" s="6">
        <v>84</v>
      </c>
      <c r="CD11" s="6">
        <v>54</v>
      </c>
      <c r="CE11" s="6">
        <v>19</v>
      </c>
      <c r="CF11" s="6">
        <v>0</v>
      </c>
      <c r="CG11" s="6">
        <v>38</v>
      </c>
      <c r="CH11" s="6">
        <v>13</v>
      </c>
      <c r="CI11" s="6">
        <v>2</v>
      </c>
      <c r="CJ11" s="6" t="s">
        <v>54</v>
      </c>
      <c r="CK11" s="6" t="s">
        <v>3090</v>
      </c>
      <c r="CL11" s="6">
        <f>HYPERLINK(".\links\GO\TI_asb-524-GO.txt",0.81)</f>
        <v>0.81</v>
      </c>
      <c r="CM11" s="6" t="s">
        <v>208</v>
      </c>
      <c r="CN11" s="6" t="s">
        <v>185</v>
      </c>
      <c r="CO11" s="6" t="s">
        <v>186</v>
      </c>
      <c r="CP11" s="6" t="s">
        <v>209</v>
      </c>
      <c r="CQ11" s="6">
        <v>0.81</v>
      </c>
      <c r="CR11" s="6" t="s">
        <v>74</v>
      </c>
      <c r="CS11" s="6" t="s">
        <v>75</v>
      </c>
      <c r="CT11" s="6" t="s">
        <v>76</v>
      </c>
      <c r="CU11" s="6" t="s">
        <v>77</v>
      </c>
      <c r="CV11" s="6">
        <v>0.81</v>
      </c>
      <c r="CW11" s="6" t="s">
        <v>3091</v>
      </c>
      <c r="CX11" s="6" t="s">
        <v>185</v>
      </c>
      <c r="CY11" s="6" t="s">
        <v>186</v>
      </c>
      <c r="CZ11" s="6" t="s">
        <v>3092</v>
      </c>
      <c r="DA11" s="6">
        <v>0.81</v>
      </c>
      <c r="DB11" s="6" t="s">
        <v>56</v>
      </c>
      <c r="DC11" s="6" t="s">
        <v>56</v>
      </c>
      <c r="DD11" s="6" t="s">
        <v>56</v>
      </c>
      <c r="DE11" s="6" t="s">
        <v>56</v>
      </c>
      <c r="DF11" s="6" t="s">
        <v>56</v>
      </c>
      <c r="DG11" s="6" t="s">
        <v>56</v>
      </c>
      <c r="DH11" s="6" t="s">
        <v>56</v>
      </c>
      <c r="DI11" s="6" t="str">
        <f>HYPERLINK(".\links\SMART\TI_asb-524-SMART.txt","AgrB")</f>
        <v>AgrB</v>
      </c>
      <c r="DJ11" s="6" t="str">
        <f>HYPERLINK("http://smart.embl-heidelberg.de/smart/do_annotation.pl?DOMAIN=AgrB&amp;BLAST=DUMMY","0.009")</f>
        <v>0.009</v>
      </c>
      <c r="DK11" s="6" t="s">
        <v>56</v>
      </c>
      <c r="DY11" s="6" t="s">
        <v>56</v>
      </c>
    </row>
    <row r="12" spans="1:142" s="6" customFormat="1">
      <c r="A12" s="6" t="str">
        <f>HYPERLINK(".\links\seq\TI_asb-288-seq.txt","TI_asb-288")</f>
        <v>TI_asb-288</v>
      </c>
      <c r="B12" s="6">
        <v>288</v>
      </c>
      <c r="C12" s="6" t="str">
        <f>HYPERLINK(".\links\tsa\TI_asb-288-tsa.txt","2")</f>
        <v>2</v>
      </c>
      <c r="D12" s="6">
        <v>2</v>
      </c>
      <c r="E12" s="6">
        <v>822</v>
      </c>
      <c r="G12" s="6" t="str">
        <f>HYPERLINK(".\links\qual\TI_asb-288-qual.txt","59")</f>
        <v>59</v>
      </c>
      <c r="H12" s="6">
        <v>1</v>
      </c>
      <c r="I12" s="6">
        <v>1</v>
      </c>
      <c r="J12" s="6">
        <f t="shared" si="0"/>
        <v>0</v>
      </c>
      <c r="K12" s="6" t="s">
        <v>3868</v>
      </c>
      <c r="L12" s="6" t="s">
        <v>3869</v>
      </c>
      <c r="P12" s="6">
        <v>822</v>
      </c>
      <c r="Q12" s="6">
        <v>630</v>
      </c>
      <c r="R12" s="6" t="s">
        <v>3647</v>
      </c>
      <c r="S12" s="6">
        <v>1</v>
      </c>
      <c r="T12" s="6" t="str">
        <f>HYPERLINK(".\links\NR-LIGHT\TI_asb-288-NR-LIGHT.txt","cellular myosin heavy chain")</f>
        <v>cellular myosin heavy chain</v>
      </c>
      <c r="U12" s="6" t="str">
        <f>HYPERLINK("http://www.ncbi.nlm.nih.gov/sutils/blink.cgi?pid=256082567","0.065")</f>
        <v>0.065</v>
      </c>
      <c r="V12" s="6" t="str">
        <f>HYPERLINK(".\links\NR-LIGHT\TI_asb-288-NR-LIGHT.txt"," 7")</f>
        <v xml:space="preserve"> 7</v>
      </c>
      <c r="W12" s="6" t="str">
        <f>HYPERLINK("http://www.ncbi.nlm.nih.gov/protein/256082567","gi|256082567")</f>
        <v>gi|256082567</v>
      </c>
      <c r="X12" s="6">
        <v>40.4</v>
      </c>
      <c r="Y12" s="6">
        <v>133</v>
      </c>
      <c r="Z12" s="6">
        <v>542</v>
      </c>
      <c r="AA12" s="6">
        <v>21</v>
      </c>
      <c r="AB12" s="6">
        <v>25</v>
      </c>
      <c r="AC12" s="6">
        <v>105</v>
      </c>
      <c r="AD12" s="6">
        <v>1</v>
      </c>
      <c r="AE12" s="6">
        <v>204</v>
      </c>
      <c r="AF12" s="6">
        <v>193</v>
      </c>
      <c r="AG12" s="6">
        <v>1</v>
      </c>
      <c r="AH12" s="6">
        <v>1</v>
      </c>
      <c r="AI12" s="6" t="s">
        <v>53</v>
      </c>
      <c r="AJ12" s="6" t="s">
        <v>54</v>
      </c>
      <c r="AK12" s="6" t="s">
        <v>1761</v>
      </c>
      <c r="AL12" s="6" t="str">
        <f>HYPERLINK(".\links\SWISSP\TI_asb-288-SWISSP.txt","GRIP and coiled-coil domain-containing protein PFC0235w OS=Plasmodium falciparum")</f>
        <v>GRIP and coiled-coil domain-containing protein PFC0235w OS=Plasmodium falciparum</v>
      </c>
      <c r="AM12" s="6" t="str">
        <f>HYPERLINK("http://www.uniprot.org/uniprot/O97237","0.62")</f>
        <v>0.62</v>
      </c>
      <c r="AN12" s="6" t="str">
        <f>HYPERLINK(".\links\SWISSP\TI_asb-288-SWISSP.txt"," 10")</f>
        <v xml:space="preserve"> 10</v>
      </c>
      <c r="AO12" s="6" t="s">
        <v>1798</v>
      </c>
      <c r="AP12" s="6">
        <v>35</v>
      </c>
      <c r="AQ12" s="6">
        <v>54</v>
      </c>
      <c r="AR12" s="6">
        <v>1139</v>
      </c>
      <c r="AS12" s="6">
        <v>33</v>
      </c>
      <c r="AT12" s="6">
        <v>5</v>
      </c>
      <c r="AU12" s="6">
        <v>36</v>
      </c>
      <c r="AV12" s="6">
        <v>0</v>
      </c>
      <c r="AW12" s="6">
        <v>778</v>
      </c>
      <c r="AX12" s="6">
        <v>415</v>
      </c>
      <c r="AY12" s="6">
        <v>1</v>
      </c>
      <c r="AZ12" s="6">
        <v>1</v>
      </c>
      <c r="BA12" s="6" t="s">
        <v>53</v>
      </c>
      <c r="BB12" s="6" t="s">
        <v>54</v>
      </c>
      <c r="BC12" s="6" t="s">
        <v>1763</v>
      </c>
      <c r="BD12" s="6" t="s">
        <v>1799</v>
      </c>
      <c r="BE12" s="6" t="s">
        <v>1800</v>
      </c>
      <c r="BF12" s="6" t="str">
        <f>HYPERLINK(".\links\PREV-RHOD-PEP\TI_asb-288-PREV-RHOD-PEP.txt","Contig7471_2")</f>
        <v>Contig7471_2</v>
      </c>
      <c r="BG12" s="7">
        <v>9.9999999999999994E-50</v>
      </c>
      <c r="BH12" s="6" t="str">
        <f>HYPERLINK(".\links\PREV-RHOD-PEP\TI_asb-288-PREV-RHOD-PEP.txt"," 10")</f>
        <v xml:space="preserve"> 10</v>
      </c>
      <c r="BI12" s="6" t="s">
        <v>1188</v>
      </c>
      <c r="BJ12" s="6">
        <v>192</v>
      </c>
      <c r="BK12" s="6">
        <v>187</v>
      </c>
      <c r="BL12" s="6">
        <v>410</v>
      </c>
      <c r="BM12" s="6">
        <v>51</v>
      </c>
      <c r="BN12" s="6">
        <v>46</v>
      </c>
      <c r="BO12" s="6">
        <v>91</v>
      </c>
      <c r="BP12" s="6">
        <v>0</v>
      </c>
      <c r="BQ12" s="6">
        <v>143</v>
      </c>
      <c r="BR12" s="6">
        <v>34</v>
      </c>
      <c r="BS12" s="6">
        <v>1</v>
      </c>
      <c r="BT12" s="6" t="s">
        <v>54</v>
      </c>
      <c r="BU12" s="6" t="s">
        <v>1801</v>
      </c>
      <c r="BV12" s="6" t="s">
        <v>439</v>
      </c>
      <c r="BW12" s="6" t="str">
        <f>HYPERLINK(".\links\PREV-RHOD-CDS\TI_asb-288-PREV-RHOD-CDS.txt","Contig17651_7")</f>
        <v>Contig17651_7</v>
      </c>
      <c r="BX12" s="6">
        <v>2.5999999999999999E-2</v>
      </c>
      <c r="BY12" s="6" t="s">
        <v>1190</v>
      </c>
      <c r="BZ12" s="6">
        <v>40.1</v>
      </c>
      <c r="CA12" s="6">
        <v>19</v>
      </c>
      <c r="CB12" s="6">
        <v>632</v>
      </c>
      <c r="CC12" s="6">
        <v>100</v>
      </c>
      <c r="CD12" s="6">
        <v>3</v>
      </c>
      <c r="CE12" s="6">
        <v>0</v>
      </c>
      <c r="CF12" s="6">
        <v>0</v>
      </c>
      <c r="CG12" s="6">
        <v>147</v>
      </c>
      <c r="CH12" s="6">
        <v>483</v>
      </c>
      <c r="CI12" s="6">
        <v>1</v>
      </c>
      <c r="CJ12" s="6" t="s">
        <v>54</v>
      </c>
      <c r="CK12" s="6" t="s">
        <v>1802</v>
      </c>
      <c r="CL12" s="6">
        <f>HYPERLINK(".\links\GO\TI_asb-288-GO.txt",1.5)</f>
        <v>1.5</v>
      </c>
      <c r="CM12" s="6" t="s">
        <v>1803</v>
      </c>
      <c r="CN12" s="6" t="s">
        <v>1012</v>
      </c>
      <c r="CO12" s="6" t="s">
        <v>1631</v>
      </c>
      <c r="CP12" s="6" t="s">
        <v>1804</v>
      </c>
      <c r="CQ12" s="6">
        <v>1.9</v>
      </c>
      <c r="CR12" s="6" t="s">
        <v>1805</v>
      </c>
      <c r="CS12" s="6" t="s">
        <v>75</v>
      </c>
      <c r="CT12" s="6" t="s">
        <v>76</v>
      </c>
      <c r="CU12" s="6" t="s">
        <v>1806</v>
      </c>
      <c r="CV12" s="6">
        <v>1.9</v>
      </c>
      <c r="CW12" s="6" t="s">
        <v>1807</v>
      </c>
      <c r="CX12" s="6" t="s">
        <v>1012</v>
      </c>
      <c r="CY12" s="6" t="s">
        <v>1631</v>
      </c>
      <c r="CZ12" s="6" t="s">
        <v>1808</v>
      </c>
      <c r="DA12" s="6">
        <v>1.9</v>
      </c>
      <c r="DB12" s="6" t="str">
        <f>HYPERLINK(".\links\CDD\TI_asb-288-CDD.txt","TatC")</f>
        <v>TatC</v>
      </c>
      <c r="DC12" s="6" t="str">
        <f>HYPERLINK("http://www.ncbi.nlm.nih.gov/Structure/cdd/cddsrv.cgi?uid=pfam00902&amp;version=v4.0","0.051")</f>
        <v>0.051</v>
      </c>
      <c r="DD12" s="6" t="s">
        <v>1809</v>
      </c>
      <c r="DE12" s="6" t="str">
        <f>HYPERLINK(".\links\PFAM\TI_asb-288-PFAM.txt","SGT1")</f>
        <v>SGT1</v>
      </c>
      <c r="DF12" s="6" t="str">
        <f>HYPERLINK("http://pfam.sanger.ac.uk/family?acc=PF07093","0.088")</f>
        <v>0.088</v>
      </c>
      <c r="DG12" s="6" t="str">
        <f>HYPERLINK(".\links\PRK\TI_asb-288-PRK.txt","reticulocyte binding protein 2-like protein")</f>
        <v>reticulocyte binding protein 2-like protein</v>
      </c>
      <c r="DH12" s="6">
        <v>8.9999999999999993E-3</v>
      </c>
      <c r="DI12" s="6" t="s">
        <v>56</v>
      </c>
      <c r="DJ12" s="6" t="s">
        <v>56</v>
      </c>
      <c r="DK12" s="6" t="s">
        <v>56</v>
      </c>
      <c r="DY12" s="6" t="s">
        <v>56</v>
      </c>
    </row>
    <row r="13" spans="1:142" s="6" customFormat="1">
      <c r="A13" s="6" t="str">
        <f>HYPERLINK(".\links\seq\TI_asb-465-seq.txt","TI_asb-465")</f>
        <v>TI_asb-465</v>
      </c>
      <c r="B13" s="6">
        <v>465</v>
      </c>
      <c r="C13" s="6" t="str">
        <f>HYPERLINK(".\links\tsa\TI_asb-465-tsa.txt","3")</f>
        <v>3</v>
      </c>
      <c r="D13" s="6">
        <v>3</v>
      </c>
      <c r="E13" s="6">
        <v>598</v>
      </c>
      <c r="G13" s="6" t="str">
        <f>HYPERLINK(".\links\qual\TI_asb-465-qual.txt","73")</f>
        <v>73</v>
      </c>
      <c r="H13" s="6">
        <v>1</v>
      </c>
      <c r="I13" s="6">
        <v>2</v>
      </c>
      <c r="J13" s="6">
        <f t="shared" si="0"/>
        <v>1</v>
      </c>
      <c r="K13" s="6" t="s">
        <v>3868</v>
      </c>
      <c r="L13" s="6" t="s">
        <v>3869</v>
      </c>
      <c r="P13" s="6">
        <v>598</v>
      </c>
      <c r="Q13" s="6">
        <v>354</v>
      </c>
      <c r="R13" s="6" t="s">
        <v>3768</v>
      </c>
      <c r="S13" s="6">
        <v>2</v>
      </c>
      <c r="T13" s="6" t="str">
        <f>HYPERLINK(".\links\NR-LIGHT\TI_asb-465-NR-LIGHT.txt","hypothetical protein")</f>
        <v>hypothetical protein</v>
      </c>
      <c r="U13" s="6" t="str">
        <f>HYPERLINK("http://www.ncbi.nlm.nih.gov/sutils/blink.cgi?pid=115709019","3.2")</f>
        <v>3.2</v>
      </c>
      <c r="V13" s="6" t="str">
        <f>HYPERLINK(".\links\NR-LIGHT\TI_asb-465-NR-LIGHT.txt"," 6")</f>
        <v xml:space="preserve"> 6</v>
      </c>
      <c r="W13" s="6" t="str">
        <f>HYPERLINK("http://www.ncbi.nlm.nih.gov/protein/115709019","gi|115709019")</f>
        <v>gi|115709019</v>
      </c>
      <c r="X13" s="6">
        <v>33.9</v>
      </c>
      <c r="Y13" s="6">
        <v>81</v>
      </c>
      <c r="Z13" s="6">
        <v>532</v>
      </c>
      <c r="AA13" s="6">
        <v>27</v>
      </c>
      <c r="AB13" s="6">
        <v>15</v>
      </c>
      <c r="AC13" s="6">
        <v>59</v>
      </c>
      <c r="AD13" s="6">
        <v>3</v>
      </c>
      <c r="AE13" s="6">
        <v>41</v>
      </c>
      <c r="AF13" s="6">
        <v>64</v>
      </c>
      <c r="AG13" s="6">
        <v>1</v>
      </c>
      <c r="AH13" s="6">
        <v>1</v>
      </c>
      <c r="AI13" s="6" t="s">
        <v>53</v>
      </c>
      <c r="AJ13" s="6" t="s">
        <v>54</v>
      </c>
      <c r="AK13" s="6" t="s">
        <v>950</v>
      </c>
      <c r="AL13" s="6" t="str">
        <f>HYPERLINK(".\links\SWISSP\TI_asb-465-SWISSP.txt","Structural protein V8 OS=Sputnik virophage PE=1 SV=1")</f>
        <v>Structural protein V8 OS=Sputnik virophage PE=1 SV=1</v>
      </c>
      <c r="AM13" s="6" t="str">
        <f>HYPERLINK("http://www.uniprot.org/uniprot/B4YNE8","0.78")</f>
        <v>0.78</v>
      </c>
      <c r="AN13" s="6" t="str">
        <f>HYPERLINK(".\links\SWISSP\TI_asb-465-SWISSP.txt"," 10")</f>
        <v xml:space="preserve"> 10</v>
      </c>
      <c r="AO13" s="6" t="s">
        <v>2815</v>
      </c>
      <c r="AP13" s="6">
        <v>33.9</v>
      </c>
      <c r="AQ13" s="6">
        <v>45</v>
      </c>
      <c r="AR13" s="6">
        <v>184</v>
      </c>
      <c r="AS13" s="6">
        <v>28</v>
      </c>
      <c r="AT13" s="6">
        <v>24</v>
      </c>
      <c r="AU13" s="6">
        <v>32</v>
      </c>
      <c r="AV13" s="6">
        <v>0</v>
      </c>
      <c r="AW13" s="6">
        <v>85</v>
      </c>
      <c r="AX13" s="6">
        <v>154</v>
      </c>
      <c r="AY13" s="6">
        <v>1</v>
      </c>
      <c r="AZ13" s="6">
        <v>1</v>
      </c>
      <c r="BA13" s="6" t="s">
        <v>53</v>
      </c>
      <c r="BB13" s="6" t="s">
        <v>54</v>
      </c>
      <c r="BC13" s="6" t="s">
        <v>2816</v>
      </c>
      <c r="BD13" s="6" t="s">
        <v>2817</v>
      </c>
      <c r="BE13" s="6" t="s">
        <v>2818</v>
      </c>
      <c r="BF13" s="6" t="str">
        <f>HYPERLINK(".\links\PREV-RHOD-PEP\TI_asb-465-PREV-RHOD-PEP.txt","Contig7471_3")</f>
        <v>Contig7471_3</v>
      </c>
      <c r="BG13" s="7">
        <v>1E-27</v>
      </c>
      <c r="BH13" s="6" t="str">
        <f>HYPERLINK(".\links\PREV-RHOD-PEP\TI_asb-465-PREV-RHOD-PEP.txt"," 10")</f>
        <v xml:space="preserve"> 10</v>
      </c>
      <c r="BI13" s="6" t="s">
        <v>2819</v>
      </c>
      <c r="BJ13" s="6">
        <v>80.5</v>
      </c>
      <c r="BK13" s="6">
        <v>88</v>
      </c>
      <c r="BL13" s="6">
        <v>194</v>
      </c>
      <c r="BM13" s="6">
        <v>44</v>
      </c>
      <c r="BN13" s="6">
        <v>45</v>
      </c>
      <c r="BO13" s="6">
        <v>49</v>
      </c>
      <c r="BP13" s="6">
        <v>0</v>
      </c>
      <c r="BQ13" s="6">
        <v>13</v>
      </c>
      <c r="BR13" s="6">
        <v>109</v>
      </c>
      <c r="BS13" s="6">
        <v>2</v>
      </c>
      <c r="BT13" s="6" t="s">
        <v>54</v>
      </c>
      <c r="BU13" s="6" t="s">
        <v>2820</v>
      </c>
      <c r="BV13" s="6" t="s">
        <v>439</v>
      </c>
      <c r="BW13" s="6" t="str">
        <f>HYPERLINK(".\links\PREV-RHOD-CDS\TI_asb-465-PREV-RHOD-CDS.txt","Contig7471_2")</f>
        <v>Contig7471_2</v>
      </c>
      <c r="BX13" s="6">
        <v>5.0000000000000001E-3</v>
      </c>
      <c r="BY13" s="6" t="s">
        <v>1188</v>
      </c>
      <c r="BZ13" s="6">
        <v>42.1</v>
      </c>
      <c r="CA13" s="6">
        <v>24</v>
      </c>
      <c r="CB13" s="6">
        <v>1233</v>
      </c>
      <c r="CC13" s="6">
        <v>96</v>
      </c>
      <c r="CD13" s="6">
        <v>2</v>
      </c>
      <c r="CE13" s="6">
        <v>1</v>
      </c>
      <c r="CF13" s="6">
        <v>0</v>
      </c>
      <c r="CG13" s="6">
        <v>595</v>
      </c>
      <c r="CH13" s="6">
        <v>187</v>
      </c>
      <c r="CI13" s="6">
        <v>1</v>
      </c>
      <c r="CJ13" s="6" t="s">
        <v>54</v>
      </c>
      <c r="CK13" s="6" t="s">
        <v>2821</v>
      </c>
      <c r="CL13" s="6">
        <f>HYPERLINK(".\links\GO\TI_asb-465-GO.txt",0.66)</f>
        <v>0.66</v>
      </c>
      <c r="CM13" s="6" t="s">
        <v>208</v>
      </c>
      <c r="CN13" s="6" t="s">
        <v>185</v>
      </c>
      <c r="CO13" s="6" t="s">
        <v>186</v>
      </c>
      <c r="CP13" s="6" t="s">
        <v>209</v>
      </c>
      <c r="CQ13" s="6">
        <v>0.66</v>
      </c>
      <c r="CR13" s="6" t="s">
        <v>2822</v>
      </c>
      <c r="CS13" s="6" t="s">
        <v>1890</v>
      </c>
      <c r="CT13" s="6" t="s">
        <v>1891</v>
      </c>
      <c r="CU13" s="6" t="s">
        <v>2823</v>
      </c>
      <c r="CV13" s="6">
        <v>0.66</v>
      </c>
      <c r="CW13" s="6" t="s">
        <v>817</v>
      </c>
      <c r="CX13" s="6" t="s">
        <v>185</v>
      </c>
      <c r="CY13" s="6" t="s">
        <v>186</v>
      </c>
      <c r="CZ13" s="6" t="s">
        <v>818</v>
      </c>
      <c r="DA13" s="6">
        <v>0.66</v>
      </c>
      <c r="DB13" s="6" t="s">
        <v>56</v>
      </c>
      <c r="DC13" s="6" t="s">
        <v>56</v>
      </c>
      <c r="DD13" s="6" t="s">
        <v>56</v>
      </c>
      <c r="DE13" s="6" t="str">
        <f>HYPERLINK(".\links\PFAM\TI_asb-465-PFAM.txt","Transposase_22")</f>
        <v>Transposase_22</v>
      </c>
      <c r="DF13" s="6" t="str">
        <f>HYPERLINK("http://pfam.sanger.ac.uk/family?acc=PF02994","0.050")</f>
        <v>0.050</v>
      </c>
      <c r="DG13" s="6" t="str">
        <f>HYPERLINK(".\links\PRK\TI_asb-465-PRK.txt","short chain acyl-CoA synthetase")</f>
        <v>short chain acyl-CoA synthetase</v>
      </c>
      <c r="DH13" s="6">
        <v>7.4999999999999997E-2</v>
      </c>
      <c r="DI13" s="6" t="str">
        <f>HYPERLINK(".\links\SMART\TI_asb-465-SMART.txt","AgrB")</f>
        <v>AgrB</v>
      </c>
      <c r="DJ13" s="6" t="str">
        <f>HYPERLINK("http://smart.embl-heidelberg.de/smart/do_annotation.pl?DOMAIN=AgrB&amp;BLAST=DUMMY","0.014")</f>
        <v>0.014</v>
      </c>
      <c r="DK13" s="6" t="s">
        <v>56</v>
      </c>
      <c r="DY13" s="6" t="s">
        <v>56</v>
      </c>
    </row>
    <row r="14" spans="1:142" s="6" customFormat="1">
      <c r="A14" s="6" t="str">
        <f>HYPERLINK(".\links\seq\TI_asb-38-seq.txt","TI_asb-38")</f>
        <v>TI_asb-38</v>
      </c>
      <c r="B14" s="6">
        <v>38</v>
      </c>
      <c r="C14" s="6" t="str">
        <f>HYPERLINK(".\links\tsa\TI_asb-38-tsa.txt","3")</f>
        <v>3</v>
      </c>
      <c r="D14" s="6">
        <v>3</v>
      </c>
      <c r="E14" s="6">
        <v>681</v>
      </c>
      <c r="G14" s="6" t="str">
        <f>HYPERLINK(".\links\qual\TI_asb-38-qual.txt","75")</f>
        <v>75</v>
      </c>
      <c r="H14" s="6">
        <v>0</v>
      </c>
      <c r="I14" s="6">
        <v>3</v>
      </c>
      <c r="J14" s="6">
        <f t="shared" si="0"/>
        <v>3</v>
      </c>
      <c r="K14" s="6" t="s">
        <v>3868</v>
      </c>
      <c r="L14" s="6" t="s">
        <v>3869</v>
      </c>
      <c r="P14" s="6">
        <v>681</v>
      </c>
      <c r="Q14" s="6">
        <v>297</v>
      </c>
      <c r="R14" s="6" t="s">
        <v>3501</v>
      </c>
      <c r="S14" s="6">
        <v>4</v>
      </c>
      <c r="T14" s="6" t="str">
        <f>HYPERLINK(".\links\NR-LIGHT\TI_asb-38-NR-LIGHT.txt","hypothetical protein")</f>
        <v>hypothetical protein</v>
      </c>
      <c r="U14" s="6" t="str">
        <f>HYPERLINK("http://www.ncbi.nlm.nih.gov/sutils/blink.cgi?pid=66506802","1E-005")</f>
        <v>1E-005</v>
      </c>
      <c r="V14" s="6" t="str">
        <f>HYPERLINK(".\links\NR-LIGHT\TI_asb-38-NR-LIGHT.txt"," 7")</f>
        <v xml:space="preserve"> 7</v>
      </c>
      <c r="W14" s="6" t="str">
        <f>HYPERLINK("http://www.ncbi.nlm.nih.gov/protein/66506802","gi|66506802")</f>
        <v>gi|66506802</v>
      </c>
      <c r="X14" s="6">
        <v>52.4</v>
      </c>
      <c r="Y14" s="6">
        <v>43</v>
      </c>
      <c r="Z14" s="6">
        <v>116</v>
      </c>
      <c r="AA14" s="6">
        <v>65</v>
      </c>
      <c r="AB14" s="6">
        <v>37</v>
      </c>
      <c r="AC14" s="6">
        <v>15</v>
      </c>
      <c r="AD14" s="6">
        <v>0</v>
      </c>
      <c r="AE14" s="6">
        <v>1</v>
      </c>
      <c r="AF14" s="6">
        <v>25</v>
      </c>
      <c r="AG14" s="6">
        <v>1</v>
      </c>
      <c r="AH14" s="6">
        <v>1</v>
      </c>
      <c r="AI14" s="6" t="s">
        <v>53</v>
      </c>
      <c r="AJ14" s="6" t="s">
        <v>54</v>
      </c>
      <c r="AK14" s="6" t="s">
        <v>344</v>
      </c>
      <c r="AL14" s="6" t="s">
        <v>56</v>
      </c>
      <c r="AM14" s="6" t="s">
        <v>56</v>
      </c>
      <c r="AN14" s="6" t="s">
        <v>56</v>
      </c>
      <c r="AO14" s="6" t="s">
        <v>56</v>
      </c>
      <c r="AP14" s="6" t="s">
        <v>56</v>
      </c>
      <c r="AQ14" s="6" t="s">
        <v>56</v>
      </c>
      <c r="AR14" s="6" t="s">
        <v>56</v>
      </c>
      <c r="AS14" s="6" t="s">
        <v>56</v>
      </c>
      <c r="AT14" s="6" t="s">
        <v>56</v>
      </c>
      <c r="AU14" s="6" t="s">
        <v>56</v>
      </c>
      <c r="AV14" s="6" t="s">
        <v>56</v>
      </c>
      <c r="AW14" s="6" t="s">
        <v>56</v>
      </c>
      <c r="AX14" s="6" t="s">
        <v>56</v>
      </c>
      <c r="AY14" s="6" t="s">
        <v>56</v>
      </c>
      <c r="AZ14" s="6" t="s">
        <v>56</v>
      </c>
      <c r="BA14" s="6" t="s">
        <v>56</v>
      </c>
      <c r="BB14" s="6" t="s">
        <v>56</v>
      </c>
      <c r="BC14" s="6" t="s">
        <v>56</v>
      </c>
      <c r="BD14" s="6" t="s">
        <v>56</v>
      </c>
      <c r="BE14" s="6" t="s">
        <v>56</v>
      </c>
      <c r="BF14" s="6" t="str">
        <f>HYPERLINK(".\links\PREV-RHOD-PEP\TI_asb-38-PREV-RHOD-PEP.txt","Contig17073_25")</f>
        <v>Contig17073_25</v>
      </c>
      <c r="BG14" s="7">
        <v>2.0000000000000002E-15</v>
      </c>
      <c r="BH14" s="6" t="str">
        <f>HYPERLINK(".\links\PREV-RHOD-PEP\TI_asb-38-PREV-RHOD-PEP.txt"," 8")</f>
        <v xml:space="preserve"> 8</v>
      </c>
      <c r="BI14" s="6" t="s">
        <v>345</v>
      </c>
      <c r="BJ14" s="6">
        <v>79</v>
      </c>
      <c r="BK14" s="6">
        <v>44</v>
      </c>
      <c r="BL14" s="6">
        <v>103</v>
      </c>
      <c r="BM14" s="6">
        <v>86</v>
      </c>
      <c r="BN14" s="6">
        <v>43</v>
      </c>
      <c r="BO14" s="6">
        <v>6</v>
      </c>
      <c r="BP14" s="6">
        <v>0</v>
      </c>
      <c r="BQ14" s="6">
        <v>1</v>
      </c>
      <c r="BR14" s="6">
        <v>25</v>
      </c>
      <c r="BS14" s="6">
        <v>1</v>
      </c>
      <c r="BT14" s="6" t="s">
        <v>54</v>
      </c>
      <c r="BU14" s="6" t="s">
        <v>346</v>
      </c>
      <c r="BV14" s="6" t="s">
        <v>56</v>
      </c>
      <c r="BW14" s="6" t="str">
        <f>HYPERLINK(".\links\PREV-RHOD-CDS\TI_asb-38-PREV-RHOD-CDS.txt","Contig17073_25")</f>
        <v>Contig17073_25</v>
      </c>
      <c r="BX14" s="7">
        <v>9.9999999999999993E-78</v>
      </c>
      <c r="BY14" s="6" t="s">
        <v>345</v>
      </c>
      <c r="BZ14" s="6">
        <v>289</v>
      </c>
      <c r="CA14" s="6">
        <v>303</v>
      </c>
      <c r="CB14" s="6">
        <v>312</v>
      </c>
      <c r="CC14" s="6">
        <v>86</v>
      </c>
      <c r="CD14" s="6">
        <v>97</v>
      </c>
      <c r="CE14" s="6">
        <v>42</v>
      </c>
      <c r="CF14" s="6">
        <v>10</v>
      </c>
      <c r="CG14" s="6">
        <v>9</v>
      </c>
      <c r="CH14" s="6">
        <v>33</v>
      </c>
      <c r="CI14" s="6">
        <v>1</v>
      </c>
      <c r="CJ14" s="6" t="s">
        <v>54</v>
      </c>
      <c r="CK14" s="6" t="s">
        <v>347</v>
      </c>
      <c r="CL14" s="6">
        <f>HYPERLINK(".\links\GO\TI_asb-38-GO.txt",4.2)</f>
        <v>4.2</v>
      </c>
      <c r="CM14" s="6" t="s">
        <v>58</v>
      </c>
      <c r="CN14" s="6" t="s">
        <v>58</v>
      </c>
      <c r="CP14" s="6" t="s">
        <v>59</v>
      </c>
      <c r="CQ14" s="6">
        <v>5.4</v>
      </c>
      <c r="CR14" s="6" t="s">
        <v>60</v>
      </c>
      <c r="CS14" s="6" t="s">
        <v>60</v>
      </c>
      <c r="CU14" s="6" t="s">
        <v>61</v>
      </c>
      <c r="CV14" s="6">
        <v>5.4</v>
      </c>
      <c r="CW14" s="6" t="s">
        <v>62</v>
      </c>
      <c r="CX14" s="6" t="s">
        <v>58</v>
      </c>
      <c r="CZ14" s="6" t="s">
        <v>63</v>
      </c>
      <c r="DA14" s="6">
        <v>5.4</v>
      </c>
      <c r="DB14" s="6" t="str">
        <f>HYPERLINK(".\links\CDD\TI_asb-38-CDD.txt","Merozoite_SPAM")</f>
        <v>Merozoite_SPAM</v>
      </c>
      <c r="DC14" s="6" t="str">
        <f>HYPERLINK("http://www.ncbi.nlm.nih.gov/Structure/cdd/cddsrv.cgi?uid=pfam07133&amp;version=v4.0","0.001")</f>
        <v>0.001</v>
      </c>
      <c r="DD14" s="6" t="s">
        <v>348</v>
      </c>
      <c r="DE14" s="6" t="str">
        <f>HYPERLINK(".\links\PFAM\TI_asb-38-PFAM.txt","Rtt106")</f>
        <v>Rtt106</v>
      </c>
      <c r="DF14" s="6" t="str">
        <f>HYPERLINK("http://pfam.sanger.ac.uk/family?acc=PF08512","7E-005")</f>
        <v>7E-005</v>
      </c>
      <c r="DG14" s="6" t="str">
        <f>HYPERLINK(".\links\PRK\TI_asb-38-PRK.txt","transcriptional regulator ICP4")</f>
        <v>transcriptional regulator ICP4</v>
      </c>
      <c r="DH14" s="7">
        <v>2.9999999999999997E-4</v>
      </c>
      <c r="DI14" s="6" t="str">
        <f>HYPERLINK(".\links\SMART\TI_asb-38-SMART.txt","PSN")</f>
        <v>PSN</v>
      </c>
      <c r="DJ14" s="6" t="str">
        <f>HYPERLINK("http://smart.embl-heidelberg.de/smart/do_annotation.pl?DOMAIN=PSN&amp;BLAST=DUMMY","8E-004")</f>
        <v>8E-004</v>
      </c>
      <c r="DK14" s="6" t="s">
        <v>56</v>
      </c>
      <c r="DY14" s="6" t="s">
        <v>56</v>
      </c>
    </row>
    <row r="15" spans="1:142" s="6" customFormat="1">
      <c r="A15" s="6" t="str">
        <f>HYPERLINK(".\links\seq\TI_asb-132-seq.txt","TI_asb-132")</f>
        <v>TI_asb-132</v>
      </c>
      <c r="B15" s="6">
        <v>132</v>
      </c>
      <c r="C15" s="6" t="str">
        <f>HYPERLINK(".\links\tsa\TI_asb-132-tsa.txt","1")</f>
        <v>1</v>
      </c>
      <c r="D15" s="6">
        <v>1</v>
      </c>
      <c r="E15" s="6">
        <v>382</v>
      </c>
      <c r="G15" s="6" t="str">
        <f>HYPERLINK(".\links\qual\TI_asb-132-qual.txt","52")</f>
        <v>52</v>
      </c>
      <c r="H15" s="6">
        <v>0</v>
      </c>
      <c r="I15" s="6">
        <v>1</v>
      </c>
      <c r="J15" s="6">
        <f t="shared" si="0"/>
        <v>1</v>
      </c>
      <c r="K15" s="6" t="s">
        <v>3868</v>
      </c>
      <c r="L15" s="6" t="s">
        <v>3869</v>
      </c>
      <c r="P15" s="6">
        <v>382</v>
      </c>
      <c r="Q15" s="6">
        <v>231</v>
      </c>
      <c r="R15" s="6" t="s">
        <v>3558</v>
      </c>
      <c r="S15" s="6">
        <v>3</v>
      </c>
      <c r="T15" s="6" t="str">
        <f>HYPERLINK(".\links\NR-LIGHT\TI_asb-132-NR-LIGHT.txt","odorant receptor 38")</f>
        <v>odorant receptor 38</v>
      </c>
      <c r="U15" s="6" t="str">
        <f>HYPERLINK("http://www.ncbi.nlm.nih.gov/sutils/blink.cgi?pid=299528647","0.53")</f>
        <v>0.53</v>
      </c>
      <c r="V15" s="6" t="str">
        <f>HYPERLINK(".\links\NR-LIGHT\TI_asb-132-NR-LIGHT.txt"," 1")</f>
        <v xml:space="preserve"> 1</v>
      </c>
      <c r="W15" s="6" t="str">
        <f>HYPERLINK("http://www.ncbi.nlm.nih.gov/protein/299528647","gi|299528647")</f>
        <v>gi|299528647</v>
      </c>
      <c r="X15" s="6">
        <v>35.4</v>
      </c>
      <c r="Y15" s="6">
        <v>60</v>
      </c>
      <c r="Z15" s="6">
        <v>414</v>
      </c>
      <c r="AA15" s="6">
        <v>36</v>
      </c>
      <c r="AB15" s="6">
        <v>14</v>
      </c>
      <c r="AC15" s="6">
        <v>38</v>
      </c>
      <c r="AD15" s="6">
        <v>0</v>
      </c>
      <c r="AE15" s="6">
        <v>41</v>
      </c>
      <c r="AF15" s="6">
        <v>2</v>
      </c>
      <c r="AG15" s="6">
        <v>1</v>
      </c>
      <c r="AH15" s="6">
        <v>2</v>
      </c>
      <c r="AI15" s="6" t="s">
        <v>53</v>
      </c>
      <c r="AJ15" s="6" t="s">
        <v>54</v>
      </c>
      <c r="AK15" s="6" t="s">
        <v>66</v>
      </c>
      <c r="AL15" s="6" t="str">
        <f>HYPERLINK(".\links\SWISSP\TI_asb-132-SWISSP.txt","Putative CDC123-like protein L884 OS=Acanthamoeba polyphaga mimivirus")</f>
        <v>Putative CDC123-like protein L884 OS=Acanthamoeba polyphaga mimivirus</v>
      </c>
      <c r="AM15" s="6" t="str">
        <f>HYPERLINK("http://www.uniprot.org/uniprot/Q5UQX4","8.0")</f>
        <v>8.0</v>
      </c>
      <c r="AN15" s="6" t="str">
        <f>HYPERLINK(".\links\SWISSP\TI_asb-132-SWISSP.txt"," 1")</f>
        <v xml:space="preserve"> 1</v>
      </c>
      <c r="AO15" s="6" t="s">
        <v>953</v>
      </c>
      <c r="AP15" s="6">
        <v>29.3</v>
      </c>
      <c r="AQ15" s="6">
        <v>54</v>
      </c>
      <c r="AR15" s="6">
        <v>323</v>
      </c>
      <c r="AS15" s="6">
        <v>27</v>
      </c>
      <c r="AT15" s="6">
        <v>17</v>
      </c>
      <c r="AU15" s="6">
        <v>39</v>
      </c>
      <c r="AV15" s="6">
        <v>0</v>
      </c>
      <c r="AW15" s="6">
        <v>56</v>
      </c>
      <c r="AX15" s="6">
        <v>24</v>
      </c>
      <c r="AY15" s="6">
        <v>1</v>
      </c>
      <c r="AZ15" s="6">
        <v>-3</v>
      </c>
      <c r="BA15" s="6" t="s">
        <v>53</v>
      </c>
      <c r="BB15" s="6" t="s">
        <v>64</v>
      </c>
      <c r="BC15" s="6" t="s">
        <v>498</v>
      </c>
      <c r="BD15" s="6" t="s">
        <v>954</v>
      </c>
      <c r="BE15" s="6" t="s">
        <v>955</v>
      </c>
      <c r="BF15" s="6" t="str">
        <f>HYPERLINK(".\links\PREV-RHOD-PEP\TI_asb-132-PREV-RHOD-PEP.txt","Contig17967_28")</f>
        <v>Contig17967_28</v>
      </c>
      <c r="BG15" s="7">
        <v>1E-13</v>
      </c>
      <c r="BH15" s="6" t="str">
        <f>HYPERLINK(".\links\PREV-RHOD-PEP\TI_asb-132-PREV-RHOD-PEP.txt"," 2")</f>
        <v xml:space="preserve"> 2</v>
      </c>
      <c r="BI15" s="6" t="s">
        <v>956</v>
      </c>
      <c r="BJ15" s="6">
        <v>71.2</v>
      </c>
      <c r="BK15" s="6">
        <v>74</v>
      </c>
      <c r="BL15" s="6">
        <v>197</v>
      </c>
      <c r="BM15" s="6">
        <v>54</v>
      </c>
      <c r="BN15" s="6">
        <v>38</v>
      </c>
      <c r="BO15" s="6">
        <v>34</v>
      </c>
      <c r="BP15" s="6">
        <v>0</v>
      </c>
      <c r="BQ15" s="6">
        <v>1</v>
      </c>
      <c r="BR15" s="6">
        <v>159</v>
      </c>
      <c r="BS15" s="6">
        <v>1</v>
      </c>
      <c r="BT15" s="6" t="s">
        <v>54</v>
      </c>
      <c r="BU15" s="6" t="s">
        <v>957</v>
      </c>
      <c r="BV15" s="6" t="s">
        <v>56</v>
      </c>
      <c r="BW15" s="6" t="str">
        <f>HYPERLINK(".\links\PREV-RHOD-CDS\TI_asb-132-PREV-RHOD-CDS.txt","Contig17967_28")</f>
        <v>Contig17967_28</v>
      </c>
      <c r="BX15" s="7">
        <v>3E-37</v>
      </c>
      <c r="BY15" s="6" t="s">
        <v>956</v>
      </c>
      <c r="BZ15" s="6">
        <v>155</v>
      </c>
      <c r="CA15" s="6">
        <v>220</v>
      </c>
      <c r="CB15" s="6">
        <v>594</v>
      </c>
      <c r="CC15" s="6">
        <v>83</v>
      </c>
      <c r="CD15" s="6">
        <v>37</v>
      </c>
      <c r="CE15" s="6">
        <v>36</v>
      </c>
      <c r="CF15" s="6">
        <v>3</v>
      </c>
      <c r="CG15" s="6">
        <v>1</v>
      </c>
      <c r="CH15" s="6">
        <v>159</v>
      </c>
      <c r="CI15" s="6">
        <v>1</v>
      </c>
      <c r="CJ15" s="6" t="s">
        <v>54</v>
      </c>
      <c r="CK15" s="6" t="s">
        <v>958</v>
      </c>
      <c r="CL15" s="6">
        <f>HYPERLINK(".\links\GO\TI_asb-132-GO.txt",4.2)</f>
        <v>4.2</v>
      </c>
      <c r="CM15" s="6" t="s">
        <v>58</v>
      </c>
      <c r="CN15" s="6" t="s">
        <v>58</v>
      </c>
      <c r="CP15" s="6" t="s">
        <v>59</v>
      </c>
      <c r="CQ15" s="6">
        <v>4.2</v>
      </c>
      <c r="CR15" s="6" t="s">
        <v>499</v>
      </c>
      <c r="CS15" s="6" t="s">
        <v>75</v>
      </c>
      <c r="CT15" s="6" t="s">
        <v>92</v>
      </c>
      <c r="CU15" s="6" t="s">
        <v>500</v>
      </c>
      <c r="CV15" s="6">
        <v>4.2</v>
      </c>
      <c r="CW15" s="6" t="s">
        <v>62</v>
      </c>
      <c r="CX15" s="6" t="s">
        <v>58</v>
      </c>
      <c r="CZ15" s="6" t="s">
        <v>63</v>
      </c>
      <c r="DA15" s="6">
        <v>4.2</v>
      </c>
      <c r="DB15" s="6" t="s">
        <v>56</v>
      </c>
      <c r="DC15" s="6" t="s">
        <v>56</v>
      </c>
      <c r="DD15" s="6" t="s">
        <v>56</v>
      </c>
      <c r="DE15" s="6" t="s">
        <v>56</v>
      </c>
      <c r="DF15" s="6" t="s">
        <v>56</v>
      </c>
      <c r="DG15" s="6" t="s">
        <v>56</v>
      </c>
      <c r="DH15" s="6" t="s">
        <v>56</v>
      </c>
      <c r="DI15" s="6" t="s">
        <v>56</v>
      </c>
      <c r="DJ15" s="6" t="s">
        <v>56</v>
      </c>
      <c r="DK15" s="6" t="s">
        <v>56</v>
      </c>
      <c r="DY15" s="6" t="s">
        <v>56</v>
      </c>
    </row>
    <row r="16" spans="1:142" s="6" customFormat="1">
      <c r="A16" s="6" t="str">
        <f>HYPERLINK(".\links\seq\TI_asb-391-seq.txt","TI_asb-391")</f>
        <v>TI_asb-391</v>
      </c>
      <c r="B16" s="6">
        <v>391</v>
      </c>
      <c r="C16" s="6" t="str">
        <f>HYPERLINK(".\links\tsa\TI_asb-391-tsa.txt","1")</f>
        <v>1</v>
      </c>
      <c r="D16" s="6">
        <v>1</v>
      </c>
      <c r="E16" s="6">
        <v>415</v>
      </c>
      <c r="G16" s="6" t="str">
        <f>HYPERLINK(".\links\qual\TI_asb-391-qual.txt","39")</f>
        <v>39</v>
      </c>
      <c r="H16" s="6">
        <v>0</v>
      </c>
      <c r="I16" s="6">
        <v>1</v>
      </c>
      <c r="J16" s="6">
        <f t="shared" si="0"/>
        <v>1</v>
      </c>
      <c r="K16" s="6" t="s">
        <v>3868</v>
      </c>
      <c r="L16" s="6" t="s">
        <v>3869</v>
      </c>
      <c r="P16" s="6">
        <v>415</v>
      </c>
      <c r="Q16" s="6">
        <v>345</v>
      </c>
      <c r="R16" s="6" t="s">
        <v>3711</v>
      </c>
      <c r="S16" s="6">
        <v>1</v>
      </c>
      <c r="T16" s="6" t="str">
        <f>HYPERLINK(".\links\NR-LIGHT\TI_asb-391-NR-LIGHT.txt","hypothetical protein")</f>
        <v>hypothetical protein</v>
      </c>
      <c r="U16" s="6" t="str">
        <f>HYPERLINK("http://www.ncbi.nlm.nih.gov/sutils/blink.cgi?pid=256081126","0.081")</f>
        <v>0.081</v>
      </c>
      <c r="V16" s="6" t="str">
        <f>HYPERLINK(".\links\NR-LIGHT\TI_asb-391-NR-LIGHT.txt"," 10")</f>
        <v xml:space="preserve"> 10</v>
      </c>
      <c r="W16" s="6" t="str">
        <f>HYPERLINK("http://www.ncbi.nlm.nih.gov/protein/256081126","gi|256081126")</f>
        <v>gi|256081126</v>
      </c>
      <c r="X16" s="6">
        <v>38.1</v>
      </c>
      <c r="Y16" s="6">
        <v>52</v>
      </c>
      <c r="Z16" s="6">
        <v>750</v>
      </c>
      <c r="AA16" s="6">
        <v>32</v>
      </c>
      <c r="AB16" s="6">
        <v>7</v>
      </c>
      <c r="AC16" s="6">
        <v>35</v>
      </c>
      <c r="AD16" s="6">
        <v>0</v>
      </c>
      <c r="AE16" s="6">
        <v>234</v>
      </c>
      <c r="AF16" s="6">
        <v>235</v>
      </c>
      <c r="AG16" s="6">
        <v>1</v>
      </c>
      <c r="AH16" s="6">
        <v>1</v>
      </c>
      <c r="AI16" s="6" t="s">
        <v>53</v>
      </c>
      <c r="AJ16" s="6" t="s">
        <v>54</v>
      </c>
      <c r="AK16" s="6" t="s">
        <v>1761</v>
      </c>
      <c r="AL16" s="6" t="str">
        <f>HYPERLINK(".\links\SWISSP\TI_asb-391-SWISSP.txt","DNA double-strand break repair rad50 ATPase OS=Methanobacterium")</f>
        <v>DNA double-strand break repair rad50 ATPase OS=Methanobacterium</v>
      </c>
      <c r="AM16" s="6" t="str">
        <f>HYPERLINK("http://www.uniprot.org/uniprot/O26640","0.32")</f>
        <v>0.32</v>
      </c>
      <c r="AN16" s="6" t="str">
        <f>HYPERLINK(".\links\SWISSP\TI_asb-391-SWISSP.txt"," 10")</f>
        <v xml:space="preserve"> 10</v>
      </c>
      <c r="AO16" s="6" t="s">
        <v>2350</v>
      </c>
      <c r="AP16" s="6">
        <v>33.9</v>
      </c>
      <c r="AQ16" s="6">
        <v>93</v>
      </c>
      <c r="AR16" s="6">
        <v>837</v>
      </c>
      <c r="AS16" s="6">
        <v>25</v>
      </c>
      <c r="AT16" s="6">
        <v>11</v>
      </c>
      <c r="AU16" s="6">
        <v>69</v>
      </c>
      <c r="AV16" s="6">
        <v>16</v>
      </c>
      <c r="AW16" s="6">
        <v>369</v>
      </c>
      <c r="AX16" s="6">
        <v>148</v>
      </c>
      <c r="AY16" s="6">
        <v>1</v>
      </c>
      <c r="AZ16" s="6">
        <v>1</v>
      </c>
      <c r="BA16" s="6" t="s">
        <v>53</v>
      </c>
      <c r="BB16" s="6" t="s">
        <v>54</v>
      </c>
      <c r="BC16" s="6" t="s">
        <v>2351</v>
      </c>
      <c r="BD16" s="6" t="s">
        <v>2352</v>
      </c>
      <c r="BE16" s="6" t="s">
        <v>2353</v>
      </c>
      <c r="BF16" s="6" t="str">
        <f>HYPERLINK(".\links\PREV-RHOD-PEP\TI_asb-391-PREV-RHOD-PEP.txt","Contig17543_20")</f>
        <v>Contig17543_20</v>
      </c>
      <c r="BG16" s="7">
        <v>5.0000000000000004E-44</v>
      </c>
      <c r="BH16" s="6" t="str">
        <f>HYPERLINK(".\links\PREV-RHOD-PEP\TI_asb-391-PREV-RHOD-PEP.txt"," 10")</f>
        <v xml:space="preserve"> 10</v>
      </c>
      <c r="BI16" s="6" t="s">
        <v>2354</v>
      </c>
      <c r="BJ16" s="6">
        <v>172</v>
      </c>
      <c r="BK16" s="6">
        <v>108</v>
      </c>
      <c r="BL16" s="6">
        <v>293</v>
      </c>
      <c r="BM16" s="6">
        <v>81</v>
      </c>
      <c r="BN16" s="6">
        <v>37</v>
      </c>
      <c r="BO16" s="6">
        <v>20</v>
      </c>
      <c r="BP16" s="6">
        <v>0</v>
      </c>
      <c r="BQ16" s="6">
        <v>4</v>
      </c>
      <c r="BR16" s="6">
        <v>91</v>
      </c>
      <c r="BS16" s="6">
        <v>1</v>
      </c>
      <c r="BT16" s="6" t="s">
        <v>54</v>
      </c>
      <c r="BU16" s="6" t="s">
        <v>2355</v>
      </c>
      <c r="BV16" s="6" t="s">
        <v>56</v>
      </c>
      <c r="BW16" s="6" t="str">
        <f>HYPERLINK(".\links\PREV-RHOD-CDS\TI_asb-391-PREV-RHOD-CDS.txt","Contig17543_20")</f>
        <v>Contig17543_20</v>
      </c>
      <c r="BX16" s="7">
        <v>3E-34</v>
      </c>
      <c r="BY16" s="6" t="s">
        <v>2354</v>
      </c>
      <c r="BZ16" s="6">
        <v>145</v>
      </c>
      <c r="CA16" s="6">
        <v>116</v>
      </c>
      <c r="CB16" s="6">
        <v>882</v>
      </c>
      <c r="CC16" s="6">
        <v>90</v>
      </c>
      <c r="CD16" s="6">
        <v>13</v>
      </c>
      <c r="CE16" s="6">
        <v>11</v>
      </c>
      <c r="CF16" s="6">
        <v>0</v>
      </c>
      <c r="CG16" s="6">
        <v>75</v>
      </c>
      <c r="CH16" s="6">
        <v>156</v>
      </c>
      <c r="CI16" s="6">
        <v>1</v>
      </c>
      <c r="CJ16" s="6" t="s">
        <v>54</v>
      </c>
      <c r="CK16" s="6" t="s">
        <v>2356</v>
      </c>
      <c r="CL16" s="6">
        <f>HYPERLINK(".\links\GO\TI_asb-391-GO.txt",0.098)</f>
        <v>9.8000000000000004E-2</v>
      </c>
      <c r="CM16" s="6" t="s">
        <v>2357</v>
      </c>
      <c r="CN16" s="6" t="s">
        <v>129</v>
      </c>
      <c r="CO16" s="6" t="s">
        <v>151</v>
      </c>
      <c r="CP16" s="6" t="s">
        <v>2358</v>
      </c>
      <c r="CQ16" s="6">
        <v>9.8000000000000004E-2</v>
      </c>
      <c r="CR16" s="6" t="s">
        <v>60</v>
      </c>
      <c r="CS16" s="6" t="s">
        <v>60</v>
      </c>
      <c r="CU16" s="6" t="s">
        <v>61</v>
      </c>
      <c r="CV16" s="6">
        <v>9.8000000000000004E-2</v>
      </c>
      <c r="CW16" s="6" t="s">
        <v>2359</v>
      </c>
      <c r="CX16" s="6" t="s">
        <v>129</v>
      </c>
      <c r="CY16" s="6" t="s">
        <v>151</v>
      </c>
      <c r="CZ16" s="6" t="s">
        <v>2360</v>
      </c>
      <c r="DA16" s="6">
        <v>9.8000000000000004E-2</v>
      </c>
      <c r="DB16" s="6" t="s">
        <v>56</v>
      </c>
      <c r="DC16" s="6" t="s">
        <v>56</v>
      </c>
      <c r="DD16" s="6" t="s">
        <v>56</v>
      </c>
      <c r="DE16" s="6" t="str">
        <f>HYPERLINK(".\links\PFAM\TI_asb-391-PFAM.txt","EIID-AGA")</f>
        <v>EIID-AGA</v>
      </c>
      <c r="DF16" s="6" t="str">
        <f>HYPERLINK("http://pfam.sanger.ac.uk/family?acc=PF03613","0.015")</f>
        <v>0.015</v>
      </c>
      <c r="DG16" s="6" t="s">
        <v>56</v>
      </c>
      <c r="DH16" s="6" t="s">
        <v>56</v>
      </c>
      <c r="DI16" s="6" t="s">
        <v>56</v>
      </c>
      <c r="DJ16" s="6" t="s">
        <v>56</v>
      </c>
      <c r="DK16" s="6" t="s">
        <v>56</v>
      </c>
      <c r="DY16" s="6" t="s">
        <v>56</v>
      </c>
    </row>
    <row r="17" spans="1:129" s="6" customFormat="1">
      <c r="A17" s="6" t="str">
        <f>HYPERLINK(".\links\seq\TI_asb-84-seq.txt","TI_asb-84")</f>
        <v>TI_asb-84</v>
      </c>
      <c r="B17" s="6">
        <v>84</v>
      </c>
      <c r="C17" s="6" t="str">
        <f>HYPERLINK(".\links\tsa\TI_asb-84-tsa.txt","4")</f>
        <v>4</v>
      </c>
      <c r="D17" s="6">
        <v>4</v>
      </c>
      <c r="E17" s="6">
        <v>784</v>
      </c>
      <c r="G17" s="6" t="str">
        <f>HYPERLINK(".\links\qual\TI_asb-84-qual.txt","78")</f>
        <v>78</v>
      </c>
      <c r="H17" s="6">
        <v>0</v>
      </c>
      <c r="I17" s="6">
        <v>4</v>
      </c>
      <c r="J17" s="6">
        <f t="shared" si="0"/>
        <v>4</v>
      </c>
      <c r="K17" s="6" t="s">
        <v>3868</v>
      </c>
      <c r="L17" s="6" t="s">
        <v>3869</v>
      </c>
      <c r="P17" s="6">
        <v>784</v>
      </c>
      <c r="Q17" s="6">
        <v>555</v>
      </c>
      <c r="R17" s="6" t="s">
        <v>3527</v>
      </c>
      <c r="S17" s="6">
        <v>3</v>
      </c>
      <c r="T17" s="6" t="str">
        <f>HYPERLINK(".\links\NR-LIGHT\TI_asb-84-NR-LIGHT.txt","conserved Plasmodium protein, unknown function")</f>
        <v>conserved Plasmodium protein, unknown function</v>
      </c>
      <c r="U17" s="6" t="str">
        <f>HYPERLINK("http://www.ncbi.nlm.nih.gov/sutils/blink.cgi?pid=124511844","1E-004")</f>
        <v>1E-004</v>
      </c>
      <c r="V17" s="6" t="str">
        <f>HYPERLINK(".\links\NR-LIGHT\TI_asb-84-NR-LIGHT.txt"," 10")</f>
        <v xml:space="preserve"> 10</v>
      </c>
      <c r="W17" s="6" t="str">
        <f>HYPERLINK("http://www.ncbi.nlm.nih.gov/protein/124511844","gi|124511844")</f>
        <v>gi|124511844</v>
      </c>
      <c r="X17" s="6">
        <v>49.3</v>
      </c>
      <c r="Y17" s="6">
        <v>106</v>
      </c>
      <c r="Z17" s="6">
        <v>2206</v>
      </c>
      <c r="AA17" s="6">
        <v>28</v>
      </c>
      <c r="AB17" s="6">
        <v>5</v>
      </c>
      <c r="AC17" s="6">
        <v>76</v>
      </c>
      <c r="AD17" s="6">
        <v>0</v>
      </c>
      <c r="AE17" s="6">
        <v>632</v>
      </c>
      <c r="AF17" s="6">
        <v>255</v>
      </c>
      <c r="AG17" s="6">
        <v>1</v>
      </c>
      <c r="AH17" s="6">
        <v>3</v>
      </c>
      <c r="AI17" s="6" t="s">
        <v>53</v>
      </c>
      <c r="AJ17" s="6" t="s">
        <v>54</v>
      </c>
      <c r="AK17" s="6" t="s">
        <v>294</v>
      </c>
      <c r="AL17" s="6" t="str">
        <f>HYPERLINK(".\links\SWISSP\TI_asb-84-SWISSP.txt","Myosin-G heavy chain OS=Dictyostelium discoideum GN=myoG PE=3 SV=1")</f>
        <v>Myosin-G heavy chain OS=Dictyostelium discoideum GN=myoG PE=3 SV=1</v>
      </c>
      <c r="AM17" s="6" t="str">
        <f>HYPERLINK("http://www.uniprot.org/uniprot/Q86AC8","0.051")</f>
        <v>0.051</v>
      </c>
      <c r="AN17" s="6" t="str">
        <f>HYPERLINK(".\links\SWISSP\TI_asb-84-SWISSP.txt"," 10")</f>
        <v xml:space="preserve"> 10</v>
      </c>
      <c r="AO17" s="6" t="s">
        <v>643</v>
      </c>
      <c r="AP17" s="6">
        <v>38.5</v>
      </c>
      <c r="AQ17" s="6">
        <v>164</v>
      </c>
      <c r="AR17" s="6">
        <v>3446</v>
      </c>
      <c r="AS17" s="6">
        <v>20</v>
      </c>
      <c r="AT17" s="6">
        <v>5</v>
      </c>
      <c r="AU17" s="6">
        <v>131</v>
      </c>
      <c r="AV17" s="6">
        <v>4</v>
      </c>
      <c r="AW17" s="6">
        <v>1547</v>
      </c>
      <c r="AX17" s="6">
        <v>279</v>
      </c>
      <c r="AY17" s="6">
        <v>1</v>
      </c>
      <c r="AZ17" s="6">
        <v>3</v>
      </c>
      <c r="BA17" s="6" t="s">
        <v>53</v>
      </c>
      <c r="BB17" s="6" t="s">
        <v>54</v>
      </c>
      <c r="BC17" s="6" t="s">
        <v>386</v>
      </c>
      <c r="BD17" s="6" t="s">
        <v>644</v>
      </c>
      <c r="BE17" s="6" t="s">
        <v>645</v>
      </c>
      <c r="BF17" s="6" t="str">
        <f>HYPERLINK(".\links\PREV-RHOD-PEP\TI_asb-84-PREV-RHOD-PEP.txt","Contig17527_16")</f>
        <v>Contig17527_16</v>
      </c>
      <c r="BG17" s="7">
        <v>5.0000000000000002E-54</v>
      </c>
      <c r="BH17" s="6" t="str">
        <f>HYPERLINK(".\links\PREV-RHOD-PEP\TI_asb-84-PREV-RHOD-PEP.txt"," 10")</f>
        <v xml:space="preserve"> 10</v>
      </c>
      <c r="BI17" s="6" t="s">
        <v>646</v>
      </c>
      <c r="BJ17" s="6">
        <v>207</v>
      </c>
      <c r="BK17" s="6">
        <v>186</v>
      </c>
      <c r="BL17" s="6">
        <v>500</v>
      </c>
      <c r="BM17" s="6">
        <v>61</v>
      </c>
      <c r="BN17" s="6">
        <v>37</v>
      </c>
      <c r="BO17" s="6">
        <v>71</v>
      </c>
      <c r="BP17" s="6">
        <v>3</v>
      </c>
      <c r="BQ17" s="6">
        <v>1</v>
      </c>
      <c r="BR17" s="6">
        <v>234</v>
      </c>
      <c r="BS17" s="6">
        <v>1</v>
      </c>
      <c r="BT17" s="6" t="s">
        <v>54</v>
      </c>
      <c r="BU17" s="6" t="s">
        <v>647</v>
      </c>
      <c r="BV17" s="6" t="s">
        <v>56</v>
      </c>
      <c r="BW17" s="6" t="str">
        <f>HYPERLINK(".\links\PREV-RHOD-CDS\TI_asb-84-PREV-RHOD-CDS.txt","Contig17527_16")</f>
        <v>Contig17527_16</v>
      </c>
      <c r="BX17" s="7">
        <v>2E-12</v>
      </c>
      <c r="BY17" s="6" t="s">
        <v>646</v>
      </c>
      <c r="BZ17" s="6">
        <v>73.8</v>
      </c>
      <c r="CA17" s="6">
        <v>528</v>
      </c>
      <c r="CB17" s="6">
        <v>1503</v>
      </c>
      <c r="CC17" s="6">
        <v>81</v>
      </c>
      <c r="CD17" s="6">
        <v>35</v>
      </c>
      <c r="CE17" s="6">
        <v>28</v>
      </c>
      <c r="CF17" s="6">
        <v>0</v>
      </c>
      <c r="CG17" s="6">
        <v>1</v>
      </c>
      <c r="CH17" s="6">
        <v>234</v>
      </c>
      <c r="CI17" s="6">
        <v>3</v>
      </c>
      <c r="CJ17" s="6" t="s">
        <v>54</v>
      </c>
      <c r="CK17" s="6" t="s">
        <v>648</v>
      </c>
      <c r="CL17" s="6">
        <f>HYPERLINK(".\links\GO\TI_asb-84-GO.txt",0.015)</f>
        <v>1.4999999999999999E-2</v>
      </c>
      <c r="CM17" s="6" t="s">
        <v>337</v>
      </c>
      <c r="CN17" s="6" t="s">
        <v>185</v>
      </c>
      <c r="CO17" s="6" t="s">
        <v>338</v>
      </c>
      <c r="CP17" s="6" t="s">
        <v>339</v>
      </c>
      <c r="CQ17" s="6">
        <v>1.4999999999999999E-2</v>
      </c>
      <c r="CR17" s="6" t="s">
        <v>649</v>
      </c>
      <c r="CS17" s="6" t="s">
        <v>75</v>
      </c>
      <c r="CT17" s="6" t="s">
        <v>76</v>
      </c>
      <c r="CU17" s="6" t="s">
        <v>650</v>
      </c>
      <c r="CV17" s="6">
        <v>1.4999999999999999E-2</v>
      </c>
      <c r="CW17" s="6" t="s">
        <v>651</v>
      </c>
      <c r="CX17" s="6" t="s">
        <v>185</v>
      </c>
      <c r="CY17" s="6" t="s">
        <v>338</v>
      </c>
      <c r="CZ17" s="6" t="s">
        <v>652</v>
      </c>
      <c r="DA17" s="6">
        <v>1.4999999999999999E-2</v>
      </c>
      <c r="DB17" s="6" t="s">
        <v>56</v>
      </c>
      <c r="DC17" s="6" t="s">
        <v>56</v>
      </c>
      <c r="DD17" s="6" t="s">
        <v>56</v>
      </c>
      <c r="DE17" s="6" t="s">
        <v>56</v>
      </c>
      <c r="DF17" s="6" t="s">
        <v>56</v>
      </c>
      <c r="DG17" s="6" t="s">
        <v>56</v>
      </c>
      <c r="DH17" s="6" t="s">
        <v>56</v>
      </c>
      <c r="DI17" s="6" t="str">
        <f>HYPERLINK(".\links\SMART\TI_asb-84-SMART.txt","AgrB")</f>
        <v>AgrB</v>
      </c>
      <c r="DJ17" s="6" t="str">
        <f>HYPERLINK("http://smart.embl-heidelberg.de/smart/do_annotation.pl?DOMAIN=AgrB&amp;BLAST=DUMMY","0.036")</f>
        <v>0.036</v>
      </c>
      <c r="DK17" s="6" t="s">
        <v>56</v>
      </c>
      <c r="DY17" s="6" t="s">
        <v>56</v>
      </c>
    </row>
    <row r="18" spans="1:129" s="6" customFormat="1">
      <c r="A18" s="6" t="str">
        <f>HYPERLINK(".\links\seq\TI_asb-515-seq.txt","TI_asb-515")</f>
        <v>TI_asb-515</v>
      </c>
      <c r="B18" s="6">
        <v>515</v>
      </c>
      <c r="C18" s="6" t="str">
        <f>HYPERLINK(".\links\tsa\TI_asb-515-tsa.txt","1")</f>
        <v>1</v>
      </c>
      <c r="D18" s="6">
        <v>1</v>
      </c>
      <c r="E18" s="6">
        <v>641</v>
      </c>
      <c r="F18" s="6">
        <v>615</v>
      </c>
      <c r="G18" s="6" t="str">
        <f>HYPERLINK(".\links\qual\TI_asb-515-qual.txt","40")</f>
        <v>40</v>
      </c>
      <c r="H18" s="6">
        <v>0</v>
      </c>
      <c r="I18" s="6">
        <v>1</v>
      </c>
      <c r="J18" s="6">
        <f t="shared" si="0"/>
        <v>1</v>
      </c>
      <c r="K18" s="6" t="s">
        <v>3868</v>
      </c>
      <c r="L18" s="6" t="s">
        <v>3869</v>
      </c>
      <c r="P18" s="6">
        <v>641</v>
      </c>
      <c r="Q18" s="6">
        <v>369</v>
      </c>
      <c r="R18" s="6" t="s">
        <v>3794</v>
      </c>
      <c r="S18" s="6">
        <v>2</v>
      </c>
      <c r="T18" s="6" t="str">
        <f>HYPERLINK(".\links\NR-LIGHT\TI_asb-515-NR-LIGHT.txt","ACYPI006488")</f>
        <v>ACYPI006488</v>
      </c>
      <c r="U18" s="6" t="str">
        <f>HYPERLINK("http://www.ncbi.nlm.nih.gov/sutils/blink.cgi?pid=239791045","2.2")</f>
        <v>2.2</v>
      </c>
      <c r="V18" s="6" t="str">
        <f>HYPERLINK(".\links\NR-LIGHT\TI_asb-515-NR-LIGHT.txt"," 7")</f>
        <v xml:space="preserve"> 7</v>
      </c>
      <c r="W18" s="6" t="str">
        <f>HYPERLINK("http://www.ncbi.nlm.nih.gov/protein/239791045","gi|239791045")</f>
        <v>gi|239791045</v>
      </c>
      <c r="X18" s="6">
        <v>34.700000000000003</v>
      </c>
      <c r="Y18" s="6">
        <v>73</v>
      </c>
      <c r="Z18" s="6">
        <v>341</v>
      </c>
      <c r="AA18" s="6">
        <v>36</v>
      </c>
      <c r="AB18" s="6">
        <v>21</v>
      </c>
      <c r="AC18" s="6">
        <v>46</v>
      </c>
      <c r="AD18" s="6">
        <v>0</v>
      </c>
      <c r="AE18" s="6">
        <v>167</v>
      </c>
      <c r="AF18" s="6">
        <v>197</v>
      </c>
      <c r="AG18" s="6">
        <v>1</v>
      </c>
      <c r="AH18" s="6">
        <v>2</v>
      </c>
      <c r="AI18" s="6" t="s">
        <v>53</v>
      </c>
      <c r="AJ18" s="6" t="s">
        <v>54</v>
      </c>
      <c r="AK18" s="6" t="s">
        <v>177</v>
      </c>
      <c r="AL18" s="6" t="str">
        <f>HYPERLINK(".\links\SWISSP\TI_asb-515-SWISSP.txt","Putative dioxygenase subunit beta yeaX OS=Escherichia coli (strain K12) GN=yeaX")</f>
        <v>Putative dioxygenase subunit beta yeaX OS=Escherichia coli (strain K12) GN=yeaX</v>
      </c>
      <c r="AM18" s="6" t="str">
        <f>HYPERLINK("http://www.uniprot.org/uniprot/P76254","2.6")</f>
        <v>2.6</v>
      </c>
      <c r="AN18" s="6" t="str">
        <f>HYPERLINK(".\links\SWISSP\TI_asb-515-SWISSP.txt"," 10")</f>
        <v xml:space="preserve"> 10</v>
      </c>
      <c r="AO18" s="6" t="s">
        <v>3027</v>
      </c>
      <c r="AP18" s="6">
        <v>32.299999999999997</v>
      </c>
      <c r="AQ18" s="6">
        <v>59</v>
      </c>
      <c r="AR18" s="6">
        <v>321</v>
      </c>
      <c r="AS18" s="6">
        <v>28</v>
      </c>
      <c r="AT18" s="6">
        <v>18</v>
      </c>
      <c r="AU18" s="6">
        <v>42</v>
      </c>
      <c r="AV18" s="6">
        <v>0</v>
      </c>
      <c r="AW18" s="6">
        <v>113</v>
      </c>
      <c r="AX18" s="6">
        <v>306</v>
      </c>
      <c r="AY18" s="6">
        <v>1</v>
      </c>
      <c r="AZ18" s="6">
        <v>-1</v>
      </c>
      <c r="BA18" s="6" t="s">
        <v>53</v>
      </c>
      <c r="BB18" s="6" t="s">
        <v>64</v>
      </c>
      <c r="BC18" s="6" t="s">
        <v>959</v>
      </c>
      <c r="BD18" s="6" t="s">
        <v>3028</v>
      </c>
      <c r="BE18" s="6" t="s">
        <v>3029</v>
      </c>
      <c r="BF18" s="6" t="str">
        <f>HYPERLINK(".\links\PREV-RHOD-PEP\TI_asb-515-PREV-RHOD-PEP.txt","Contig7471_2")</f>
        <v>Contig7471_2</v>
      </c>
      <c r="BG18" s="7">
        <v>6.0000000000000001E-28</v>
      </c>
      <c r="BH18" s="6" t="str">
        <f>HYPERLINK(".\links\PREV-RHOD-PEP\TI_asb-515-PREV-RHOD-PEP.txt"," 10")</f>
        <v xml:space="preserve"> 10</v>
      </c>
      <c r="BI18" s="6" t="s">
        <v>1188</v>
      </c>
      <c r="BJ18" s="6">
        <v>120</v>
      </c>
      <c r="BK18" s="6">
        <v>151</v>
      </c>
      <c r="BL18" s="6">
        <v>410</v>
      </c>
      <c r="BM18" s="6">
        <v>41</v>
      </c>
      <c r="BN18" s="6">
        <v>37</v>
      </c>
      <c r="BO18" s="6">
        <v>88</v>
      </c>
      <c r="BP18" s="6">
        <v>8</v>
      </c>
      <c r="BQ18" s="6">
        <v>212</v>
      </c>
      <c r="BR18" s="6">
        <v>14</v>
      </c>
      <c r="BS18" s="6">
        <v>1</v>
      </c>
      <c r="BT18" s="6" t="s">
        <v>54</v>
      </c>
      <c r="BU18" s="6" t="s">
        <v>3030</v>
      </c>
      <c r="BV18" s="6" t="s">
        <v>439</v>
      </c>
      <c r="BW18" s="6" t="str">
        <f>HYPERLINK(".\links\PREV-RHOD-CDS\TI_asb-515-PREV-RHOD-CDS.txt","Contig18356_1")</f>
        <v>Contig18356_1</v>
      </c>
      <c r="BX18" s="6">
        <v>1.2</v>
      </c>
      <c r="BY18" s="6" t="s">
        <v>3031</v>
      </c>
      <c r="BZ18" s="6">
        <v>34.200000000000003</v>
      </c>
      <c r="CA18" s="6">
        <v>16</v>
      </c>
      <c r="CB18" s="6">
        <v>519</v>
      </c>
      <c r="CC18" s="6">
        <v>100</v>
      </c>
      <c r="CD18" s="6">
        <v>3</v>
      </c>
      <c r="CE18" s="6">
        <v>0</v>
      </c>
      <c r="CF18" s="6">
        <v>0</v>
      </c>
      <c r="CG18" s="6">
        <v>203</v>
      </c>
      <c r="CH18" s="6">
        <v>303</v>
      </c>
      <c r="CI18" s="6">
        <v>1</v>
      </c>
      <c r="CJ18" s="6" t="s">
        <v>54</v>
      </c>
      <c r="CK18" s="6" t="s">
        <v>3032</v>
      </c>
      <c r="CL18" s="6">
        <f>HYPERLINK(".\links\GO\TI_asb-515-GO.txt",1.3)</f>
        <v>1.3</v>
      </c>
      <c r="CM18" s="6" t="s">
        <v>58</v>
      </c>
      <c r="CN18" s="6" t="s">
        <v>58</v>
      </c>
      <c r="CP18" s="6" t="s">
        <v>59</v>
      </c>
      <c r="CQ18" s="6">
        <v>4.9000000000000004</v>
      </c>
      <c r="CR18" s="6" t="s">
        <v>74</v>
      </c>
      <c r="CS18" s="6" t="s">
        <v>75</v>
      </c>
      <c r="CT18" s="6" t="s">
        <v>76</v>
      </c>
      <c r="CU18" s="6" t="s">
        <v>77</v>
      </c>
      <c r="CV18" s="6">
        <v>4.9000000000000004</v>
      </c>
      <c r="CW18" s="6" t="s">
        <v>3033</v>
      </c>
      <c r="CX18" s="6" t="s">
        <v>58</v>
      </c>
      <c r="CZ18" s="6" t="s">
        <v>3034</v>
      </c>
      <c r="DA18" s="6">
        <v>4.9000000000000004</v>
      </c>
      <c r="DB18" s="6" t="str">
        <f>HYPERLINK(".\links\CDD\TI_asb-515-CDD.txt","ND5")</f>
        <v>ND5</v>
      </c>
      <c r="DC18" s="6" t="str">
        <f>HYPERLINK("http://www.ncbi.nlm.nih.gov/Structure/cdd/cddsrv.cgi?uid=MTH00095&amp;version=v4.0","5E-007")</f>
        <v>5E-007</v>
      </c>
      <c r="DD18" s="6" t="s">
        <v>3035</v>
      </c>
      <c r="DE18" s="6" t="str">
        <f>HYPERLINK(".\links\PFAM\TI_asb-515-PFAM.txt","7TM_GPCR_Srz")</f>
        <v>7TM_GPCR_Srz</v>
      </c>
      <c r="DF18" s="6" t="str">
        <f>HYPERLINK("http://pfam.sanger.ac.uk/family?acc=PF10325","7E-004")</f>
        <v>7E-004</v>
      </c>
      <c r="DG18" s="6" t="str">
        <f>HYPERLINK(".\links\PRK\TI_asb-515-PRK.txt","NADH dehydrogenase subunit 5")</f>
        <v>NADH dehydrogenase subunit 5</v>
      </c>
      <c r="DH18" s="7">
        <v>6.0000000000000002E-5</v>
      </c>
      <c r="DI18" s="6" t="str">
        <f>HYPERLINK(".\links\SMART\TI_asb-515-SMART.txt","PSN")</f>
        <v>PSN</v>
      </c>
      <c r="DJ18" s="6" t="str">
        <f>HYPERLINK("http://smart.embl-heidelberg.de/smart/do_annotation.pl?DOMAIN=PSN&amp;BLAST=DUMMY","0.025")</f>
        <v>0.025</v>
      </c>
      <c r="DK18" s="6" t="s">
        <v>56</v>
      </c>
      <c r="DY18" s="6" t="s">
        <v>56</v>
      </c>
    </row>
    <row r="19" spans="1:129" s="6" customFormat="1">
      <c r="A19" s="6" t="str">
        <f>HYPERLINK(".\links\seq\TI_asb-310-seq.txt","TI_asb-310")</f>
        <v>TI_asb-310</v>
      </c>
      <c r="B19" s="6">
        <v>310</v>
      </c>
      <c r="C19" s="6" t="str">
        <f>HYPERLINK(".\links\tsa\TI_asb-310-tsa.txt","1")</f>
        <v>1</v>
      </c>
      <c r="D19" s="6">
        <v>1</v>
      </c>
      <c r="E19" s="6">
        <v>555</v>
      </c>
      <c r="G19" s="6" t="str">
        <f>HYPERLINK(".\links\qual\TI_asb-310-qual.txt","39")</f>
        <v>39</v>
      </c>
      <c r="H19" s="6">
        <v>0</v>
      </c>
      <c r="I19" s="6">
        <v>1</v>
      </c>
      <c r="J19" s="6">
        <f t="shared" si="0"/>
        <v>1</v>
      </c>
      <c r="K19" s="6" t="s">
        <v>3868</v>
      </c>
      <c r="L19" s="6" t="s">
        <v>3869</v>
      </c>
      <c r="P19" s="6">
        <v>555</v>
      </c>
      <c r="Q19" s="6">
        <v>459</v>
      </c>
      <c r="R19" s="6" t="s">
        <v>3662</v>
      </c>
      <c r="S19" s="6">
        <v>1</v>
      </c>
      <c r="T19" s="6" t="str">
        <f>HYPERLINK(".\links\NR-LIGHT\TI_asb-310-NR-LIGHT.txt","Viral A-type inclusion protein repeat containing protein")</f>
        <v>Viral A-type inclusion protein repeat containing protein</v>
      </c>
      <c r="U19" s="6" t="str">
        <f>HYPERLINK("http://www.ncbi.nlm.nih.gov/sutils/blink.cgi?pid=170594575","0.029")</f>
        <v>0.029</v>
      </c>
      <c r="V19" s="6" t="str">
        <f>HYPERLINK(".\links\NR-LIGHT\TI_asb-310-NR-LIGHT.txt"," 10")</f>
        <v xml:space="preserve"> 10</v>
      </c>
      <c r="W19" s="6" t="str">
        <f>HYPERLINK("http://www.ncbi.nlm.nih.gov/protein/170594575","gi|170594575")</f>
        <v>gi|170594575</v>
      </c>
      <c r="X19" s="6">
        <v>40.4</v>
      </c>
      <c r="Y19" s="6">
        <v>106</v>
      </c>
      <c r="Z19" s="6">
        <v>1051</v>
      </c>
      <c r="AA19" s="6">
        <v>28</v>
      </c>
      <c r="AB19" s="6">
        <v>10</v>
      </c>
      <c r="AC19" s="6">
        <v>76</v>
      </c>
      <c r="AD19" s="6">
        <v>0</v>
      </c>
      <c r="AE19" s="6">
        <v>784</v>
      </c>
      <c r="AF19" s="6">
        <v>79</v>
      </c>
      <c r="AG19" s="6">
        <v>1</v>
      </c>
      <c r="AH19" s="6">
        <v>1</v>
      </c>
      <c r="AI19" s="6" t="s">
        <v>53</v>
      </c>
      <c r="AJ19" s="6" t="s">
        <v>54</v>
      </c>
      <c r="AK19" s="6" t="s">
        <v>304</v>
      </c>
      <c r="AL19" s="6" t="str">
        <f>HYPERLINK(".\links\SWISSP\TI_asb-310-SWISSP.txt","Spindle assembly checkpoint component mad1 OS=Schizosaccharomyces pombe GN=mad1")</f>
        <v>Spindle assembly checkpoint component mad1 OS=Schizosaccharomyces pombe GN=mad1</v>
      </c>
      <c r="AM19" s="6" t="str">
        <f>HYPERLINK("http://www.uniprot.org/uniprot/P87169","0.027")</f>
        <v>0.027</v>
      </c>
      <c r="AN19" s="6" t="str">
        <f>HYPERLINK(".\links\SWISSP\TI_asb-310-SWISSP.txt"," 10")</f>
        <v xml:space="preserve"> 10</v>
      </c>
      <c r="AO19" s="6" t="s">
        <v>1918</v>
      </c>
      <c r="AP19" s="6">
        <v>38.5</v>
      </c>
      <c r="AQ19" s="6">
        <v>109</v>
      </c>
      <c r="AR19" s="6">
        <v>689</v>
      </c>
      <c r="AS19" s="6">
        <v>25</v>
      </c>
      <c r="AT19" s="6">
        <v>16</v>
      </c>
      <c r="AU19" s="6">
        <v>81</v>
      </c>
      <c r="AV19" s="6">
        <v>14</v>
      </c>
      <c r="AW19" s="6">
        <v>54</v>
      </c>
      <c r="AX19" s="6">
        <v>88</v>
      </c>
      <c r="AY19" s="6">
        <v>1</v>
      </c>
      <c r="AZ19" s="6">
        <v>1</v>
      </c>
      <c r="BA19" s="6" t="s">
        <v>53</v>
      </c>
      <c r="BB19" s="6" t="s">
        <v>54</v>
      </c>
      <c r="BC19" s="6" t="s">
        <v>1064</v>
      </c>
      <c r="BD19" s="6" t="s">
        <v>1919</v>
      </c>
      <c r="BE19" s="6" t="s">
        <v>1920</v>
      </c>
      <c r="BF19" s="6" t="str">
        <f>HYPERLINK(".\links\PREV-RHOD-PEP\TI_asb-310-PREV-RHOD-PEP.txt","Contig17969_105")</f>
        <v>Contig17969_105</v>
      </c>
      <c r="BG19" s="7">
        <v>3E-34</v>
      </c>
      <c r="BH19" s="6" t="str">
        <f>HYPERLINK(".\links\PREV-RHOD-PEP\TI_asb-310-PREV-RHOD-PEP.txt"," 10")</f>
        <v xml:space="preserve"> 10</v>
      </c>
      <c r="BI19" s="6" t="s">
        <v>1921</v>
      </c>
      <c r="BJ19" s="6">
        <v>140</v>
      </c>
      <c r="BK19" s="6">
        <v>128</v>
      </c>
      <c r="BL19" s="6">
        <v>354</v>
      </c>
      <c r="BM19" s="6">
        <v>56</v>
      </c>
      <c r="BN19" s="6">
        <v>36</v>
      </c>
      <c r="BO19" s="6">
        <v>56</v>
      </c>
      <c r="BP19" s="6">
        <v>0</v>
      </c>
      <c r="BQ19" s="6">
        <v>224</v>
      </c>
      <c r="BR19" s="6">
        <v>88</v>
      </c>
      <c r="BS19" s="6">
        <v>1</v>
      </c>
      <c r="BT19" s="6" t="s">
        <v>54</v>
      </c>
      <c r="BU19" s="6" t="s">
        <v>1922</v>
      </c>
      <c r="BV19" s="6" t="s">
        <v>56</v>
      </c>
      <c r="BW19" s="6" t="str">
        <f>HYPERLINK(".\links\PREV-RHOD-CDS\TI_asb-310-PREV-RHOD-CDS.txt","Contig17951_76")</f>
        <v>Contig17951_76</v>
      </c>
      <c r="BX19" s="6">
        <v>1E-3</v>
      </c>
      <c r="BY19" s="6" t="s">
        <v>1923</v>
      </c>
      <c r="BZ19" s="6">
        <v>44.1</v>
      </c>
      <c r="CA19" s="6">
        <v>21</v>
      </c>
      <c r="CB19" s="6">
        <v>2793</v>
      </c>
      <c r="CC19" s="6">
        <v>100</v>
      </c>
      <c r="CD19" s="6">
        <v>1</v>
      </c>
      <c r="CE19" s="6">
        <v>0</v>
      </c>
      <c r="CF19" s="6">
        <v>0</v>
      </c>
      <c r="CG19" s="6">
        <v>748</v>
      </c>
      <c r="CH19" s="6">
        <v>500</v>
      </c>
      <c r="CI19" s="6">
        <v>1</v>
      </c>
      <c r="CJ19" s="6" t="s">
        <v>64</v>
      </c>
      <c r="CK19" s="6" t="s">
        <v>1924</v>
      </c>
      <c r="CL19" s="6">
        <f>HYPERLINK(".\links\GO\TI_asb-310-GO.txt",0.008)</f>
        <v>8.0000000000000002E-3</v>
      </c>
      <c r="CM19" s="6" t="s">
        <v>208</v>
      </c>
      <c r="CN19" s="6" t="s">
        <v>185</v>
      </c>
      <c r="CO19" s="6" t="s">
        <v>186</v>
      </c>
      <c r="CP19" s="6" t="s">
        <v>209</v>
      </c>
      <c r="CQ19" s="6">
        <v>8.0000000000000002E-3</v>
      </c>
      <c r="CR19" s="6" t="s">
        <v>1925</v>
      </c>
      <c r="CS19" s="6" t="s">
        <v>247</v>
      </c>
      <c r="CT19" s="6" t="s">
        <v>247</v>
      </c>
      <c r="CU19" s="6" t="s">
        <v>1926</v>
      </c>
      <c r="CV19" s="6">
        <v>8.0000000000000002E-3</v>
      </c>
      <c r="CW19" s="6" t="s">
        <v>1927</v>
      </c>
      <c r="CX19" s="6" t="s">
        <v>185</v>
      </c>
      <c r="CY19" s="6" t="s">
        <v>186</v>
      </c>
      <c r="CZ19" s="6" t="s">
        <v>1928</v>
      </c>
      <c r="DA19" s="6">
        <v>8.0000000000000002E-3</v>
      </c>
      <c r="DB19" s="6" t="str">
        <f>HYPERLINK(".\links\CDD\TI_asb-310-CDD.txt","Mt_ATP-synt_B")</f>
        <v>Mt_ATP-synt_B</v>
      </c>
      <c r="DC19" s="6" t="str">
        <f>HYPERLINK("http://www.ncbi.nlm.nih.gov/Structure/cdd/cddsrv.cgi?uid=pfam05405&amp;version=v4.0","3E-005")</f>
        <v>3E-005</v>
      </c>
      <c r="DD19" s="6" t="s">
        <v>1929</v>
      </c>
      <c r="DE19" s="6" t="str">
        <f>HYPERLINK(".\links\PFAM\TI_asb-310-PFAM.txt","Mt_ATP-synt_B")</f>
        <v>Mt_ATP-synt_B</v>
      </c>
      <c r="DF19" s="6" t="str">
        <f>HYPERLINK("http://pfam.sanger.ac.uk/family?acc=PF05405","1E-005")</f>
        <v>1E-005</v>
      </c>
      <c r="DG19" s="6" t="str">
        <f>HYPERLINK(".\links\PRK\TI_asb-310-PRK.txt","reticulocyte binding protein 2-like protein")</f>
        <v>reticulocyte binding protein 2-like protein</v>
      </c>
      <c r="DH19" s="7">
        <v>5.9999999999999995E-4</v>
      </c>
      <c r="DI19" s="6" t="str">
        <f>HYPERLINK(".\links\SMART\TI_asb-310-SMART.txt","IL4_13")</f>
        <v>IL4_13</v>
      </c>
      <c r="DJ19" s="6" t="str">
        <f>HYPERLINK("http://smart.embl-heidelberg.de/smart/do_annotation.pl?DOMAIN=IL4_13&amp;BLAST=DUMMY","0.010")</f>
        <v>0.010</v>
      </c>
      <c r="DK19" s="6" t="s">
        <v>56</v>
      </c>
      <c r="DY19" s="6" t="s">
        <v>56</v>
      </c>
    </row>
    <row r="20" spans="1:129" s="6" customFormat="1">
      <c r="A20" s="6" t="str">
        <f>HYPERLINK(".\links\seq\TI_asb-178-seq.txt","TI_asb-178")</f>
        <v>TI_asb-178</v>
      </c>
      <c r="B20" s="6">
        <v>178</v>
      </c>
      <c r="C20" s="6" t="str">
        <f>HYPERLINK(".\links\tsa\TI_asb-178-tsa.txt","1")</f>
        <v>1</v>
      </c>
      <c r="D20" s="6">
        <v>1</v>
      </c>
      <c r="E20" s="6">
        <v>497</v>
      </c>
      <c r="G20" s="6" t="str">
        <f>HYPERLINK(".\links\qual\TI_asb-178-qual.txt","47")</f>
        <v>47</v>
      </c>
      <c r="H20" s="6">
        <v>1</v>
      </c>
      <c r="I20" s="6">
        <v>0</v>
      </c>
      <c r="J20" s="6">
        <f t="shared" si="0"/>
        <v>1</v>
      </c>
      <c r="K20" s="6" t="s">
        <v>3868</v>
      </c>
      <c r="L20" s="6" t="s">
        <v>3869</v>
      </c>
      <c r="P20" s="6">
        <v>497</v>
      </c>
      <c r="Q20" s="6">
        <v>468</v>
      </c>
      <c r="R20" s="6" t="s">
        <v>3580</v>
      </c>
      <c r="S20" s="6">
        <v>3</v>
      </c>
      <c r="T20" s="6" t="str">
        <f>HYPERLINK(".\links\NR-LIGHT\TI_asb-178-NR-LIGHT.txt","chromosome partitioning protein ParB")</f>
        <v>chromosome partitioning protein ParB</v>
      </c>
      <c r="U20" s="6" t="str">
        <f>HYPERLINK("http://www.ncbi.nlm.nih.gov/sutils/blink.cgi?pid=270265402","2.6")</f>
        <v>2.6</v>
      </c>
      <c r="V20" s="6" t="str">
        <f>HYPERLINK(".\links\NR-LIGHT\TI_asb-178-NR-LIGHT.txt"," 10")</f>
        <v xml:space="preserve"> 10</v>
      </c>
      <c r="W20" s="6" t="str">
        <f>HYPERLINK("http://www.ncbi.nlm.nih.gov/protein/270265402","gi|270265402")</f>
        <v>gi|270265402</v>
      </c>
      <c r="X20" s="6">
        <v>33.5</v>
      </c>
      <c r="Y20" s="6">
        <v>72</v>
      </c>
      <c r="Z20" s="6">
        <v>385</v>
      </c>
      <c r="AA20" s="6">
        <v>31</v>
      </c>
      <c r="AB20" s="6">
        <v>19</v>
      </c>
      <c r="AC20" s="6">
        <v>49</v>
      </c>
      <c r="AD20" s="6">
        <v>8</v>
      </c>
      <c r="AE20" s="6">
        <v>129</v>
      </c>
      <c r="AF20" s="6">
        <v>93</v>
      </c>
      <c r="AG20" s="6">
        <v>1</v>
      </c>
      <c r="AH20" s="6">
        <v>3</v>
      </c>
      <c r="AI20" s="6" t="s">
        <v>53</v>
      </c>
      <c r="AJ20" s="6" t="s">
        <v>54</v>
      </c>
      <c r="AK20" s="6" t="s">
        <v>1183</v>
      </c>
      <c r="AL20" s="6" t="str">
        <f>HYPERLINK(".\links\SWISSP\TI_asb-178-SWISSP.txt","50S ribosomal protein L25 OS=Clostridium phytofermentans (strain ATCC 700394 /")</f>
        <v>50S ribosomal protein L25 OS=Clostridium phytofermentans (strain ATCC 700394 /</v>
      </c>
      <c r="AM20" s="6" t="str">
        <f>HYPERLINK("http://www.uniprot.org/uniprot/A9KSE6","1.1")</f>
        <v>1.1</v>
      </c>
      <c r="AN20" s="6" t="str">
        <f>HYPERLINK(".\links\SWISSP\TI_asb-178-SWISSP.txt"," 10")</f>
        <v xml:space="preserve"> 10</v>
      </c>
      <c r="AO20" s="6" t="s">
        <v>1184</v>
      </c>
      <c r="AP20" s="6">
        <v>32.700000000000003</v>
      </c>
      <c r="AQ20" s="6">
        <v>77</v>
      </c>
      <c r="AR20" s="6">
        <v>193</v>
      </c>
      <c r="AS20" s="6">
        <v>33</v>
      </c>
      <c r="AT20" s="6">
        <v>40</v>
      </c>
      <c r="AU20" s="6">
        <v>51</v>
      </c>
      <c r="AV20" s="6">
        <v>7</v>
      </c>
      <c r="AW20" s="6">
        <v>94</v>
      </c>
      <c r="AX20" s="6">
        <v>162</v>
      </c>
      <c r="AY20" s="6">
        <v>1</v>
      </c>
      <c r="AZ20" s="6">
        <v>3</v>
      </c>
      <c r="BA20" s="6" t="s">
        <v>53</v>
      </c>
      <c r="BB20" s="6" t="s">
        <v>54</v>
      </c>
      <c r="BC20" s="6" t="s">
        <v>1185</v>
      </c>
      <c r="BD20" s="6" t="s">
        <v>1186</v>
      </c>
      <c r="BE20" s="6" t="s">
        <v>1187</v>
      </c>
      <c r="BF20" s="6" t="str">
        <f>HYPERLINK(".\links\PREV-RHOD-PEP\TI_asb-178-PREV-RHOD-PEP.txt","Contig7471_2")</f>
        <v>Contig7471_2</v>
      </c>
      <c r="BG20" s="7">
        <v>2.0000000000000001E-33</v>
      </c>
      <c r="BH20" s="6" t="str">
        <f>HYPERLINK(".\links\PREV-RHOD-PEP\TI_asb-178-PREV-RHOD-PEP.txt"," 10")</f>
        <v xml:space="preserve"> 10</v>
      </c>
      <c r="BI20" s="6" t="s">
        <v>1188</v>
      </c>
      <c r="BJ20" s="6">
        <v>134</v>
      </c>
      <c r="BK20" s="6">
        <v>140</v>
      </c>
      <c r="BL20" s="6">
        <v>410</v>
      </c>
      <c r="BM20" s="6">
        <v>50</v>
      </c>
      <c r="BN20" s="6">
        <v>34</v>
      </c>
      <c r="BO20" s="6">
        <v>69</v>
      </c>
      <c r="BP20" s="6">
        <v>1</v>
      </c>
      <c r="BQ20" s="6">
        <v>149</v>
      </c>
      <c r="BR20" s="6">
        <v>45</v>
      </c>
      <c r="BS20" s="6">
        <v>2</v>
      </c>
      <c r="BT20" s="6" t="s">
        <v>54</v>
      </c>
      <c r="BU20" s="6" t="s">
        <v>1189</v>
      </c>
      <c r="BV20" s="6" t="s">
        <v>439</v>
      </c>
      <c r="BW20" s="6" t="str">
        <f>HYPERLINK(".\links\PREV-RHOD-CDS\TI_asb-178-PREV-RHOD-CDS.txt","Contig17651_7")</f>
        <v>Contig17651_7</v>
      </c>
      <c r="BX20" s="6">
        <v>1.6E-2</v>
      </c>
      <c r="BY20" s="6" t="s">
        <v>1190</v>
      </c>
      <c r="BZ20" s="6">
        <v>40.1</v>
      </c>
      <c r="CA20" s="6">
        <v>19</v>
      </c>
      <c r="CB20" s="6">
        <v>632</v>
      </c>
      <c r="CC20" s="6">
        <v>100</v>
      </c>
      <c r="CD20" s="6">
        <v>3</v>
      </c>
      <c r="CE20" s="6">
        <v>0</v>
      </c>
      <c r="CF20" s="6">
        <v>0</v>
      </c>
      <c r="CG20" s="6">
        <v>147</v>
      </c>
      <c r="CH20" s="6">
        <v>474</v>
      </c>
      <c r="CI20" s="6">
        <v>1</v>
      </c>
      <c r="CJ20" s="6" t="s">
        <v>54</v>
      </c>
      <c r="CK20" s="6" t="s">
        <v>1191</v>
      </c>
      <c r="CL20" s="6">
        <f>HYPERLINK(".\links\GO\TI_asb-178-GO.txt",0.76)</f>
        <v>0.76</v>
      </c>
      <c r="CM20" s="6" t="s">
        <v>1011</v>
      </c>
      <c r="CN20" s="6" t="s">
        <v>1012</v>
      </c>
      <c r="CO20" s="6" t="s">
        <v>1013</v>
      </c>
      <c r="CP20" s="6" t="s">
        <v>1014</v>
      </c>
      <c r="CQ20" s="6">
        <v>1.3</v>
      </c>
      <c r="CR20" s="6" t="s">
        <v>74</v>
      </c>
      <c r="CS20" s="6" t="s">
        <v>75</v>
      </c>
      <c r="CT20" s="6" t="s">
        <v>76</v>
      </c>
      <c r="CU20" s="6" t="s">
        <v>77</v>
      </c>
      <c r="CV20" s="6">
        <v>1.3</v>
      </c>
      <c r="CW20" s="6" t="s">
        <v>1192</v>
      </c>
      <c r="CX20" s="6" t="s">
        <v>1012</v>
      </c>
      <c r="CY20" s="6" t="s">
        <v>1013</v>
      </c>
      <c r="CZ20" s="6" t="s">
        <v>1193</v>
      </c>
      <c r="DA20" s="6">
        <v>1.3</v>
      </c>
      <c r="DB20" s="6" t="s">
        <v>56</v>
      </c>
      <c r="DC20" s="6" t="s">
        <v>56</v>
      </c>
      <c r="DD20" s="6" t="s">
        <v>56</v>
      </c>
      <c r="DE20" s="6" t="s">
        <v>56</v>
      </c>
      <c r="DF20" s="6" t="s">
        <v>56</v>
      </c>
      <c r="DG20" s="6" t="s">
        <v>56</v>
      </c>
      <c r="DH20" s="6" t="s">
        <v>56</v>
      </c>
      <c r="DI20" s="6" t="str">
        <f>HYPERLINK(".\links\SMART\TI_asb-178-SMART.txt","PLCXc")</f>
        <v>PLCXc</v>
      </c>
      <c r="DJ20" s="6" t="str">
        <f>HYPERLINK("http://smart.embl-heidelberg.de/smart/do_annotation.pl?DOMAIN=PLCXc&amp;BLAST=DUMMY","0.053")</f>
        <v>0.053</v>
      </c>
      <c r="DK20" s="6" t="s">
        <v>56</v>
      </c>
      <c r="DY20" s="6" t="s">
        <v>56</v>
      </c>
    </row>
    <row r="21" spans="1:129" s="6" customFormat="1">
      <c r="A21" s="6" t="str">
        <f>HYPERLINK(".\links\seq\TI_asb-101-seq.txt","TI_asb-101")</f>
        <v>TI_asb-101</v>
      </c>
      <c r="B21" s="6">
        <v>101</v>
      </c>
      <c r="C21" s="6" t="str">
        <f>HYPERLINK(".\links\tsa\TI_asb-101-tsa.txt","1")</f>
        <v>1</v>
      </c>
      <c r="D21" s="6">
        <v>1</v>
      </c>
      <c r="E21" s="6">
        <v>618</v>
      </c>
      <c r="F21" s="6">
        <v>478</v>
      </c>
      <c r="G21" s="6" t="str">
        <f>HYPERLINK(".\links\qual\TI_asb-101-qual.txt","16")</f>
        <v>16</v>
      </c>
      <c r="H21" s="6">
        <v>1</v>
      </c>
      <c r="I21" s="6">
        <v>0</v>
      </c>
      <c r="J21" s="6">
        <f t="shared" si="0"/>
        <v>1</v>
      </c>
      <c r="K21" s="6" t="s">
        <v>3868</v>
      </c>
      <c r="L21" s="6" t="s">
        <v>3869</v>
      </c>
      <c r="P21" s="6">
        <v>618</v>
      </c>
      <c r="Q21" s="6">
        <v>459</v>
      </c>
      <c r="R21" s="6" t="s">
        <v>3536</v>
      </c>
      <c r="S21" s="6">
        <v>6</v>
      </c>
      <c r="T21" s="6" t="s">
        <v>56</v>
      </c>
      <c r="U21" s="6" t="s">
        <v>56</v>
      </c>
      <c r="V21" s="6" t="s">
        <v>56</v>
      </c>
      <c r="W21" s="6" t="s">
        <v>56</v>
      </c>
      <c r="X21" s="6" t="s">
        <v>56</v>
      </c>
      <c r="Y21" s="6" t="s">
        <v>56</v>
      </c>
      <c r="Z21" s="6" t="s">
        <v>56</v>
      </c>
      <c r="AA21" s="6" t="s">
        <v>56</v>
      </c>
      <c r="AB21" s="6" t="s">
        <v>56</v>
      </c>
      <c r="AC21" s="6" t="s">
        <v>56</v>
      </c>
      <c r="AD21" s="6" t="s">
        <v>56</v>
      </c>
      <c r="AE21" s="6" t="s">
        <v>56</v>
      </c>
      <c r="AF21" s="6" t="s">
        <v>56</v>
      </c>
      <c r="AG21" s="6" t="s">
        <v>56</v>
      </c>
      <c r="AH21" s="6" t="s">
        <v>56</v>
      </c>
      <c r="AI21" s="6" t="s">
        <v>56</v>
      </c>
      <c r="AJ21" s="6" t="s">
        <v>56</v>
      </c>
      <c r="AK21" s="6" t="s">
        <v>56</v>
      </c>
      <c r="AL21" s="6" t="str">
        <f>HYPERLINK(".\links\SWISSP\TI_asb-101-SWISSP.txt","ATP synthase protein 8 OS=Trichophyton rubrum GN=ATP8 PE=3 SV=1")</f>
        <v>ATP synthase protein 8 OS=Trichophyton rubrum GN=ATP8 PE=3 SV=1</v>
      </c>
      <c r="AM21" s="6" t="str">
        <f>HYPERLINK("http://www.uniprot.org/uniprot/Q36838","4.1")</f>
        <v>4.1</v>
      </c>
      <c r="AN21" s="6" t="str">
        <f>HYPERLINK(".\links\SWISSP\TI_asb-101-SWISSP.txt"," 1")</f>
        <v xml:space="preserve"> 1</v>
      </c>
      <c r="AO21" s="6" t="s">
        <v>737</v>
      </c>
      <c r="AP21" s="6">
        <v>31.6</v>
      </c>
      <c r="AQ21" s="6">
        <v>25</v>
      </c>
      <c r="AR21" s="6">
        <v>48</v>
      </c>
      <c r="AS21" s="6">
        <v>52</v>
      </c>
      <c r="AT21" s="6">
        <v>52</v>
      </c>
      <c r="AU21" s="6">
        <v>12</v>
      </c>
      <c r="AV21" s="6">
        <v>0</v>
      </c>
      <c r="AW21" s="6">
        <v>8</v>
      </c>
      <c r="AX21" s="6">
        <v>365</v>
      </c>
      <c r="AY21" s="6">
        <v>1</v>
      </c>
      <c r="AZ21" s="6">
        <v>-3</v>
      </c>
      <c r="BA21" s="6" t="s">
        <v>53</v>
      </c>
      <c r="BB21" s="6" t="s">
        <v>64</v>
      </c>
      <c r="BC21" s="6" t="s">
        <v>738</v>
      </c>
      <c r="BD21" s="6" t="s">
        <v>739</v>
      </c>
      <c r="BE21" s="6" t="s">
        <v>740</v>
      </c>
      <c r="BF21" s="6" t="str">
        <f>HYPERLINK(".\links\PREV-RHOD-PEP\TI_asb-101-PREV-RHOD-PEP.txt","Contig17849_53")</f>
        <v>Contig17849_53</v>
      </c>
      <c r="BG21" s="7">
        <v>4.0000000000000002E-22</v>
      </c>
      <c r="BH21" s="6" t="str">
        <f>HYPERLINK(".\links\PREV-RHOD-PEP\TI_asb-101-PREV-RHOD-PEP.txt"," 2")</f>
        <v xml:space="preserve"> 2</v>
      </c>
      <c r="BI21" s="6" t="s">
        <v>437</v>
      </c>
      <c r="BJ21" s="6">
        <v>100</v>
      </c>
      <c r="BK21" s="6">
        <v>146</v>
      </c>
      <c r="BL21" s="6">
        <v>424</v>
      </c>
      <c r="BM21" s="6">
        <v>35</v>
      </c>
      <c r="BN21" s="6">
        <v>34</v>
      </c>
      <c r="BO21" s="6">
        <v>94</v>
      </c>
      <c r="BP21" s="6">
        <v>0</v>
      </c>
      <c r="BQ21" s="6">
        <v>35</v>
      </c>
      <c r="BR21" s="6">
        <v>3</v>
      </c>
      <c r="BS21" s="6">
        <v>1</v>
      </c>
      <c r="BT21" s="6" t="s">
        <v>54</v>
      </c>
      <c r="BU21" s="6" t="s">
        <v>741</v>
      </c>
      <c r="BV21" s="6" t="s">
        <v>439</v>
      </c>
      <c r="BW21" s="6" t="str">
        <f>HYPERLINK(".\links\PREV-RHOD-CDS\TI_asb-101-PREV-RHOD-CDS.txt","Contig17881_42")</f>
        <v>Contig17881_42</v>
      </c>
      <c r="BX21" s="6">
        <v>0.02</v>
      </c>
      <c r="BY21" s="6" t="s">
        <v>742</v>
      </c>
      <c r="BZ21" s="6">
        <v>40.1</v>
      </c>
      <c r="CA21" s="6">
        <v>19</v>
      </c>
      <c r="CB21" s="6">
        <v>1236</v>
      </c>
      <c r="CC21" s="6">
        <v>100</v>
      </c>
      <c r="CD21" s="6">
        <v>2</v>
      </c>
      <c r="CE21" s="6">
        <v>0</v>
      </c>
      <c r="CF21" s="6">
        <v>0</v>
      </c>
      <c r="CG21" s="6">
        <v>41</v>
      </c>
      <c r="CH21" s="6">
        <v>327</v>
      </c>
      <c r="CI21" s="6">
        <v>1</v>
      </c>
      <c r="CJ21" s="6" t="s">
        <v>54</v>
      </c>
      <c r="CK21" s="6" t="s">
        <v>743</v>
      </c>
      <c r="CL21" s="6">
        <f>HYPERLINK(".\links\GO\TI_asb-101-GO.txt",3.5)</f>
        <v>3.5</v>
      </c>
      <c r="CM21" s="6" t="s">
        <v>129</v>
      </c>
      <c r="CN21" s="6" t="s">
        <v>129</v>
      </c>
      <c r="CP21" s="6" t="s">
        <v>744</v>
      </c>
      <c r="CQ21" s="6">
        <v>4.5</v>
      </c>
      <c r="CR21" s="6" t="s">
        <v>56</v>
      </c>
      <c r="CS21" s="6" t="s">
        <v>56</v>
      </c>
      <c r="CT21" s="6" t="s">
        <v>56</v>
      </c>
      <c r="CU21" s="6" t="s">
        <v>56</v>
      </c>
      <c r="CV21" s="6" t="s">
        <v>56</v>
      </c>
      <c r="CW21" s="6" t="s">
        <v>745</v>
      </c>
      <c r="CX21" s="6" t="s">
        <v>129</v>
      </c>
      <c r="CZ21" s="6" t="s">
        <v>746</v>
      </c>
      <c r="DA21" s="6">
        <v>4.5</v>
      </c>
      <c r="DB21" s="6" t="str">
        <f>HYPERLINK(".\links\CDD\TI_asb-101-CDD.txt","DER1")</f>
        <v>DER1</v>
      </c>
      <c r="DC21" s="6" t="str">
        <f>HYPERLINK("http://www.ncbi.nlm.nih.gov/Structure/cdd/cddsrv.cgi?uid=pfam04511&amp;version=v4.0","1E-006")</f>
        <v>1E-006</v>
      </c>
      <c r="DD21" s="6" t="s">
        <v>747</v>
      </c>
      <c r="DE21" s="6" t="str">
        <f>HYPERLINK(".\links\PFAM\TI_asb-101-PFAM.txt","DER1")</f>
        <v>DER1</v>
      </c>
      <c r="DF21" s="6" t="str">
        <f>HYPERLINK("http://pfam.sanger.ac.uk/family?acc=PF04511","5E-007")</f>
        <v>5E-007</v>
      </c>
      <c r="DG21" s="6" t="str">
        <f>HYPERLINK(".\links\PRK\TI_asb-101-PRK.txt","NADH dehydrogenase subunit 2")</f>
        <v>NADH dehydrogenase subunit 2</v>
      </c>
      <c r="DH21" s="7">
        <v>7.9999999999999996E-7</v>
      </c>
      <c r="DI21" s="6" t="str">
        <f>HYPERLINK(".\links\SMART\TI_asb-101-SMART.txt","DENN")</f>
        <v>DENN</v>
      </c>
      <c r="DJ21" s="6" t="str">
        <f>HYPERLINK("http://smart.embl-heidelberg.de/smart/do_annotation.pl?DOMAIN=DENN&amp;BLAST=DUMMY","0.003")</f>
        <v>0.003</v>
      </c>
      <c r="DK21" s="6" t="s">
        <v>56</v>
      </c>
      <c r="DY21" s="6" t="s">
        <v>56</v>
      </c>
    </row>
    <row r="22" spans="1:129" s="6" customFormat="1">
      <c r="A22" s="6" t="str">
        <f>HYPERLINK(".\links\seq\TI_asb-334-seq.txt","TI_asb-334")</f>
        <v>TI_asb-334</v>
      </c>
      <c r="B22" s="6">
        <v>334</v>
      </c>
      <c r="C22" s="6" t="str">
        <f>HYPERLINK(".\links\tsa\TI_asb-334-tsa.txt","1")</f>
        <v>1</v>
      </c>
      <c r="D22" s="6">
        <v>1</v>
      </c>
      <c r="E22" s="6">
        <v>498</v>
      </c>
      <c r="G22" s="6" t="str">
        <f>HYPERLINK(".\links\qual\TI_asb-334-qual.txt","50")</f>
        <v>50</v>
      </c>
      <c r="H22" s="6">
        <v>1</v>
      </c>
      <c r="I22" s="6">
        <v>0</v>
      </c>
      <c r="J22" s="6">
        <f t="shared" si="0"/>
        <v>1</v>
      </c>
      <c r="K22" s="6" t="s">
        <v>3868</v>
      </c>
      <c r="L22" s="6" t="s">
        <v>3869</v>
      </c>
      <c r="P22" s="6">
        <v>498</v>
      </c>
      <c r="Q22" s="6">
        <v>318</v>
      </c>
      <c r="R22" s="6" t="s">
        <v>3681</v>
      </c>
      <c r="S22" s="6">
        <v>3</v>
      </c>
      <c r="T22" s="6" t="str">
        <f>HYPERLINK(".\links\NR-LIGHT\TI_asb-334-NR-LIGHT.txt","Lian-Aa1 retrotransposon protein")</f>
        <v>Lian-Aa1 retrotransposon protein</v>
      </c>
      <c r="U22" s="6" t="str">
        <f>HYPERLINK("http://www.ncbi.nlm.nih.gov/sutils/blink.cgi?pid=2290213","1E-004")</f>
        <v>1E-004</v>
      </c>
      <c r="V22" s="6" t="str">
        <f>HYPERLINK(".\links\NR-LIGHT\TI_asb-334-NR-LIGHT.txt"," 10")</f>
        <v xml:space="preserve"> 10</v>
      </c>
      <c r="W22" s="6" t="str">
        <f>HYPERLINK("http://www.ncbi.nlm.nih.gov/protein/2290213","gi|2290213")</f>
        <v>gi|2290213</v>
      </c>
      <c r="X22" s="6">
        <v>48.1</v>
      </c>
      <c r="Y22" s="6">
        <v>81</v>
      </c>
      <c r="Z22" s="6">
        <v>1189</v>
      </c>
      <c r="AA22" s="6">
        <v>32</v>
      </c>
      <c r="AB22" s="6">
        <v>7</v>
      </c>
      <c r="AC22" s="6">
        <v>55</v>
      </c>
      <c r="AD22" s="6">
        <v>0</v>
      </c>
      <c r="AE22" s="6">
        <v>1107</v>
      </c>
      <c r="AF22" s="6">
        <v>57</v>
      </c>
      <c r="AG22" s="6">
        <v>1</v>
      </c>
      <c r="AH22" s="6">
        <v>3</v>
      </c>
      <c r="AI22" s="6" t="s">
        <v>53</v>
      </c>
      <c r="AJ22" s="6" t="s">
        <v>54</v>
      </c>
      <c r="AK22" s="6" t="s">
        <v>120</v>
      </c>
      <c r="AL22" s="6" t="str">
        <f>HYPERLINK(".\links\SWISSP\TI_asb-334-SWISSP.txt","Immunoglobulin G-binding protein A OS=Staphylococcus aureus (strain NCTC 8325)")</f>
        <v>Immunoglobulin G-binding protein A OS=Staphylococcus aureus (strain NCTC 8325)</v>
      </c>
      <c r="AM22" s="6" t="str">
        <f>HYPERLINK("http://www.uniprot.org/uniprot/P02976","1.5")</f>
        <v>1.5</v>
      </c>
      <c r="AN22" s="6" t="str">
        <f>HYPERLINK(".\links\SWISSP\TI_asb-334-SWISSP.txt"," 10")</f>
        <v xml:space="preserve"> 10</v>
      </c>
      <c r="AO22" s="6" t="s">
        <v>2080</v>
      </c>
      <c r="AP22" s="6">
        <v>32.299999999999997</v>
      </c>
      <c r="AQ22" s="6">
        <v>32</v>
      </c>
      <c r="AR22" s="6">
        <v>516</v>
      </c>
      <c r="AS22" s="6">
        <v>43</v>
      </c>
      <c r="AT22" s="6">
        <v>6</v>
      </c>
      <c r="AU22" s="6">
        <v>18</v>
      </c>
      <c r="AV22" s="6">
        <v>0</v>
      </c>
      <c r="AW22" s="6">
        <v>328</v>
      </c>
      <c r="AX22" s="6">
        <v>267</v>
      </c>
      <c r="AY22" s="6">
        <v>3</v>
      </c>
      <c r="AZ22" s="6">
        <v>-2</v>
      </c>
      <c r="BA22" s="6" t="s">
        <v>53</v>
      </c>
      <c r="BB22" s="6" t="s">
        <v>64</v>
      </c>
      <c r="BC22" s="6" t="s">
        <v>2081</v>
      </c>
      <c r="BD22" s="6" t="s">
        <v>2082</v>
      </c>
      <c r="BE22" s="6" t="s">
        <v>2083</v>
      </c>
      <c r="BF22" s="6" t="str">
        <f>HYPERLINK(".\links\PREV-RHOD-PEP\TI_asb-334-PREV-RHOD-PEP.txt","Contig17927_21")</f>
        <v>Contig17927_21</v>
      </c>
      <c r="BG22" s="7">
        <v>4.9999999999999999E-13</v>
      </c>
      <c r="BH22" s="6" t="str">
        <f>HYPERLINK(".\links\PREV-RHOD-PEP\TI_asb-334-PREV-RHOD-PEP.txt"," 10")</f>
        <v xml:space="preserve"> 10</v>
      </c>
      <c r="BI22" s="6" t="s">
        <v>2084</v>
      </c>
      <c r="BJ22" s="6">
        <v>70.099999999999994</v>
      </c>
      <c r="BK22" s="6">
        <v>88</v>
      </c>
      <c r="BL22" s="6">
        <v>278</v>
      </c>
      <c r="BM22" s="6">
        <v>37</v>
      </c>
      <c r="BN22" s="6">
        <v>32</v>
      </c>
      <c r="BO22" s="6">
        <v>55</v>
      </c>
      <c r="BP22" s="6">
        <v>0</v>
      </c>
      <c r="BQ22" s="6">
        <v>191</v>
      </c>
      <c r="BR22" s="6">
        <v>51</v>
      </c>
      <c r="BS22" s="6">
        <v>1</v>
      </c>
      <c r="BT22" s="6" t="s">
        <v>54</v>
      </c>
      <c r="BU22" s="6" t="s">
        <v>2085</v>
      </c>
      <c r="BV22" s="6" t="s">
        <v>56</v>
      </c>
      <c r="BW22" s="6" t="str">
        <f>HYPERLINK(".\links\PREV-RHOD-CDS\TI_asb-334-PREV-RHOD-CDS.txt","Contig18035_43")</f>
        <v>Contig18035_43</v>
      </c>
      <c r="BX22" s="6">
        <v>6.2E-2</v>
      </c>
      <c r="BY22" s="6" t="s">
        <v>2086</v>
      </c>
      <c r="BZ22" s="6">
        <v>38.200000000000003</v>
      </c>
      <c r="CA22" s="6">
        <v>18</v>
      </c>
      <c r="CB22" s="6">
        <v>3480</v>
      </c>
      <c r="CC22" s="6">
        <v>100</v>
      </c>
      <c r="CD22" s="6">
        <v>1</v>
      </c>
      <c r="CE22" s="6">
        <v>0</v>
      </c>
      <c r="CF22" s="6">
        <v>0</v>
      </c>
      <c r="CG22" s="6">
        <v>2758</v>
      </c>
      <c r="CH22" s="6">
        <v>420</v>
      </c>
      <c r="CI22" s="6">
        <v>1</v>
      </c>
      <c r="CJ22" s="6" t="s">
        <v>54</v>
      </c>
      <c r="CK22" s="6" t="s">
        <v>2087</v>
      </c>
      <c r="CL22" s="6">
        <f>HYPERLINK(".\links\GO\TI_asb-334-GO.txt",0.58)</f>
        <v>0.57999999999999996</v>
      </c>
      <c r="CM22" s="6" t="s">
        <v>208</v>
      </c>
      <c r="CN22" s="6" t="s">
        <v>185</v>
      </c>
      <c r="CO22" s="6" t="s">
        <v>186</v>
      </c>
      <c r="CP22" s="6" t="s">
        <v>209</v>
      </c>
      <c r="CQ22" s="6">
        <v>1.7</v>
      </c>
      <c r="CR22" s="6" t="s">
        <v>2088</v>
      </c>
      <c r="CS22" s="6" t="s">
        <v>75</v>
      </c>
      <c r="CT22" s="6" t="s">
        <v>92</v>
      </c>
      <c r="CU22" s="6" t="s">
        <v>2089</v>
      </c>
      <c r="CV22" s="6">
        <v>1.7</v>
      </c>
      <c r="CW22" s="6" t="s">
        <v>2090</v>
      </c>
      <c r="CX22" s="6" t="s">
        <v>185</v>
      </c>
      <c r="CY22" s="6" t="s">
        <v>186</v>
      </c>
      <c r="CZ22" s="6" t="s">
        <v>2091</v>
      </c>
      <c r="DA22" s="6">
        <v>1.7</v>
      </c>
      <c r="DB22" s="6" t="str">
        <f>HYPERLINK(".\links\CDD\TI_asb-334-CDD.txt","GT1_Glycogen_Ph")</f>
        <v>GT1_Glycogen_Ph</v>
      </c>
      <c r="DC22" s="6" t="str">
        <f>HYPERLINK("http://www.ncbi.nlm.nih.gov/Structure/cdd/cddsrv.cgi?uid=cd04299&amp;version=v4.0","0.078")</f>
        <v>0.078</v>
      </c>
      <c r="DD22" s="6" t="s">
        <v>2092</v>
      </c>
      <c r="DE22" s="6" t="str">
        <f>HYPERLINK(".\links\PFAM\TI_asb-334-PFAM.txt","DUF1277")</f>
        <v>DUF1277</v>
      </c>
      <c r="DF22" s="6" t="str">
        <f>HYPERLINK("http://pfam.sanger.ac.uk/family?acc=PF06914","0.061")</f>
        <v>0.061</v>
      </c>
      <c r="DG22" s="6" t="s">
        <v>56</v>
      </c>
      <c r="DH22" s="6" t="s">
        <v>56</v>
      </c>
      <c r="DI22" s="6" t="s">
        <v>56</v>
      </c>
      <c r="DJ22" s="6" t="s">
        <v>56</v>
      </c>
      <c r="DK22" s="6" t="s">
        <v>56</v>
      </c>
      <c r="DY22" s="6" t="s">
        <v>56</v>
      </c>
    </row>
    <row r="23" spans="1:129" s="6" customFormat="1">
      <c r="A23" s="6" t="str">
        <f>HYPERLINK(".\links\seq\TI_asb-588-seq.txt","TI_asb-588")</f>
        <v>TI_asb-588</v>
      </c>
      <c r="B23" s="6">
        <v>588</v>
      </c>
      <c r="C23" s="6" t="str">
        <f>HYPERLINK(".\links\tsa\TI_asb-588-tsa.txt","1")</f>
        <v>1</v>
      </c>
      <c r="D23" s="6">
        <v>1</v>
      </c>
      <c r="E23" s="6">
        <v>912</v>
      </c>
      <c r="F23" s="6">
        <v>749</v>
      </c>
      <c r="G23" s="6" t="str">
        <f>HYPERLINK(".\links\qual\TI_asb-588-qual.txt","30")</f>
        <v>30</v>
      </c>
      <c r="H23" s="6">
        <v>1</v>
      </c>
      <c r="I23" s="6">
        <v>0</v>
      </c>
      <c r="J23" s="6">
        <f t="shared" si="0"/>
        <v>1</v>
      </c>
      <c r="K23" s="6" t="s">
        <v>3868</v>
      </c>
      <c r="L23" s="6" t="s">
        <v>3869</v>
      </c>
      <c r="P23" s="6">
        <v>912</v>
      </c>
      <c r="Q23" s="6">
        <v>270</v>
      </c>
      <c r="R23" s="6" t="s">
        <v>3858</v>
      </c>
      <c r="S23" s="6">
        <v>3</v>
      </c>
      <c r="T23" s="6" t="s">
        <v>56</v>
      </c>
      <c r="U23" s="6" t="s">
        <v>56</v>
      </c>
      <c r="V23" s="6" t="s">
        <v>56</v>
      </c>
      <c r="W23" s="6" t="s">
        <v>56</v>
      </c>
      <c r="X23" s="6" t="s">
        <v>56</v>
      </c>
      <c r="Y23" s="6" t="s">
        <v>56</v>
      </c>
      <c r="Z23" s="6" t="s">
        <v>56</v>
      </c>
      <c r="AA23" s="6" t="s">
        <v>56</v>
      </c>
      <c r="AB23" s="6" t="s">
        <v>56</v>
      </c>
      <c r="AC23" s="6" t="s">
        <v>56</v>
      </c>
      <c r="AD23" s="6" t="s">
        <v>56</v>
      </c>
      <c r="AE23" s="6" t="s">
        <v>56</v>
      </c>
      <c r="AF23" s="6" t="s">
        <v>56</v>
      </c>
      <c r="AG23" s="6" t="s">
        <v>56</v>
      </c>
      <c r="AH23" s="6" t="s">
        <v>56</v>
      </c>
      <c r="AI23" s="6" t="s">
        <v>56</v>
      </c>
      <c r="AJ23" s="6" t="s">
        <v>56</v>
      </c>
      <c r="AK23" s="6" t="s">
        <v>56</v>
      </c>
      <c r="AL23" s="6" t="s">
        <v>56</v>
      </c>
      <c r="AM23" s="6" t="s">
        <v>56</v>
      </c>
      <c r="AN23" s="6" t="s">
        <v>56</v>
      </c>
      <c r="AO23" s="6" t="s">
        <v>56</v>
      </c>
      <c r="AP23" s="6" t="s">
        <v>56</v>
      </c>
      <c r="AQ23" s="6" t="s">
        <v>56</v>
      </c>
      <c r="AR23" s="6" t="s">
        <v>56</v>
      </c>
      <c r="AS23" s="6" t="s">
        <v>56</v>
      </c>
      <c r="AT23" s="6" t="s">
        <v>56</v>
      </c>
      <c r="AU23" s="6" t="s">
        <v>56</v>
      </c>
      <c r="AV23" s="6" t="s">
        <v>56</v>
      </c>
      <c r="AW23" s="6" t="s">
        <v>56</v>
      </c>
      <c r="AX23" s="6" t="s">
        <v>56</v>
      </c>
      <c r="AY23" s="6" t="s">
        <v>56</v>
      </c>
      <c r="AZ23" s="6" t="s">
        <v>56</v>
      </c>
      <c r="BA23" s="6" t="s">
        <v>56</v>
      </c>
      <c r="BB23" s="6" t="s">
        <v>56</v>
      </c>
      <c r="BC23" s="6" t="s">
        <v>56</v>
      </c>
      <c r="BD23" s="6" t="s">
        <v>56</v>
      </c>
      <c r="BE23" s="6" t="s">
        <v>56</v>
      </c>
      <c r="BF23" s="6" t="str">
        <f>HYPERLINK(".\links\PREV-RHOD-PEP\TI_asb-588-PREV-RHOD-PEP.txt","Contig17944_35")</f>
        <v>Contig17944_35</v>
      </c>
      <c r="BG23" s="7">
        <v>2E-16</v>
      </c>
      <c r="BH23" s="6" t="str">
        <f>HYPERLINK(".\links\PREV-RHOD-PEP\TI_asb-588-PREV-RHOD-PEP.txt"," 10")</f>
        <v xml:space="preserve"> 10</v>
      </c>
      <c r="BI23" s="6" t="s">
        <v>3459</v>
      </c>
      <c r="BJ23" s="6">
        <v>78.2</v>
      </c>
      <c r="BK23" s="6">
        <v>80</v>
      </c>
      <c r="BL23" s="6">
        <v>273</v>
      </c>
      <c r="BM23" s="6">
        <v>43</v>
      </c>
      <c r="BN23" s="6">
        <v>29</v>
      </c>
      <c r="BO23" s="6">
        <v>45</v>
      </c>
      <c r="BP23" s="6">
        <v>0</v>
      </c>
      <c r="BQ23" s="6">
        <v>30</v>
      </c>
      <c r="BR23" s="6">
        <v>399</v>
      </c>
      <c r="BS23" s="6">
        <v>2</v>
      </c>
      <c r="BT23" s="6" t="s">
        <v>54</v>
      </c>
      <c r="BU23" s="6" t="s">
        <v>3460</v>
      </c>
      <c r="BV23" s="6" t="s">
        <v>56</v>
      </c>
      <c r="BW23" s="6" t="str">
        <f>HYPERLINK(".\links\PREV-RHOD-CDS\TI_asb-588-PREV-RHOD-CDS.txt","Contig17877_78")</f>
        <v>Contig17877_78</v>
      </c>
      <c r="BX23" s="6">
        <v>0.11</v>
      </c>
      <c r="BY23" s="6" t="s">
        <v>3451</v>
      </c>
      <c r="BZ23" s="6">
        <v>38.200000000000003</v>
      </c>
      <c r="CA23" s="6">
        <v>18</v>
      </c>
      <c r="CB23" s="6">
        <v>2400</v>
      </c>
      <c r="CC23" s="6">
        <v>100</v>
      </c>
      <c r="CD23" s="6">
        <v>1</v>
      </c>
      <c r="CE23" s="6">
        <v>0</v>
      </c>
      <c r="CF23" s="6">
        <v>0</v>
      </c>
      <c r="CG23" s="6">
        <v>1176</v>
      </c>
      <c r="CH23" s="6">
        <v>227</v>
      </c>
      <c r="CI23" s="6">
        <v>1</v>
      </c>
      <c r="CJ23" s="6" t="s">
        <v>54</v>
      </c>
      <c r="CK23" s="6" t="s">
        <v>3452</v>
      </c>
      <c r="CL23" s="6">
        <f>HYPERLINK(".\links\GO\TI_asb-588-GO.txt",1.7)</f>
        <v>1.7</v>
      </c>
      <c r="CM23" s="6" t="s">
        <v>3453</v>
      </c>
      <c r="CN23" s="6" t="s">
        <v>129</v>
      </c>
      <c r="CO23" s="6" t="s">
        <v>151</v>
      </c>
      <c r="CP23" s="6" t="s">
        <v>3454</v>
      </c>
      <c r="CQ23" s="6">
        <v>1.7</v>
      </c>
      <c r="CR23" s="6" t="s">
        <v>3455</v>
      </c>
      <c r="CS23" s="6" t="s">
        <v>75</v>
      </c>
      <c r="CT23" s="6" t="s">
        <v>76</v>
      </c>
      <c r="CU23" s="6" t="s">
        <v>3456</v>
      </c>
      <c r="CV23" s="6">
        <v>1.7</v>
      </c>
      <c r="CW23" s="6" t="s">
        <v>3457</v>
      </c>
      <c r="CX23" s="6" t="s">
        <v>129</v>
      </c>
      <c r="CY23" s="6" t="s">
        <v>151</v>
      </c>
      <c r="CZ23" s="6" t="s">
        <v>3458</v>
      </c>
      <c r="DA23" s="6">
        <v>1.7</v>
      </c>
      <c r="DB23" s="6" t="str">
        <f>HYPERLINK(".\links\CDD\TI_asb-588-CDD.txt","Competence")</f>
        <v>Competence</v>
      </c>
      <c r="DC23" s="6" t="str">
        <f>HYPERLINK("http://www.ncbi.nlm.nih.gov/Structure/cdd/cddsrv.cgi?uid=pfam03772&amp;version=v4.0","0.010")</f>
        <v>0.010</v>
      </c>
      <c r="DD23" s="6" t="s">
        <v>3461</v>
      </c>
      <c r="DE23" s="6" t="str">
        <f>HYPERLINK(".\links\PFAM\TI_asb-588-PFAM.txt","DUF221")</f>
        <v>DUF221</v>
      </c>
      <c r="DF23" s="6" t="str">
        <f>HYPERLINK("http://pfam.sanger.ac.uk/family?acc=PF02714","0.004")</f>
        <v>0.004</v>
      </c>
      <c r="DG23" s="6" t="str">
        <f>HYPERLINK(".\links\PRK\TI_asb-588-PRK.txt","ATP synthase F0 subunit 6")</f>
        <v>ATP synthase F0 subunit 6</v>
      </c>
      <c r="DH23" s="7">
        <v>8.0000000000000003E-10</v>
      </c>
      <c r="DI23" s="6" t="str">
        <f>HYPERLINK(".\links\SMART\TI_asb-588-SMART.txt","C1")</f>
        <v>C1</v>
      </c>
      <c r="DJ23" s="6" t="str">
        <f>HYPERLINK("http://smart.embl-heidelberg.de/smart/do_annotation.pl?DOMAIN=C1&amp;BLAST=DUMMY","0.009")</f>
        <v>0.009</v>
      </c>
      <c r="DK23" s="6" t="s">
        <v>56</v>
      </c>
      <c r="DY23" s="6" t="s">
        <v>56</v>
      </c>
    </row>
    <row r="24" spans="1:129" s="6" customFormat="1">
      <c r="A24" s="6" t="str">
        <f>HYPERLINK(".\links\seq\TI_asb-205-seq.txt","TI_asb-205")</f>
        <v>TI_asb-205</v>
      </c>
      <c r="B24" s="6">
        <v>205</v>
      </c>
      <c r="C24" s="6" t="str">
        <f>HYPERLINK(".\links\tsa\TI_asb-205-tsa.txt","1")</f>
        <v>1</v>
      </c>
      <c r="D24" s="6">
        <v>1</v>
      </c>
      <c r="E24" s="6">
        <v>583</v>
      </c>
      <c r="G24" s="6" t="str">
        <f>HYPERLINK(".\links\qual\TI_asb-205-qual.txt","40")</f>
        <v>40</v>
      </c>
      <c r="H24" s="6">
        <v>1</v>
      </c>
      <c r="I24" s="6">
        <v>0</v>
      </c>
      <c r="J24" s="6">
        <f t="shared" si="0"/>
        <v>1</v>
      </c>
      <c r="K24" s="6" t="s">
        <v>3868</v>
      </c>
      <c r="L24" s="6" t="s">
        <v>3869</v>
      </c>
      <c r="P24" s="6">
        <v>583</v>
      </c>
      <c r="Q24" s="6">
        <v>294</v>
      </c>
      <c r="R24" s="6" t="s">
        <v>3597</v>
      </c>
      <c r="S24" s="6">
        <v>1</v>
      </c>
      <c r="T24" s="6" t="str">
        <f>HYPERLINK(".\links\NR-LIGHT\TI_asb-205-NR-LIGHT.txt","hypothetical protein LOC425772")</f>
        <v>hypothetical protein LOC425772</v>
      </c>
      <c r="U24" s="6" t="str">
        <f>HYPERLINK("http://www.ncbi.nlm.nih.gov/sutils/blink.cgi?pid=150247146","2.4")</f>
        <v>2.4</v>
      </c>
      <c r="V24" s="6" t="str">
        <f>HYPERLINK(".\links\NR-LIGHT\TI_asb-205-NR-LIGHT.txt"," 2")</f>
        <v xml:space="preserve"> 2</v>
      </c>
      <c r="W24" s="6" t="str">
        <f>HYPERLINK("http://www.ncbi.nlm.nih.gov/protein/150247146","gi|150247146")</f>
        <v>gi|150247146</v>
      </c>
      <c r="X24" s="6">
        <v>34.299999999999997</v>
      </c>
      <c r="Y24" s="6">
        <v>40</v>
      </c>
      <c r="Z24" s="6">
        <v>505</v>
      </c>
      <c r="AA24" s="6">
        <v>47</v>
      </c>
      <c r="AB24" s="6">
        <v>8</v>
      </c>
      <c r="AC24" s="6">
        <v>21</v>
      </c>
      <c r="AD24" s="6">
        <v>1</v>
      </c>
      <c r="AE24" s="6">
        <v>154</v>
      </c>
      <c r="AF24" s="6">
        <v>157</v>
      </c>
      <c r="AG24" s="6">
        <v>1</v>
      </c>
      <c r="AH24" s="6">
        <v>-2</v>
      </c>
      <c r="AI24" s="6" t="s">
        <v>53</v>
      </c>
      <c r="AJ24" s="6" t="s">
        <v>64</v>
      </c>
      <c r="AK24" s="6" t="s">
        <v>159</v>
      </c>
      <c r="AL24" s="6" t="str">
        <f>HYPERLINK(".\links\SWISSP\TI_asb-205-SWISSP.txt","Structural maintenance of chromosome protein 3 OS=Dictyostelium discoideum")</f>
        <v>Structural maintenance of chromosome protein 3 OS=Dictyostelium discoideum</v>
      </c>
      <c r="AM24" s="6" t="str">
        <f>HYPERLINK("http://www.uniprot.org/uniprot/Q552D9","6.2")</f>
        <v>6.2</v>
      </c>
      <c r="AN24" s="6" t="str">
        <f>HYPERLINK(".\links\SWISSP\TI_asb-205-SWISSP.txt"," 2")</f>
        <v xml:space="preserve"> 2</v>
      </c>
      <c r="AO24" s="6" t="s">
        <v>1345</v>
      </c>
      <c r="AP24" s="6">
        <v>30.8</v>
      </c>
      <c r="AQ24" s="6">
        <v>60</v>
      </c>
      <c r="AR24" s="6">
        <v>1437</v>
      </c>
      <c r="AS24" s="6">
        <v>31</v>
      </c>
      <c r="AT24" s="6">
        <v>4</v>
      </c>
      <c r="AU24" s="6">
        <v>41</v>
      </c>
      <c r="AV24" s="6">
        <v>0</v>
      </c>
      <c r="AW24" s="6">
        <v>397</v>
      </c>
      <c r="AX24" s="6">
        <v>154</v>
      </c>
      <c r="AY24" s="6">
        <v>1</v>
      </c>
      <c r="AZ24" s="6">
        <v>-2</v>
      </c>
      <c r="BA24" s="6" t="s">
        <v>53</v>
      </c>
      <c r="BB24" s="6" t="s">
        <v>64</v>
      </c>
      <c r="BC24" s="6" t="s">
        <v>386</v>
      </c>
      <c r="BD24" s="6" t="s">
        <v>1346</v>
      </c>
      <c r="BE24" s="6" t="s">
        <v>1347</v>
      </c>
      <c r="BF24" s="6" t="str">
        <f>HYPERLINK(".\links\PREV-RHOD-PEP\TI_asb-205-PREV-RHOD-PEP.txt","Contig17971_250")</f>
        <v>Contig17971_250</v>
      </c>
      <c r="BG24" s="7">
        <v>6.9999999999999999E-36</v>
      </c>
      <c r="BH24" s="6" t="str">
        <f>HYPERLINK(".\links\PREV-RHOD-PEP\TI_asb-205-PREV-RHOD-PEP.txt"," 10")</f>
        <v xml:space="preserve"> 10</v>
      </c>
      <c r="BI24" s="6" t="s">
        <v>1348</v>
      </c>
      <c r="BJ24" s="6">
        <v>110</v>
      </c>
      <c r="BK24" s="6">
        <v>52</v>
      </c>
      <c r="BL24" s="6">
        <v>188</v>
      </c>
      <c r="BM24" s="6">
        <v>98</v>
      </c>
      <c r="BN24" s="6">
        <v>28</v>
      </c>
      <c r="BO24" s="6">
        <v>1</v>
      </c>
      <c r="BP24" s="6">
        <v>0</v>
      </c>
      <c r="BQ24" s="6">
        <v>7</v>
      </c>
      <c r="BR24" s="6">
        <v>183</v>
      </c>
      <c r="BS24" s="6">
        <v>2</v>
      </c>
      <c r="BT24" s="6" t="s">
        <v>54</v>
      </c>
      <c r="BU24" s="6" t="s">
        <v>1349</v>
      </c>
      <c r="BV24" s="6" t="s">
        <v>56</v>
      </c>
      <c r="BW24" s="6" t="str">
        <f>HYPERLINK(".\links\PREV-RHOD-CDS\TI_asb-205-PREV-RHOD-CDS.txt","Contig17971_250")</f>
        <v>Contig17971_250</v>
      </c>
      <c r="BX24" s="7">
        <v>1.0000000000000001E-133</v>
      </c>
      <c r="BY24" s="6" t="s">
        <v>1348</v>
      </c>
      <c r="BZ24" s="6">
        <v>474</v>
      </c>
      <c r="CA24" s="6">
        <v>351</v>
      </c>
      <c r="CB24" s="6">
        <v>567</v>
      </c>
      <c r="CC24" s="6">
        <v>92</v>
      </c>
      <c r="CD24" s="6">
        <v>62</v>
      </c>
      <c r="CE24" s="6">
        <v>27</v>
      </c>
      <c r="CF24" s="6">
        <v>2</v>
      </c>
      <c r="CG24" s="6">
        <v>32</v>
      </c>
      <c r="CH24" s="6">
        <v>196</v>
      </c>
      <c r="CI24" s="6">
        <v>1</v>
      </c>
      <c r="CJ24" s="6" t="s">
        <v>54</v>
      </c>
      <c r="CK24" s="6" t="s">
        <v>1350</v>
      </c>
      <c r="CL24" s="6">
        <f>HYPERLINK(".\links\GO\TI_asb-205-GO.txt",1.8)</f>
        <v>1.8</v>
      </c>
      <c r="CM24" s="6" t="s">
        <v>58</v>
      </c>
      <c r="CN24" s="6" t="s">
        <v>58</v>
      </c>
      <c r="CP24" s="6" t="s">
        <v>59</v>
      </c>
      <c r="CQ24" s="6">
        <v>1.8</v>
      </c>
      <c r="CR24" s="6" t="s">
        <v>1351</v>
      </c>
      <c r="CS24" s="6" t="s">
        <v>75</v>
      </c>
      <c r="CT24" s="6" t="s">
        <v>76</v>
      </c>
      <c r="CU24" s="6" t="s">
        <v>1352</v>
      </c>
      <c r="CV24" s="6">
        <v>1.8</v>
      </c>
      <c r="CW24" s="6" t="s">
        <v>399</v>
      </c>
      <c r="CX24" s="6" t="s">
        <v>58</v>
      </c>
      <c r="CZ24" s="6" t="s">
        <v>400</v>
      </c>
      <c r="DA24" s="6">
        <v>1.8</v>
      </c>
      <c r="DB24" s="6" t="str">
        <f>HYPERLINK(".\links\CDD\TI_asb-205-CDD.txt","PRK12323")</f>
        <v>PRK12323</v>
      </c>
      <c r="DC24" s="6" t="str">
        <f>HYPERLINK("http://www.ncbi.nlm.nih.gov/Structure/cdd/cddsrv.cgi?uid=PRK12323&amp;version=v4.0","0.015")</f>
        <v>0.015</v>
      </c>
      <c r="DD24" s="6" t="s">
        <v>1353</v>
      </c>
      <c r="DE24" s="6" t="str">
        <f>HYPERLINK(".\links\PFAM\TI_asb-205-PFAM.txt","WWbp")</f>
        <v>WWbp</v>
      </c>
      <c r="DF24" s="6" t="str">
        <f>HYPERLINK("http://pfam.sanger.ac.uk/family?acc=PF10349","1E-004")</f>
        <v>1E-004</v>
      </c>
      <c r="DG24" s="6" t="str">
        <f>HYPERLINK(".\links\PRK\TI_asb-205-PRK.txt","DNA polymerase III subunits gamma and tau")</f>
        <v>DNA polymerase III subunits gamma and tau</v>
      </c>
      <c r="DH24" s="7">
        <v>2.0000000000000001E-4</v>
      </c>
      <c r="DI24" s="6" t="str">
        <f>HYPERLINK(".\links\SMART\TI_asb-205-SMART.txt","Ami_2")</f>
        <v>Ami_2</v>
      </c>
      <c r="DJ24" s="6" t="str">
        <f>HYPERLINK("http://smart.embl-heidelberg.de/smart/do_annotation.pl?DOMAIN=Ami_2&amp;BLAST=DUMMY","0.029")</f>
        <v>0.029</v>
      </c>
      <c r="DK24" s="6" t="s">
        <v>56</v>
      </c>
      <c r="DY24" s="6" t="s">
        <v>56</v>
      </c>
    </row>
    <row r="25" spans="1:129" s="6" customFormat="1">
      <c r="A25" s="6" t="str">
        <f>HYPERLINK(".\links\seq\TI_asb-437-seq.txt","TI_asb-437")</f>
        <v>TI_asb-437</v>
      </c>
      <c r="B25" s="6">
        <v>437</v>
      </c>
      <c r="C25" s="6" t="str">
        <f>HYPERLINK(".\links\tsa\TI_asb-437-tsa.txt","1")</f>
        <v>1</v>
      </c>
      <c r="D25" s="6">
        <v>1</v>
      </c>
      <c r="E25" s="6">
        <v>490</v>
      </c>
      <c r="F25" s="6">
        <v>445</v>
      </c>
      <c r="G25" s="6" t="str">
        <f>HYPERLINK(".\links\qual\TI_asb-437-qual.txt","40")</f>
        <v>40</v>
      </c>
      <c r="H25" s="6">
        <v>0</v>
      </c>
      <c r="I25" s="6">
        <v>1</v>
      </c>
      <c r="J25" s="6">
        <f t="shared" si="0"/>
        <v>1</v>
      </c>
      <c r="K25" s="6" t="s">
        <v>3868</v>
      </c>
      <c r="L25" s="6" t="s">
        <v>3869</v>
      </c>
      <c r="P25" s="6">
        <v>490</v>
      </c>
      <c r="Q25" s="6">
        <v>279</v>
      </c>
      <c r="R25" s="6" t="s">
        <v>3746</v>
      </c>
      <c r="S25" s="6">
        <v>1</v>
      </c>
      <c r="T25" s="6" t="str">
        <f>HYPERLINK(".\links\NR-LIGHT\TI_asb-437-NR-LIGHT.txt","hypothetical protein AND_13361")</f>
        <v>hypothetical protein AND_13361</v>
      </c>
      <c r="U25" s="6" t="str">
        <f>HYPERLINK("http://www.ncbi.nlm.nih.gov/sutils/blink.cgi?pid=312375952","1.1")</f>
        <v>1.1</v>
      </c>
      <c r="V25" s="6" t="str">
        <f>HYPERLINK(".\links\NR-LIGHT\TI_asb-437-NR-LIGHT.txt"," 10")</f>
        <v xml:space="preserve"> 10</v>
      </c>
      <c r="W25" s="6" t="str">
        <f>HYPERLINK("http://www.ncbi.nlm.nih.gov/protein/312375952","gi|312375952")</f>
        <v>gi|312375952</v>
      </c>
      <c r="X25" s="6">
        <v>34.700000000000003</v>
      </c>
      <c r="Y25" s="6">
        <v>31</v>
      </c>
      <c r="Z25" s="6">
        <v>1086</v>
      </c>
      <c r="AA25" s="6">
        <v>45</v>
      </c>
      <c r="AB25" s="6">
        <v>3</v>
      </c>
      <c r="AC25" s="6">
        <v>17</v>
      </c>
      <c r="AD25" s="6">
        <v>0</v>
      </c>
      <c r="AE25" s="6">
        <v>692</v>
      </c>
      <c r="AF25" s="6">
        <v>151</v>
      </c>
      <c r="AG25" s="6">
        <v>2</v>
      </c>
      <c r="AH25" s="6">
        <v>1</v>
      </c>
      <c r="AI25" s="6" t="s">
        <v>53</v>
      </c>
      <c r="AJ25" s="6" t="s">
        <v>54</v>
      </c>
      <c r="AK25" s="6" t="s">
        <v>532</v>
      </c>
      <c r="AL25" s="6" t="s">
        <v>56</v>
      </c>
      <c r="AM25" s="6" t="s">
        <v>56</v>
      </c>
      <c r="AN25" s="6" t="s">
        <v>56</v>
      </c>
      <c r="AO25" s="6" t="s">
        <v>56</v>
      </c>
      <c r="AP25" s="6" t="s">
        <v>56</v>
      </c>
      <c r="AQ25" s="6" t="s">
        <v>56</v>
      </c>
      <c r="AR25" s="6" t="s">
        <v>56</v>
      </c>
      <c r="AS25" s="6" t="s">
        <v>56</v>
      </c>
      <c r="AT25" s="6" t="s">
        <v>56</v>
      </c>
      <c r="AU25" s="6" t="s">
        <v>56</v>
      </c>
      <c r="AV25" s="6" t="s">
        <v>56</v>
      </c>
      <c r="AW25" s="6" t="s">
        <v>56</v>
      </c>
      <c r="AX25" s="6" t="s">
        <v>56</v>
      </c>
      <c r="AY25" s="6" t="s">
        <v>56</v>
      </c>
      <c r="AZ25" s="6" t="s">
        <v>56</v>
      </c>
      <c r="BA25" s="6" t="s">
        <v>56</v>
      </c>
      <c r="BB25" s="6" t="s">
        <v>56</v>
      </c>
      <c r="BC25" s="6" t="s">
        <v>56</v>
      </c>
      <c r="BD25" s="6" t="s">
        <v>56</v>
      </c>
      <c r="BE25" s="6" t="s">
        <v>56</v>
      </c>
      <c r="BF25" s="6" t="str">
        <f>HYPERLINK(".\links\PREV-RHOD-PEP\TI_asb-437-PREV-RHOD-PEP.txt","Contig17812_36")</f>
        <v>Contig17812_36</v>
      </c>
      <c r="BG25" s="7">
        <v>9.9999999999999991E-22</v>
      </c>
      <c r="BH25" s="6" t="str">
        <f>HYPERLINK(".\links\PREV-RHOD-PEP\TI_asb-437-PREV-RHOD-PEP.txt"," 10")</f>
        <v xml:space="preserve"> 10</v>
      </c>
      <c r="BI25" s="6" t="s">
        <v>563</v>
      </c>
      <c r="BJ25" s="6">
        <v>98.6</v>
      </c>
      <c r="BK25" s="6">
        <v>91</v>
      </c>
      <c r="BL25" s="6">
        <v>387</v>
      </c>
      <c r="BM25" s="6">
        <v>49</v>
      </c>
      <c r="BN25" s="6">
        <v>24</v>
      </c>
      <c r="BO25" s="6">
        <v>46</v>
      </c>
      <c r="BP25" s="6">
        <v>0</v>
      </c>
      <c r="BQ25" s="6">
        <v>133</v>
      </c>
      <c r="BR25" s="6">
        <v>1</v>
      </c>
      <c r="BS25" s="6">
        <v>4</v>
      </c>
      <c r="BT25" s="6" t="s">
        <v>54</v>
      </c>
      <c r="BU25" s="6" t="s">
        <v>2635</v>
      </c>
      <c r="BV25" s="6" t="s">
        <v>56</v>
      </c>
      <c r="BW25" s="6" t="str">
        <f>HYPERLINK(".\links\PREV-RHOD-CDS\TI_asb-437-PREV-RHOD-CDS.txt","Contig17812_36")</f>
        <v>Contig17812_36</v>
      </c>
      <c r="BX25" s="7">
        <v>3E-10</v>
      </c>
      <c r="BY25" s="6" t="s">
        <v>563</v>
      </c>
      <c r="BZ25" s="6">
        <v>65.900000000000006</v>
      </c>
      <c r="CA25" s="6">
        <v>48</v>
      </c>
      <c r="CB25" s="6">
        <v>1164</v>
      </c>
      <c r="CC25" s="6">
        <v>91</v>
      </c>
      <c r="CD25" s="6">
        <v>4</v>
      </c>
      <c r="CE25" s="6">
        <v>4</v>
      </c>
      <c r="CF25" s="6">
        <v>0</v>
      </c>
      <c r="CG25" s="6">
        <v>1093</v>
      </c>
      <c r="CH25" s="6">
        <v>208</v>
      </c>
      <c r="CI25" s="6">
        <v>1</v>
      </c>
      <c r="CJ25" s="6" t="s">
        <v>54</v>
      </c>
      <c r="CK25" s="6" t="s">
        <v>2636</v>
      </c>
      <c r="CL25" s="6">
        <f>HYPERLINK(".\links\GO\TI_asb-437-GO.txt",0.087)</f>
        <v>8.6999999999999994E-2</v>
      </c>
      <c r="CM25" s="6" t="s">
        <v>2637</v>
      </c>
      <c r="CN25" s="6" t="s">
        <v>185</v>
      </c>
      <c r="CO25" s="6" t="s">
        <v>186</v>
      </c>
      <c r="CP25" s="6" t="s">
        <v>2638</v>
      </c>
      <c r="CQ25" s="6">
        <v>1.3</v>
      </c>
      <c r="CR25" s="6" t="s">
        <v>1420</v>
      </c>
      <c r="CS25" s="6" t="s">
        <v>540</v>
      </c>
      <c r="CT25" s="6" t="s">
        <v>1137</v>
      </c>
      <c r="CU25" s="6" t="s">
        <v>1421</v>
      </c>
      <c r="CV25" s="6">
        <v>1.3</v>
      </c>
      <c r="CW25" s="6" t="s">
        <v>2639</v>
      </c>
      <c r="CX25" s="6" t="s">
        <v>185</v>
      </c>
      <c r="CY25" s="6" t="s">
        <v>186</v>
      </c>
      <c r="CZ25" s="6" t="s">
        <v>2640</v>
      </c>
      <c r="DA25" s="6">
        <v>1.3</v>
      </c>
      <c r="DB25" s="6" t="str">
        <f>HYPERLINK(".\links\CDD\TI_asb-437-CDD.txt","CBM_14")</f>
        <v>CBM_14</v>
      </c>
      <c r="DC25" s="6" t="str">
        <f>HYPERLINK("http://www.ncbi.nlm.nih.gov/Structure/cdd/cddsrv.cgi?uid=pfam01607&amp;version=v4.0","0.021")</f>
        <v>0.021</v>
      </c>
      <c r="DD25" s="6" t="s">
        <v>2641</v>
      </c>
      <c r="DE25" s="6" t="str">
        <f>HYPERLINK(".\links\PFAM\TI_asb-437-PFAM.txt","7TM_GPCR_Srd")</f>
        <v>7TM_GPCR_Srd</v>
      </c>
      <c r="DF25" s="6" t="str">
        <f>HYPERLINK("http://pfam.sanger.ac.uk/family?acc=PF10317","0.001")</f>
        <v>0.001</v>
      </c>
      <c r="DG25" s="6" t="str">
        <f>HYPERLINK(".\links\PRK\TI_asb-437-PRK.txt","NADH dehydrogenase subunit 6")</f>
        <v>NADH dehydrogenase subunit 6</v>
      </c>
      <c r="DH25" s="6">
        <v>3.0000000000000001E-3</v>
      </c>
      <c r="DI25" s="6" t="str">
        <f>HYPERLINK(".\links\SMART\TI_asb-437-SMART.txt","ChtBD2")</f>
        <v>ChtBD2</v>
      </c>
      <c r="DJ25" s="6" t="str">
        <f>HYPERLINK("http://smart.embl-heidelberg.de/smart/do_annotation.pl?DOMAIN=ChtBD2&amp;BLAST=DUMMY","0.001")</f>
        <v>0.001</v>
      </c>
      <c r="DK25" s="6" t="s">
        <v>56</v>
      </c>
      <c r="DY25" s="6" t="s">
        <v>56</v>
      </c>
    </row>
    <row r="26" spans="1:129" s="6" customFormat="1">
      <c r="A26" s="6" t="str">
        <f>HYPERLINK(".\links\seq\TI_asb-264-seq.txt","TI_asb-264")</f>
        <v>TI_asb-264</v>
      </c>
      <c r="B26" s="6">
        <v>264</v>
      </c>
      <c r="C26" s="6" t="str">
        <f>HYPERLINK(".\links\tsa\TI_asb-264-tsa.txt","2")</f>
        <v>2</v>
      </c>
      <c r="D26" s="6">
        <v>2</v>
      </c>
      <c r="E26" s="6">
        <v>662</v>
      </c>
      <c r="G26" s="6" t="str">
        <f>HYPERLINK(".\links\qual\TI_asb-264-qual.txt","69")</f>
        <v>69</v>
      </c>
      <c r="H26" s="6">
        <v>1</v>
      </c>
      <c r="I26" s="6">
        <v>1</v>
      </c>
      <c r="J26" s="6">
        <f t="shared" si="0"/>
        <v>0</v>
      </c>
      <c r="K26" s="6" t="s">
        <v>3868</v>
      </c>
      <c r="L26" s="6" t="s">
        <v>3869</v>
      </c>
      <c r="P26" s="6">
        <v>662</v>
      </c>
      <c r="Q26" s="6">
        <v>525</v>
      </c>
      <c r="R26" s="6" t="s">
        <v>3632</v>
      </c>
      <c r="S26" s="6">
        <v>3</v>
      </c>
      <c r="T26" s="6" t="str">
        <f>HYPERLINK(".\links\NR-LIGHT\TI_asb-264-NR-LIGHT.txt","conserved hypothetical protein")</f>
        <v>conserved hypothetical protein</v>
      </c>
      <c r="U26" s="6" t="str">
        <f>HYPERLINK("http://www.ncbi.nlm.nih.gov/sutils/blink.cgi?pid=170028035","7E-005")</f>
        <v>7E-005</v>
      </c>
      <c r="V26" s="6" t="str">
        <f>HYPERLINK(".\links\NR-LIGHT\TI_asb-264-NR-LIGHT.txt"," 10")</f>
        <v xml:space="preserve"> 10</v>
      </c>
      <c r="W26" s="6" t="str">
        <f>HYPERLINK("http://www.ncbi.nlm.nih.gov/protein/170028035","gi|170028035")</f>
        <v>gi|170028035</v>
      </c>
      <c r="X26" s="6">
        <v>49.7</v>
      </c>
      <c r="Y26" s="6">
        <v>79</v>
      </c>
      <c r="Z26" s="6">
        <v>626</v>
      </c>
      <c r="AA26" s="6">
        <v>32</v>
      </c>
      <c r="AB26" s="6">
        <v>13</v>
      </c>
      <c r="AC26" s="6">
        <v>53</v>
      </c>
      <c r="AD26" s="6">
        <v>4</v>
      </c>
      <c r="AE26" s="6">
        <v>16</v>
      </c>
      <c r="AF26" s="6">
        <v>438</v>
      </c>
      <c r="AG26" s="6">
        <v>1</v>
      </c>
      <c r="AH26" s="6">
        <v>3</v>
      </c>
      <c r="AI26" s="6" t="s">
        <v>53</v>
      </c>
      <c r="AJ26" s="6" t="s">
        <v>54</v>
      </c>
      <c r="AK26" s="6" t="s">
        <v>111</v>
      </c>
      <c r="AL26" s="6" t="str">
        <f>HYPERLINK(".\links\SWISSP\TI_asb-264-SWISSP.txt","Poly(ADP-ribose) glycohydrolase ARH3 OS=Gallus gallus GN=ADPRHL2 PE=2 SV=1")</f>
        <v>Poly(ADP-ribose) glycohydrolase ARH3 OS=Gallus gallus GN=ADPRHL2 PE=2 SV=1</v>
      </c>
      <c r="AM26" s="6" t="str">
        <f>HYPERLINK("http://www.uniprot.org/uniprot/Q5ZI51","0.72")</f>
        <v>0.72</v>
      </c>
      <c r="AN26" s="6" t="str">
        <f>HYPERLINK(".\links\SWISSP\TI_asb-264-SWISSP.txt"," 3")</f>
        <v xml:space="preserve"> 3</v>
      </c>
      <c r="AO26" s="6" t="s">
        <v>1674</v>
      </c>
      <c r="AP26" s="6">
        <v>34.299999999999997</v>
      </c>
      <c r="AQ26" s="6">
        <v>99</v>
      </c>
      <c r="AR26" s="6">
        <v>367</v>
      </c>
      <c r="AS26" s="6">
        <v>27</v>
      </c>
      <c r="AT26" s="6">
        <v>27</v>
      </c>
      <c r="AU26" s="6">
        <v>72</v>
      </c>
      <c r="AV26" s="6">
        <v>14</v>
      </c>
      <c r="AW26" s="6">
        <v>135</v>
      </c>
      <c r="AX26" s="6">
        <v>150</v>
      </c>
      <c r="AY26" s="6">
        <v>1</v>
      </c>
      <c r="AZ26" s="6">
        <v>3</v>
      </c>
      <c r="BA26" s="6" t="s">
        <v>53</v>
      </c>
      <c r="BB26" s="6" t="s">
        <v>54</v>
      </c>
      <c r="BC26" s="6" t="s">
        <v>159</v>
      </c>
      <c r="BD26" s="6" t="s">
        <v>1675</v>
      </c>
      <c r="BE26" s="6" t="s">
        <v>1676</v>
      </c>
      <c r="BF26" s="6" t="str">
        <f>HYPERLINK(".\links\PREV-RHOD-PEP\TI_asb-264-PREV-RHOD-PEP.txt","Contig10370_3")</f>
        <v>Contig10370_3</v>
      </c>
      <c r="BG26" s="7">
        <v>5.9999999999999998E-50</v>
      </c>
      <c r="BH26" s="6" t="str">
        <f>HYPERLINK(".\links\PREV-RHOD-PEP\TI_asb-264-PREV-RHOD-PEP.txt"," 4")</f>
        <v xml:space="preserve"> 4</v>
      </c>
      <c r="BI26" s="6" t="s">
        <v>1677</v>
      </c>
      <c r="BJ26" s="6">
        <v>193</v>
      </c>
      <c r="BK26" s="6">
        <v>128</v>
      </c>
      <c r="BL26" s="6">
        <v>672</v>
      </c>
      <c r="BM26" s="6">
        <v>71</v>
      </c>
      <c r="BN26" s="6">
        <v>19</v>
      </c>
      <c r="BO26" s="6">
        <v>36</v>
      </c>
      <c r="BP26" s="6">
        <v>0</v>
      </c>
      <c r="BQ26" s="6">
        <v>3</v>
      </c>
      <c r="BR26" s="6">
        <v>231</v>
      </c>
      <c r="BS26" s="6">
        <v>1</v>
      </c>
      <c r="BT26" s="6" t="s">
        <v>54</v>
      </c>
      <c r="BU26" s="6" t="s">
        <v>1678</v>
      </c>
      <c r="BV26" s="6" t="s">
        <v>56</v>
      </c>
      <c r="BW26" s="6" t="str">
        <f>HYPERLINK(".\links\PREV-RHOD-CDS\TI_asb-264-PREV-RHOD-CDS.txt","Contig10370_3")</f>
        <v>Contig10370_3</v>
      </c>
      <c r="BX26" s="7">
        <v>5.0000000000000003E-34</v>
      </c>
      <c r="BY26" s="6" t="s">
        <v>1677</v>
      </c>
      <c r="BZ26" s="6">
        <v>145</v>
      </c>
      <c r="CA26" s="6">
        <v>324</v>
      </c>
      <c r="CB26" s="6">
        <v>2016</v>
      </c>
      <c r="CC26" s="6">
        <v>80</v>
      </c>
      <c r="CD26" s="6">
        <v>16</v>
      </c>
      <c r="CE26" s="6">
        <v>63</v>
      </c>
      <c r="CF26" s="6">
        <v>0</v>
      </c>
      <c r="CG26" s="6">
        <v>55</v>
      </c>
      <c r="CH26" s="6">
        <v>279</v>
      </c>
      <c r="CI26" s="6">
        <v>1</v>
      </c>
      <c r="CJ26" s="6" t="s">
        <v>54</v>
      </c>
      <c r="CK26" s="6" t="s">
        <v>1679</v>
      </c>
      <c r="CL26" s="6">
        <f>HYPERLINK(".\links\GO\TI_asb-264-GO.txt",2.3)</f>
        <v>2.2999999999999998</v>
      </c>
      <c r="CM26" s="6" t="s">
        <v>58</v>
      </c>
      <c r="CN26" s="6" t="s">
        <v>58</v>
      </c>
      <c r="CP26" s="6" t="s">
        <v>59</v>
      </c>
      <c r="CQ26" s="6">
        <v>3.9</v>
      </c>
      <c r="CR26" s="6" t="s">
        <v>60</v>
      </c>
      <c r="CS26" s="6" t="s">
        <v>60</v>
      </c>
      <c r="CU26" s="6" t="s">
        <v>61</v>
      </c>
      <c r="CV26" s="6">
        <v>3.9</v>
      </c>
      <c r="CW26" s="6" t="s">
        <v>62</v>
      </c>
      <c r="CX26" s="6" t="s">
        <v>58</v>
      </c>
      <c r="CZ26" s="6" t="s">
        <v>63</v>
      </c>
      <c r="DA26" s="6">
        <v>3.9</v>
      </c>
      <c r="DB26" s="6" t="s">
        <v>56</v>
      </c>
      <c r="DC26" s="6" t="s">
        <v>56</v>
      </c>
      <c r="DD26" s="6" t="s">
        <v>56</v>
      </c>
      <c r="DE26" s="6" t="str">
        <f>HYPERLINK(".\links\PFAM\TI_asb-264-PFAM.txt","DUF2206")</f>
        <v>DUF2206</v>
      </c>
      <c r="DF26" s="6" t="str">
        <f>HYPERLINK("http://pfam.sanger.ac.uk/family?acc=PF09971","0.042")</f>
        <v>0.042</v>
      </c>
      <c r="DG26" s="6" t="s">
        <v>56</v>
      </c>
      <c r="DH26" s="6" t="s">
        <v>56</v>
      </c>
      <c r="DI26" s="6" t="str">
        <f>HYPERLINK(".\links\SMART\TI_asb-264-SMART.txt","CLH")</f>
        <v>CLH</v>
      </c>
      <c r="DJ26" s="6" t="str">
        <f>HYPERLINK("http://smart.embl-heidelberg.de/smart/do_annotation.pl?DOMAIN=CLH&amp;BLAST=DUMMY","0.064")</f>
        <v>0.064</v>
      </c>
      <c r="DK26" s="6" t="s">
        <v>56</v>
      </c>
      <c r="DY26" s="6" t="s">
        <v>56</v>
      </c>
    </row>
    <row r="27" spans="1:129" s="6" customFormat="1">
      <c r="A27" s="6" t="str">
        <f>HYPERLINK(".\links\seq\TI_asb-541-seq.txt","TI_asb-541")</f>
        <v>TI_asb-541</v>
      </c>
      <c r="B27" s="6">
        <v>541</v>
      </c>
      <c r="C27" s="6" t="str">
        <f>HYPERLINK(".\links\tsa\TI_asb-541-tsa.txt","1")</f>
        <v>1</v>
      </c>
      <c r="D27" s="6">
        <v>1</v>
      </c>
      <c r="E27" s="6">
        <v>565</v>
      </c>
      <c r="G27" s="6" t="str">
        <f>HYPERLINK(".\links\qual\TI_asb-541-qual.txt","56")</f>
        <v>56</v>
      </c>
      <c r="H27" s="6">
        <v>0</v>
      </c>
      <c r="I27" s="6">
        <v>1</v>
      </c>
      <c r="J27" s="6">
        <f t="shared" si="0"/>
        <v>1</v>
      </c>
      <c r="K27" s="6" t="s">
        <v>3868</v>
      </c>
      <c r="L27" s="6" t="s">
        <v>3869</v>
      </c>
      <c r="P27" s="6">
        <v>565</v>
      </c>
      <c r="Q27" s="6">
        <v>405</v>
      </c>
      <c r="R27" s="6" t="s">
        <v>3817</v>
      </c>
      <c r="S27" s="6">
        <v>2</v>
      </c>
      <c r="T27" s="6" t="str">
        <f>HYPERLINK(".\links\NR-LIGHT\TI_asb-541-NR-LIGHT.txt","pro-neuregulin-1, membrane-bound isoform-like")</f>
        <v>pro-neuregulin-1, membrane-bound isoform-like</v>
      </c>
      <c r="U27" s="6" t="str">
        <f>HYPERLINK("http://www.ncbi.nlm.nih.gov/sutils/blink.cgi?pid=311272401","0.26")</f>
        <v>0.26</v>
      </c>
      <c r="V27" s="6" t="str">
        <f>HYPERLINK(".\links\NR-LIGHT\TI_asb-541-NR-LIGHT.txt"," 10")</f>
        <v xml:space="preserve"> 10</v>
      </c>
      <c r="W27" s="6" t="str">
        <f>HYPERLINK("http://www.ncbi.nlm.nih.gov/protein/311272401","gi|311272401")</f>
        <v>gi|311272401</v>
      </c>
      <c r="X27" s="6">
        <v>37.4</v>
      </c>
      <c r="Y27" s="6">
        <v>80</v>
      </c>
      <c r="Z27" s="6">
        <v>563</v>
      </c>
      <c r="AA27" s="6">
        <v>28</v>
      </c>
      <c r="AB27" s="6">
        <v>14</v>
      </c>
      <c r="AC27" s="6">
        <v>57</v>
      </c>
      <c r="AD27" s="6">
        <v>3</v>
      </c>
      <c r="AE27" s="6">
        <v>224</v>
      </c>
      <c r="AF27" s="6">
        <v>326</v>
      </c>
      <c r="AG27" s="6">
        <v>1</v>
      </c>
      <c r="AH27" s="6">
        <v>2</v>
      </c>
      <c r="AI27" s="6" t="s">
        <v>53</v>
      </c>
      <c r="AJ27" s="6" t="s">
        <v>54</v>
      </c>
      <c r="AK27" s="6" t="s">
        <v>229</v>
      </c>
      <c r="AL27" s="6" t="str">
        <f>HYPERLINK(".\links\SWISSP\TI_asb-541-SWISSP.txt","Pro-neuregulin-1, membrane-bound isoform OS=Xenopus laevis GN=nrg1 PE=2 SV=1")</f>
        <v>Pro-neuregulin-1, membrane-bound isoform OS=Xenopus laevis GN=nrg1 PE=2 SV=1</v>
      </c>
      <c r="AM27" s="6" t="str">
        <f>HYPERLINK("http://www.uniprot.org/uniprot/O93383","0.037")</f>
        <v>0.037</v>
      </c>
      <c r="AN27" s="6" t="str">
        <f>HYPERLINK(".\links\SWISSP\TI_asb-541-SWISSP.txt"," 10")</f>
        <v xml:space="preserve"> 10</v>
      </c>
      <c r="AO27" s="6" t="s">
        <v>3185</v>
      </c>
      <c r="AP27" s="6">
        <v>38.1</v>
      </c>
      <c r="AQ27" s="6">
        <v>70</v>
      </c>
      <c r="AR27" s="6">
        <v>677</v>
      </c>
      <c r="AS27" s="6">
        <v>28</v>
      </c>
      <c r="AT27" s="6">
        <v>10</v>
      </c>
      <c r="AU27" s="6">
        <v>50</v>
      </c>
      <c r="AV27" s="6">
        <v>3</v>
      </c>
      <c r="AW27" s="6">
        <v>321</v>
      </c>
      <c r="AX27" s="6">
        <v>335</v>
      </c>
      <c r="AY27" s="6">
        <v>1</v>
      </c>
      <c r="AZ27" s="6">
        <v>2</v>
      </c>
      <c r="BA27" s="6" t="s">
        <v>53</v>
      </c>
      <c r="BB27" s="6" t="s">
        <v>54</v>
      </c>
      <c r="BC27" s="6" t="s">
        <v>832</v>
      </c>
      <c r="BD27" s="6" t="s">
        <v>3186</v>
      </c>
      <c r="BE27" s="6" t="s">
        <v>3187</v>
      </c>
      <c r="BF27" s="6" t="str">
        <f>HYPERLINK(".\links\PREV-RHOD-PEP\TI_asb-541-PREV-RHOD-PEP.txt","Contig17920_108")</f>
        <v>Contig17920_108</v>
      </c>
      <c r="BG27" s="7">
        <v>4E-41</v>
      </c>
      <c r="BH27" s="6" t="str">
        <f>HYPERLINK(".\links\PREV-RHOD-PEP\TI_asb-541-PREV-RHOD-PEP.txt"," 10")</f>
        <v xml:space="preserve"> 10</v>
      </c>
      <c r="BI27" s="6" t="s">
        <v>3188</v>
      </c>
      <c r="BJ27" s="6">
        <v>163</v>
      </c>
      <c r="BK27" s="6">
        <v>127</v>
      </c>
      <c r="BL27" s="6">
        <v>757</v>
      </c>
      <c r="BM27" s="6">
        <v>65</v>
      </c>
      <c r="BN27" s="6">
        <v>17</v>
      </c>
      <c r="BO27" s="6">
        <v>44</v>
      </c>
      <c r="BP27" s="6">
        <v>5</v>
      </c>
      <c r="BQ27" s="6">
        <v>1</v>
      </c>
      <c r="BR27" s="6">
        <v>200</v>
      </c>
      <c r="BS27" s="6">
        <v>1</v>
      </c>
      <c r="BT27" s="6" t="s">
        <v>54</v>
      </c>
      <c r="BU27" s="6" t="s">
        <v>3189</v>
      </c>
      <c r="BV27" s="6" t="s">
        <v>56</v>
      </c>
      <c r="BW27" s="6" t="str">
        <f>HYPERLINK(".\links\PREV-RHOD-CDS\TI_asb-541-PREV-RHOD-CDS.txt","Contig17920_108")</f>
        <v>Contig17920_108</v>
      </c>
      <c r="BX27" s="7">
        <v>4.9999999999999997E-12</v>
      </c>
      <c r="BY27" s="6" t="s">
        <v>3188</v>
      </c>
      <c r="BZ27" s="6">
        <v>71.900000000000006</v>
      </c>
      <c r="CA27" s="6">
        <v>272</v>
      </c>
      <c r="CB27" s="6">
        <v>2274</v>
      </c>
      <c r="CC27" s="6">
        <v>81</v>
      </c>
      <c r="CD27" s="6">
        <v>12</v>
      </c>
      <c r="CE27" s="6">
        <v>25</v>
      </c>
      <c r="CF27" s="6">
        <v>0</v>
      </c>
      <c r="CG27" s="6">
        <v>94</v>
      </c>
      <c r="CH27" s="6">
        <v>296</v>
      </c>
      <c r="CI27" s="6">
        <v>2</v>
      </c>
      <c r="CJ27" s="6" t="s">
        <v>54</v>
      </c>
      <c r="CK27" s="6" t="s">
        <v>3190</v>
      </c>
      <c r="CL27" s="6">
        <f>HYPERLINK(".\links\GO\TI_asb-541-GO.txt",0.018)</f>
        <v>1.7999999999999999E-2</v>
      </c>
      <c r="CM27" s="6" t="s">
        <v>3191</v>
      </c>
      <c r="CN27" s="6" t="s">
        <v>185</v>
      </c>
      <c r="CO27" s="6" t="s">
        <v>186</v>
      </c>
      <c r="CP27" s="6" t="s">
        <v>3192</v>
      </c>
      <c r="CQ27" s="6">
        <v>1.7999999999999999E-2</v>
      </c>
      <c r="CR27" s="6" t="s">
        <v>3193</v>
      </c>
      <c r="CS27" s="6" t="s">
        <v>3193</v>
      </c>
      <c r="CU27" s="6" t="s">
        <v>3194</v>
      </c>
      <c r="CV27" s="6">
        <v>1.7999999999999999E-2</v>
      </c>
      <c r="CW27" s="6" t="s">
        <v>3195</v>
      </c>
      <c r="CX27" s="6" t="s">
        <v>185</v>
      </c>
      <c r="CY27" s="6" t="s">
        <v>186</v>
      </c>
      <c r="CZ27" s="6" t="s">
        <v>3196</v>
      </c>
      <c r="DA27" s="6">
        <v>1.7999999999999999E-2</v>
      </c>
      <c r="DB27" s="6" t="str">
        <f>HYPERLINK(".\links\CDD\TI_asb-541-CDD.txt","Neuregulin")</f>
        <v>Neuregulin</v>
      </c>
      <c r="DC27" s="6" t="str">
        <f>HYPERLINK("http://www.ncbi.nlm.nih.gov/Structure/cdd/cddsrv.cgi?uid=pfam02158&amp;version=v4.0","0.007")</f>
        <v>0.007</v>
      </c>
      <c r="DD27" s="6" t="s">
        <v>3197</v>
      </c>
      <c r="DE27" s="6" t="str">
        <f>HYPERLINK(".\links\PFAM\TI_asb-541-PFAM.txt","Neuregulin")</f>
        <v>Neuregulin</v>
      </c>
      <c r="DF27" s="6" t="str">
        <f>HYPERLINK("http://pfam.sanger.ac.uk/family?acc=PF02158","0.002")</f>
        <v>0.002</v>
      </c>
      <c r="DG27" s="6" t="s">
        <v>56</v>
      </c>
      <c r="DH27" s="6" t="s">
        <v>56</v>
      </c>
      <c r="DI27" s="6" t="str">
        <f>HYPERLINK(".\links\SMART\TI_asb-541-SMART.txt","RAN")</f>
        <v>RAN</v>
      </c>
      <c r="DJ27" s="6" t="str">
        <f>HYPERLINK("http://smart.embl-heidelberg.de/smart/do_annotation.pl?DOMAIN=RAN&amp;BLAST=DUMMY","0.060")</f>
        <v>0.060</v>
      </c>
      <c r="DK27" s="6" t="s">
        <v>56</v>
      </c>
      <c r="DY27" s="6" t="s">
        <v>56</v>
      </c>
    </row>
    <row r="28" spans="1:129" s="6" customFormat="1">
      <c r="A28" s="6" t="str">
        <f>HYPERLINK(".\links\seq\TI_asb-228-seq.txt","TI_asb-228")</f>
        <v>TI_asb-228</v>
      </c>
      <c r="B28" s="6">
        <v>228</v>
      </c>
      <c r="C28" s="6" t="str">
        <f>HYPERLINK(".\links\tsa\TI_asb-228-tsa.txt","1")</f>
        <v>1</v>
      </c>
      <c r="D28" s="6">
        <v>1</v>
      </c>
      <c r="E28" s="6">
        <v>319</v>
      </c>
      <c r="G28" s="6" t="str">
        <f>HYPERLINK(".\links\qual\TI_asb-228-qual.txt","28")</f>
        <v>28</v>
      </c>
      <c r="H28" s="6">
        <v>1</v>
      </c>
      <c r="I28" s="6">
        <v>0</v>
      </c>
      <c r="J28" s="6">
        <f t="shared" si="0"/>
        <v>1</v>
      </c>
      <c r="K28" s="6" t="s">
        <v>3868</v>
      </c>
      <c r="L28" s="6" t="s">
        <v>3869</v>
      </c>
      <c r="P28" s="6">
        <v>319</v>
      </c>
      <c r="Q28" s="6">
        <v>159</v>
      </c>
      <c r="R28" s="6" t="s">
        <v>3612</v>
      </c>
      <c r="S28" s="6">
        <v>4</v>
      </c>
      <c r="T28" s="6" t="s">
        <v>56</v>
      </c>
      <c r="U28" s="6" t="s">
        <v>56</v>
      </c>
      <c r="V28" s="6" t="s">
        <v>56</v>
      </c>
      <c r="W28" s="6" t="s">
        <v>56</v>
      </c>
      <c r="X28" s="6" t="s">
        <v>56</v>
      </c>
      <c r="Y28" s="6" t="s">
        <v>56</v>
      </c>
      <c r="Z28" s="6" t="s">
        <v>56</v>
      </c>
      <c r="AA28" s="6" t="s">
        <v>56</v>
      </c>
      <c r="AB28" s="6" t="s">
        <v>56</v>
      </c>
      <c r="AC28" s="6" t="s">
        <v>56</v>
      </c>
      <c r="AD28" s="6" t="s">
        <v>56</v>
      </c>
      <c r="AE28" s="6" t="s">
        <v>56</v>
      </c>
      <c r="AF28" s="6" t="s">
        <v>56</v>
      </c>
      <c r="AG28" s="6" t="s">
        <v>56</v>
      </c>
      <c r="AH28" s="6" t="s">
        <v>56</v>
      </c>
      <c r="AI28" s="6" t="s">
        <v>56</v>
      </c>
      <c r="AJ28" s="6" t="s">
        <v>56</v>
      </c>
      <c r="AK28" s="6" t="s">
        <v>56</v>
      </c>
      <c r="AL28" s="6" t="s">
        <v>56</v>
      </c>
      <c r="AM28" s="6" t="s">
        <v>56</v>
      </c>
      <c r="AN28" s="6" t="s">
        <v>56</v>
      </c>
      <c r="AO28" s="6" t="s">
        <v>56</v>
      </c>
      <c r="AP28" s="6" t="s">
        <v>56</v>
      </c>
      <c r="AQ28" s="6" t="s">
        <v>56</v>
      </c>
      <c r="AR28" s="6" t="s">
        <v>56</v>
      </c>
      <c r="AS28" s="6" t="s">
        <v>56</v>
      </c>
      <c r="AT28" s="6" t="s">
        <v>56</v>
      </c>
      <c r="AU28" s="6" t="s">
        <v>56</v>
      </c>
      <c r="AV28" s="6" t="s">
        <v>56</v>
      </c>
      <c r="AW28" s="6" t="s">
        <v>56</v>
      </c>
      <c r="AX28" s="6" t="s">
        <v>56</v>
      </c>
      <c r="AY28" s="6" t="s">
        <v>56</v>
      </c>
      <c r="AZ28" s="6" t="s">
        <v>56</v>
      </c>
      <c r="BA28" s="6" t="s">
        <v>56</v>
      </c>
      <c r="BB28" s="6" t="s">
        <v>56</v>
      </c>
      <c r="BC28" s="6" t="s">
        <v>56</v>
      </c>
      <c r="BD28" s="6" t="s">
        <v>56</v>
      </c>
      <c r="BE28" s="6" t="s">
        <v>56</v>
      </c>
      <c r="BF28" s="6" t="str">
        <f>HYPERLINK(".\links\PREV-RHOD-PEP\TI_asb-228-PREV-RHOD-PEP.txt","Contig17934_11")</f>
        <v>Contig17934_11</v>
      </c>
      <c r="BG28" s="7">
        <v>5.0000000000000004E-6</v>
      </c>
      <c r="BH28" s="6" t="str">
        <f>HYPERLINK(".\links\PREV-RHOD-PEP\TI_asb-228-PREV-RHOD-PEP.txt"," 1")</f>
        <v xml:space="preserve"> 1</v>
      </c>
      <c r="BI28" s="6" t="s">
        <v>1492</v>
      </c>
      <c r="BJ28" s="6">
        <v>46.2</v>
      </c>
      <c r="BK28" s="6">
        <v>45</v>
      </c>
      <c r="BL28" s="6">
        <v>269</v>
      </c>
      <c r="BM28" s="6">
        <v>48</v>
      </c>
      <c r="BN28" s="6">
        <v>17</v>
      </c>
      <c r="BO28" s="6">
        <v>23</v>
      </c>
      <c r="BP28" s="6">
        <v>0</v>
      </c>
      <c r="BQ28" s="6">
        <v>223</v>
      </c>
      <c r="BR28" s="6">
        <v>4</v>
      </c>
      <c r="BS28" s="6">
        <v>1</v>
      </c>
      <c r="BT28" s="6" t="s">
        <v>54</v>
      </c>
      <c r="BU28" s="6" t="s">
        <v>1493</v>
      </c>
      <c r="BV28" s="6" t="s">
        <v>56</v>
      </c>
      <c r="BW28" s="6" t="str">
        <f>HYPERLINK(".\links\PREV-RHOD-CDS\TI_asb-228-PREV-RHOD-CDS.txt","Contig6977_5")</f>
        <v>Contig6977_5</v>
      </c>
      <c r="BX28" s="6">
        <v>0.15</v>
      </c>
      <c r="BY28" s="6" t="s">
        <v>1494</v>
      </c>
      <c r="BZ28" s="6">
        <v>36.200000000000003</v>
      </c>
      <c r="CA28" s="6">
        <v>17</v>
      </c>
      <c r="CB28" s="6">
        <v>2640</v>
      </c>
      <c r="CC28" s="6">
        <v>100</v>
      </c>
      <c r="CD28" s="6">
        <v>1</v>
      </c>
      <c r="CE28" s="6">
        <v>0</v>
      </c>
      <c r="CF28" s="6">
        <v>0</v>
      </c>
      <c r="CG28" s="6">
        <v>1733</v>
      </c>
      <c r="CH28" s="6">
        <v>71</v>
      </c>
      <c r="CI28" s="6">
        <v>1</v>
      </c>
      <c r="CJ28" s="6" t="s">
        <v>54</v>
      </c>
      <c r="CK28" s="6" t="s">
        <v>56</v>
      </c>
      <c r="CL28" s="6" t="s">
        <v>56</v>
      </c>
      <c r="CM28" s="6" t="s">
        <v>56</v>
      </c>
      <c r="CN28" s="6" t="s">
        <v>56</v>
      </c>
      <c r="CO28" s="6" t="s">
        <v>56</v>
      </c>
      <c r="CP28" s="6" t="s">
        <v>56</v>
      </c>
      <c r="CQ28" s="6" t="s">
        <v>56</v>
      </c>
      <c r="CR28" s="6" t="s">
        <v>56</v>
      </c>
      <c r="CS28" s="6" t="s">
        <v>56</v>
      </c>
      <c r="CT28" s="6" t="s">
        <v>56</v>
      </c>
      <c r="CU28" s="6" t="s">
        <v>56</v>
      </c>
      <c r="CV28" s="6" t="s">
        <v>56</v>
      </c>
      <c r="CW28" s="6" t="s">
        <v>56</v>
      </c>
      <c r="CX28" s="6" t="s">
        <v>56</v>
      </c>
      <c r="CY28" s="6" t="s">
        <v>56</v>
      </c>
      <c r="CZ28" s="6" t="s">
        <v>56</v>
      </c>
      <c r="DA28" s="6" t="s">
        <v>56</v>
      </c>
      <c r="DB28" s="6" t="s">
        <v>56</v>
      </c>
      <c r="DC28" s="6" t="s">
        <v>56</v>
      </c>
      <c r="DD28" s="6" t="s">
        <v>56</v>
      </c>
      <c r="DE28" s="6" t="s">
        <v>56</v>
      </c>
      <c r="DF28" s="6" t="s">
        <v>56</v>
      </c>
      <c r="DG28" s="6" t="str">
        <f>HYPERLINK(".\links\PRK\TI_asb-228-PRK.txt","NADH dehydrogenase subunit 5")</f>
        <v>NADH dehydrogenase subunit 5</v>
      </c>
      <c r="DH28" s="6">
        <v>4.0000000000000001E-3</v>
      </c>
      <c r="DI28" s="6" t="s">
        <v>56</v>
      </c>
      <c r="DJ28" s="6" t="s">
        <v>56</v>
      </c>
      <c r="DK28" s="6" t="s">
        <v>56</v>
      </c>
      <c r="DY28" s="6" t="s">
        <v>56</v>
      </c>
    </row>
    <row r="29" spans="1:129" s="6" customFormat="1">
      <c r="A29" s="6" t="str">
        <f>HYPERLINK(".\links\seq\TI_asb-100-seq.txt","TI_asb-100")</f>
        <v>TI_asb-100</v>
      </c>
      <c r="B29" s="6">
        <v>100</v>
      </c>
      <c r="C29" s="6" t="str">
        <f>HYPERLINK(".\links\tsa\TI_asb-100-tsa.txt","2")</f>
        <v>2</v>
      </c>
      <c r="D29" s="6">
        <v>2</v>
      </c>
      <c r="E29" s="6">
        <v>739</v>
      </c>
      <c r="F29" s="6">
        <v>713</v>
      </c>
      <c r="G29" s="6" t="str">
        <f>HYPERLINK(".\links\qual\TI_asb-100-qual.txt","69")</f>
        <v>69</v>
      </c>
      <c r="H29" s="6">
        <v>1</v>
      </c>
      <c r="I29" s="6">
        <v>1</v>
      </c>
      <c r="J29" s="6">
        <f t="shared" si="0"/>
        <v>0</v>
      </c>
      <c r="K29" s="6" t="s">
        <v>3868</v>
      </c>
      <c r="L29" s="6" t="s">
        <v>3869</v>
      </c>
      <c r="P29" s="6">
        <v>739</v>
      </c>
      <c r="Q29" s="6">
        <v>240</v>
      </c>
      <c r="R29" s="6" t="s">
        <v>3535</v>
      </c>
      <c r="S29" s="6">
        <v>2</v>
      </c>
      <c r="T29" s="6" t="str">
        <f>HYPERLINK(".\links\NR-LIGHT\TI_asb-100-NR-LIGHT.txt","similar to Tubulin alpha-6 chain (Alpha-tubulin 6) (Alpha-tubulin isotype")</f>
        <v>similar to Tubulin alpha-6 chain (Alpha-tubulin 6) (Alpha-tubulin isotype</v>
      </c>
      <c r="U29" s="6" t="str">
        <f>HYPERLINK("http://www.ncbi.nlm.nih.gov/sutils/blink.cgi?pid=110763493","0.001")</f>
        <v>0.001</v>
      </c>
      <c r="V29" s="6" t="str">
        <f>HYPERLINK(".\links\NR-LIGHT\TI_asb-100-NR-LIGHT.txt"," 8")</f>
        <v xml:space="preserve"> 8</v>
      </c>
      <c r="W29" s="6" t="str">
        <f>HYPERLINK("http://www.ncbi.nlm.nih.gov/protein/110763493","gi|110763493")</f>
        <v>gi|110763493</v>
      </c>
      <c r="X29" s="6">
        <v>45.8</v>
      </c>
      <c r="Y29" s="6">
        <v>58</v>
      </c>
      <c r="Z29" s="6">
        <v>542</v>
      </c>
      <c r="AA29" s="6">
        <v>43</v>
      </c>
      <c r="AB29" s="6">
        <v>11</v>
      </c>
      <c r="AC29" s="6">
        <v>33</v>
      </c>
      <c r="AD29" s="6">
        <v>0</v>
      </c>
      <c r="AE29" s="6">
        <v>472</v>
      </c>
      <c r="AF29" s="6">
        <v>92</v>
      </c>
      <c r="AG29" s="6">
        <v>1</v>
      </c>
      <c r="AH29" s="6">
        <v>2</v>
      </c>
      <c r="AI29" s="6" t="s">
        <v>53</v>
      </c>
      <c r="AJ29" s="6" t="s">
        <v>54</v>
      </c>
      <c r="AK29" s="6" t="s">
        <v>344</v>
      </c>
      <c r="AL29" s="6" t="str">
        <f>HYPERLINK(".\links\SWISSP\TI_asb-100-SWISSP.txt","Putative sterigmatocystin biosynthesis protein stcO OS=Emericella nidulans")</f>
        <v>Putative sterigmatocystin biosynthesis protein stcO OS=Emericella nidulans</v>
      </c>
      <c r="AM29" s="6" t="str">
        <f>HYPERLINK("http://www.uniprot.org/uniprot/Q00710","2.0")</f>
        <v>2.0</v>
      </c>
      <c r="AN29" s="6" t="str">
        <f>HYPERLINK(".\links\SWISSP\TI_asb-100-SWISSP.txt"," 1")</f>
        <v xml:space="preserve"> 1</v>
      </c>
      <c r="AO29" s="6" t="s">
        <v>730</v>
      </c>
      <c r="AP29" s="6">
        <v>33.1</v>
      </c>
      <c r="AQ29" s="6">
        <v>38</v>
      </c>
      <c r="AR29" s="6">
        <v>297</v>
      </c>
      <c r="AS29" s="6">
        <v>42</v>
      </c>
      <c r="AT29" s="6">
        <v>13</v>
      </c>
      <c r="AU29" s="6">
        <v>22</v>
      </c>
      <c r="AV29" s="6">
        <v>2</v>
      </c>
      <c r="AW29" s="6">
        <v>26</v>
      </c>
      <c r="AX29" s="6">
        <v>170</v>
      </c>
      <c r="AY29" s="6">
        <v>1</v>
      </c>
      <c r="AZ29" s="6">
        <v>2</v>
      </c>
      <c r="BA29" s="6" t="s">
        <v>53</v>
      </c>
      <c r="BB29" s="6" t="s">
        <v>54</v>
      </c>
      <c r="BC29" s="6" t="s">
        <v>731</v>
      </c>
      <c r="BD29" s="6" t="s">
        <v>732</v>
      </c>
      <c r="BE29" s="6" t="s">
        <v>733</v>
      </c>
      <c r="BF29" s="6" t="str">
        <f>HYPERLINK(".\links\PREV-RHOD-PEP\TI_asb-100-PREV-RHOD-PEP.txt","Contig18015_38")</f>
        <v>Contig18015_38</v>
      </c>
      <c r="BG29" s="7">
        <v>6.9999999999999999E-28</v>
      </c>
      <c r="BH29" s="6" t="str">
        <f>HYPERLINK(".\links\PREV-RHOD-PEP\TI_asb-100-PREV-RHOD-PEP.txt"," 10")</f>
        <v xml:space="preserve"> 10</v>
      </c>
      <c r="BI29" s="6" t="s">
        <v>734</v>
      </c>
      <c r="BJ29" s="6">
        <v>120</v>
      </c>
      <c r="BK29" s="6">
        <v>64</v>
      </c>
      <c r="BL29" s="6">
        <v>439</v>
      </c>
      <c r="BM29" s="6">
        <v>85</v>
      </c>
      <c r="BN29" s="6">
        <v>15</v>
      </c>
      <c r="BO29" s="6">
        <v>9</v>
      </c>
      <c r="BP29" s="6">
        <v>0</v>
      </c>
      <c r="BQ29" s="6">
        <v>371</v>
      </c>
      <c r="BR29" s="6">
        <v>92</v>
      </c>
      <c r="BS29" s="6">
        <v>1</v>
      </c>
      <c r="BT29" s="6" t="s">
        <v>54</v>
      </c>
      <c r="BU29" s="6" t="s">
        <v>735</v>
      </c>
      <c r="BV29" s="6" t="s">
        <v>56</v>
      </c>
      <c r="BW29" s="6" t="str">
        <f>HYPERLINK(".\links\PREV-RHOD-CDS\TI_asb-100-PREV-RHOD-CDS.txt","Contig18015_38")</f>
        <v>Contig18015_38</v>
      </c>
      <c r="BX29" s="7">
        <v>3.9999999999999998E-38</v>
      </c>
      <c r="BY29" s="6" t="s">
        <v>734</v>
      </c>
      <c r="BZ29" s="6">
        <v>159</v>
      </c>
      <c r="CA29" s="6">
        <v>191</v>
      </c>
      <c r="CB29" s="6">
        <v>1320</v>
      </c>
      <c r="CC29" s="6">
        <v>85</v>
      </c>
      <c r="CD29" s="6">
        <v>15</v>
      </c>
      <c r="CE29" s="6">
        <v>28</v>
      </c>
      <c r="CF29" s="6">
        <v>0</v>
      </c>
      <c r="CG29" s="6">
        <v>1111</v>
      </c>
      <c r="CH29" s="6">
        <v>92</v>
      </c>
      <c r="CI29" s="6">
        <v>1</v>
      </c>
      <c r="CJ29" s="6" t="s">
        <v>54</v>
      </c>
      <c r="CK29" s="6" t="s">
        <v>736</v>
      </c>
      <c r="CL29" s="6">
        <f>HYPERLINK(".\links\GO\TI_asb-100-GO.txt",2.1)</f>
        <v>2.1</v>
      </c>
      <c r="CM29" s="6" t="s">
        <v>323</v>
      </c>
      <c r="CN29" s="6" t="s">
        <v>324</v>
      </c>
      <c r="CO29" s="6" t="s">
        <v>325</v>
      </c>
      <c r="CP29" s="6" t="s">
        <v>326</v>
      </c>
      <c r="CQ29" s="6">
        <v>2.1</v>
      </c>
      <c r="CR29" s="6" t="s">
        <v>91</v>
      </c>
      <c r="CS29" s="6" t="s">
        <v>75</v>
      </c>
      <c r="CT29" s="6" t="s">
        <v>92</v>
      </c>
      <c r="CU29" s="6" t="s">
        <v>93</v>
      </c>
      <c r="CV29" s="6">
        <v>2.1</v>
      </c>
      <c r="CW29" s="6" t="s">
        <v>327</v>
      </c>
      <c r="CX29" s="6" t="s">
        <v>324</v>
      </c>
      <c r="CY29" s="6" t="s">
        <v>325</v>
      </c>
      <c r="CZ29" s="6" t="s">
        <v>328</v>
      </c>
      <c r="DA29" s="6">
        <v>2.1</v>
      </c>
      <c r="DB29" s="6" t="s">
        <v>56</v>
      </c>
      <c r="DC29" s="6" t="s">
        <v>56</v>
      </c>
      <c r="DD29" s="6" t="s">
        <v>56</v>
      </c>
      <c r="DE29" s="6" t="s">
        <v>56</v>
      </c>
      <c r="DF29" s="6" t="s">
        <v>56</v>
      </c>
      <c r="DG29" s="6" t="str">
        <f>HYPERLINK(".\links\PRK\TI_asb-100-PRK.txt","CD47-like protein")</f>
        <v>CD47-like protein</v>
      </c>
      <c r="DH29" s="6">
        <v>3.7999999999999999E-2</v>
      </c>
      <c r="DI29" s="6" t="str">
        <f>HYPERLINK(".\links\SMART\TI_asb-100-SMART.txt","VKc")</f>
        <v>VKc</v>
      </c>
      <c r="DJ29" s="6" t="str">
        <f>HYPERLINK("http://smart.embl-heidelberg.de/smart/do_annotation.pl?DOMAIN=VKc&amp;BLAST=DUMMY","0.071")</f>
        <v>0.071</v>
      </c>
      <c r="DK29" s="6" t="s">
        <v>56</v>
      </c>
      <c r="DY29" s="6" t="s">
        <v>56</v>
      </c>
    </row>
    <row r="30" spans="1:129" s="6" customFormat="1">
      <c r="A30" s="6" t="str">
        <f>HYPERLINK(".\links\seq\TI_asb-243-seq.txt","TI_asb-243")</f>
        <v>TI_asb-243</v>
      </c>
      <c r="B30" s="6">
        <v>243</v>
      </c>
      <c r="C30" s="6" t="str">
        <f>HYPERLINK(".\links\tsa\TI_asb-243-tsa.txt","1")</f>
        <v>1</v>
      </c>
      <c r="D30" s="6">
        <v>1</v>
      </c>
      <c r="E30" s="6">
        <v>403</v>
      </c>
      <c r="G30" s="6" t="str">
        <f>HYPERLINK(".\links\qual\TI_asb-243-qual.txt","28")</f>
        <v>28</v>
      </c>
      <c r="H30" s="6">
        <v>1</v>
      </c>
      <c r="I30" s="6">
        <v>0</v>
      </c>
      <c r="J30" s="6">
        <f t="shared" si="0"/>
        <v>1</v>
      </c>
      <c r="K30" s="6" t="s">
        <v>3868</v>
      </c>
      <c r="L30" s="6" t="s">
        <v>3869</v>
      </c>
      <c r="P30" s="6">
        <v>403</v>
      </c>
      <c r="Q30" s="6">
        <v>246</v>
      </c>
      <c r="R30" s="6" t="s">
        <v>3621</v>
      </c>
      <c r="S30" s="6">
        <v>1</v>
      </c>
      <c r="T30" s="6" t="str">
        <f>HYPERLINK(".\links\NR-LIGHT\TI_asb-243-NR-LIGHT.txt","similar to chondroitin sulfate proteoglycan 3, partial")</f>
        <v>similar to chondroitin sulfate proteoglycan 3, partial</v>
      </c>
      <c r="U30" s="6" t="str">
        <f>HYPERLINK("http://www.ncbi.nlm.nih.gov/sutils/blink.cgi?pid=198415233","4.5")</f>
        <v>4.5</v>
      </c>
      <c r="V30" s="6" t="str">
        <f>HYPERLINK(".\links\NR-LIGHT\TI_asb-243-NR-LIGHT.txt"," 3")</f>
        <v xml:space="preserve"> 3</v>
      </c>
      <c r="W30" s="6" t="str">
        <f>HYPERLINK("http://www.ncbi.nlm.nih.gov/protein/198415233","gi|198415233")</f>
        <v>gi|198415233</v>
      </c>
      <c r="X30" s="6">
        <v>32.299999999999997</v>
      </c>
      <c r="Y30" s="6">
        <v>55</v>
      </c>
      <c r="Z30" s="6">
        <v>1487</v>
      </c>
      <c r="AA30" s="6">
        <v>34</v>
      </c>
      <c r="AB30" s="6">
        <v>4</v>
      </c>
      <c r="AC30" s="6">
        <v>36</v>
      </c>
      <c r="AD30" s="6">
        <v>0</v>
      </c>
      <c r="AE30" s="6">
        <v>1269</v>
      </c>
      <c r="AF30" s="6">
        <v>205</v>
      </c>
      <c r="AG30" s="6">
        <v>1</v>
      </c>
      <c r="AH30" s="6">
        <v>1</v>
      </c>
      <c r="AI30" s="6" t="s">
        <v>53</v>
      </c>
      <c r="AJ30" s="6" t="s">
        <v>54</v>
      </c>
      <c r="AK30" s="6" t="s">
        <v>1567</v>
      </c>
      <c r="AL30" s="6" t="s">
        <v>56</v>
      </c>
      <c r="AM30" s="6" t="s">
        <v>56</v>
      </c>
      <c r="AN30" s="6" t="s">
        <v>56</v>
      </c>
      <c r="AO30" s="6" t="s">
        <v>56</v>
      </c>
      <c r="AP30" s="6" t="s">
        <v>56</v>
      </c>
      <c r="AQ30" s="6" t="s">
        <v>56</v>
      </c>
      <c r="AR30" s="6" t="s">
        <v>56</v>
      </c>
      <c r="AS30" s="6" t="s">
        <v>56</v>
      </c>
      <c r="AT30" s="6" t="s">
        <v>56</v>
      </c>
      <c r="AU30" s="6" t="s">
        <v>56</v>
      </c>
      <c r="AV30" s="6" t="s">
        <v>56</v>
      </c>
      <c r="AW30" s="6" t="s">
        <v>56</v>
      </c>
      <c r="AX30" s="6" t="s">
        <v>56</v>
      </c>
      <c r="AY30" s="6" t="s">
        <v>56</v>
      </c>
      <c r="AZ30" s="6" t="s">
        <v>56</v>
      </c>
      <c r="BA30" s="6" t="s">
        <v>56</v>
      </c>
      <c r="BB30" s="6" t="s">
        <v>56</v>
      </c>
      <c r="BC30" s="6" t="s">
        <v>56</v>
      </c>
      <c r="BD30" s="6" t="s">
        <v>56</v>
      </c>
      <c r="BE30" s="6" t="s">
        <v>56</v>
      </c>
      <c r="BF30" s="6" t="str">
        <f>HYPERLINK(".\links\PREV-RHOD-PEP\TI_asb-243-PREV-RHOD-PEP.txt","Contig17728_54")</f>
        <v>Contig17728_54</v>
      </c>
      <c r="BG30" s="7">
        <v>9.9999999999999998E-17</v>
      </c>
      <c r="BH30" s="6" t="str">
        <f>HYPERLINK(".\links\PREV-RHOD-PEP\TI_asb-243-PREV-RHOD-PEP.txt"," 5")</f>
        <v xml:space="preserve"> 5</v>
      </c>
      <c r="BI30" s="6" t="s">
        <v>1568</v>
      </c>
      <c r="BJ30" s="6">
        <v>81.599999999999994</v>
      </c>
      <c r="BK30" s="6">
        <v>50</v>
      </c>
      <c r="BL30" s="6">
        <v>473</v>
      </c>
      <c r="BM30" s="6">
        <v>80</v>
      </c>
      <c r="BN30" s="6">
        <v>11</v>
      </c>
      <c r="BO30" s="6">
        <v>10</v>
      </c>
      <c r="BP30" s="6">
        <v>1</v>
      </c>
      <c r="BQ30" s="6">
        <v>1</v>
      </c>
      <c r="BR30" s="6">
        <v>256</v>
      </c>
      <c r="BS30" s="6">
        <v>1</v>
      </c>
      <c r="BT30" s="6" t="s">
        <v>54</v>
      </c>
      <c r="BU30" s="6" t="s">
        <v>1569</v>
      </c>
      <c r="BV30" s="6" t="s">
        <v>56</v>
      </c>
      <c r="BW30" s="6" t="str">
        <f>HYPERLINK(".\links\PREV-RHOD-CDS\TI_asb-243-PREV-RHOD-CDS.txt","Contig17685_19")</f>
        <v>Contig17685_19</v>
      </c>
      <c r="BX30" s="6">
        <v>0.2</v>
      </c>
      <c r="BY30" s="6" t="s">
        <v>1570</v>
      </c>
      <c r="BZ30" s="6">
        <v>36.200000000000003</v>
      </c>
      <c r="CA30" s="6">
        <v>17</v>
      </c>
      <c r="CB30" s="6">
        <v>567</v>
      </c>
      <c r="CC30" s="6">
        <v>100</v>
      </c>
      <c r="CD30" s="6">
        <v>3</v>
      </c>
      <c r="CE30" s="6">
        <v>0</v>
      </c>
      <c r="CF30" s="6">
        <v>0</v>
      </c>
      <c r="CG30" s="6">
        <v>487</v>
      </c>
      <c r="CH30" s="6">
        <v>322</v>
      </c>
      <c r="CI30" s="6">
        <v>1</v>
      </c>
      <c r="CJ30" s="6" t="s">
        <v>54</v>
      </c>
      <c r="CK30" s="6" t="s">
        <v>1571</v>
      </c>
      <c r="CL30" s="6">
        <f>HYPERLINK(".\links\GO\TI_asb-243-GO.txt",0.45)</f>
        <v>0.45</v>
      </c>
      <c r="CM30" s="6" t="s">
        <v>165</v>
      </c>
      <c r="CN30" s="6" t="s">
        <v>129</v>
      </c>
      <c r="CO30" s="6" t="s">
        <v>166</v>
      </c>
      <c r="CP30" s="6" t="s">
        <v>167</v>
      </c>
      <c r="CQ30" s="6">
        <v>8.5</v>
      </c>
      <c r="CR30" s="6" t="s">
        <v>56</v>
      </c>
      <c r="CS30" s="6" t="s">
        <v>56</v>
      </c>
      <c r="CT30" s="6" t="s">
        <v>56</v>
      </c>
      <c r="CU30" s="6" t="s">
        <v>56</v>
      </c>
      <c r="CV30" s="6" t="s">
        <v>56</v>
      </c>
      <c r="CW30" s="6" t="s">
        <v>56</v>
      </c>
      <c r="CX30" s="6" t="s">
        <v>56</v>
      </c>
      <c r="CY30" s="6" t="s">
        <v>56</v>
      </c>
      <c r="CZ30" s="6" t="s">
        <v>56</v>
      </c>
      <c r="DA30" s="6" t="s">
        <v>56</v>
      </c>
      <c r="DB30" s="6" t="str">
        <f>HYPERLINK(".\links\CDD\TI_asb-243-CDD.txt","TraO")</f>
        <v>TraO</v>
      </c>
      <c r="DC30" s="6" t="str">
        <f>HYPERLINK("http://www.ncbi.nlm.nih.gov/Structure/cdd/cddsrv.cgi?uid=pfam10626&amp;version=v4.0","0.076")</f>
        <v>0.076</v>
      </c>
      <c r="DD30" s="6" t="s">
        <v>1572</v>
      </c>
      <c r="DE30" s="6" t="str">
        <f>HYPERLINK(".\links\PFAM\TI_asb-243-PFAM.txt","TraO")</f>
        <v>TraO</v>
      </c>
      <c r="DF30" s="6" t="str">
        <f>HYPERLINK("http://pfam.sanger.ac.uk/family?acc=PF10626","0.020")</f>
        <v>0.020</v>
      </c>
      <c r="DG30" s="6" t="s">
        <v>56</v>
      </c>
      <c r="DH30" s="6" t="s">
        <v>56</v>
      </c>
      <c r="DI30" s="6" t="s">
        <v>56</v>
      </c>
      <c r="DJ30" s="6" t="s">
        <v>56</v>
      </c>
      <c r="DK30" s="6" t="s">
        <v>56</v>
      </c>
      <c r="DY30" s="6" t="s">
        <v>56</v>
      </c>
    </row>
    <row r="31" spans="1:129" s="6" customFormat="1">
      <c r="A31" s="6" t="str">
        <f>HYPERLINK(".\links\seq\TI_asb-478-seq.txt","TI_asb-478")</f>
        <v>TI_asb-478</v>
      </c>
      <c r="B31" s="6">
        <v>478</v>
      </c>
      <c r="C31" s="6" t="str">
        <f>HYPERLINK(".\links\tsa\TI_asb-478-tsa.txt","1")</f>
        <v>1</v>
      </c>
      <c r="D31" s="6">
        <v>1</v>
      </c>
      <c r="E31" s="6">
        <v>674</v>
      </c>
      <c r="G31" s="6" t="str">
        <f>HYPERLINK(".\links\qual\TI_asb-478-qual.txt","45")</f>
        <v>45</v>
      </c>
      <c r="H31" s="6">
        <v>0</v>
      </c>
      <c r="I31" s="6">
        <v>1</v>
      </c>
      <c r="J31" s="6">
        <f t="shared" si="0"/>
        <v>1</v>
      </c>
      <c r="K31" s="6" t="s">
        <v>3868</v>
      </c>
      <c r="L31" s="6" t="s">
        <v>3869</v>
      </c>
      <c r="P31" s="6">
        <v>674</v>
      </c>
      <c r="Q31" s="6">
        <v>345</v>
      </c>
      <c r="R31" s="6" t="s">
        <v>3775</v>
      </c>
      <c r="S31" s="6">
        <v>2</v>
      </c>
      <c r="T31" s="6" t="str">
        <f>HYPERLINK(".\links\NR-LIGHT\TI_asb-478-NR-LIGHT.txt","conserved hypothetical protein")</f>
        <v>conserved hypothetical protein</v>
      </c>
      <c r="U31" s="6" t="str">
        <f>HYPERLINK("http://www.ncbi.nlm.nih.gov/sutils/blink.cgi?pid=221488229","7.2")</f>
        <v>7.2</v>
      </c>
      <c r="V31" s="6" t="str">
        <f>HYPERLINK(".\links\NR-LIGHT\TI_asb-478-NR-LIGHT.txt"," 3")</f>
        <v xml:space="preserve"> 3</v>
      </c>
      <c r="W31" s="6" t="str">
        <f>HYPERLINK("http://www.ncbi.nlm.nih.gov/protein/221488229","gi|221488229")</f>
        <v>gi|221488229</v>
      </c>
      <c r="X31" s="6">
        <v>33.1</v>
      </c>
      <c r="Y31" s="6">
        <v>31</v>
      </c>
      <c r="Z31" s="6">
        <v>1739</v>
      </c>
      <c r="AA31" s="6">
        <v>41</v>
      </c>
      <c r="AB31" s="6">
        <v>2</v>
      </c>
      <c r="AC31" s="6">
        <v>18</v>
      </c>
      <c r="AD31" s="6">
        <v>0</v>
      </c>
      <c r="AE31" s="6">
        <v>349</v>
      </c>
      <c r="AF31" s="6">
        <v>350</v>
      </c>
      <c r="AG31" s="6">
        <v>1</v>
      </c>
      <c r="AH31" s="6">
        <v>2</v>
      </c>
      <c r="AI31" s="6" t="s">
        <v>53</v>
      </c>
      <c r="AJ31" s="6" t="s">
        <v>54</v>
      </c>
      <c r="AK31" s="6" t="s">
        <v>383</v>
      </c>
      <c r="AL31" s="6" t="str">
        <f>HYPERLINK(".\links\SWISSP\TI_asb-478-SWISSP.txt","Zinc finger homeobox protein 2 OS=Homo sapiens GN=ZFHX2 PE=2 SV=3")</f>
        <v>Zinc finger homeobox protein 2 OS=Homo sapiens GN=ZFHX2 PE=2 SV=3</v>
      </c>
      <c r="AM31" s="6" t="str">
        <f>HYPERLINK("http://www.uniprot.org/uniprot/Q9C0A1","3.7")</f>
        <v>3.7</v>
      </c>
      <c r="AN31" s="6" t="str">
        <f>HYPERLINK(".\links\SWISSP\TI_asb-478-SWISSP.txt"," 1")</f>
        <v xml:space="preserve"> 1</v>
      </c>
      <c r="AO31" s="6" t="s">
        <v>2881</v>
      </c>
      <c r="AP31" s="6">
        <v>32</v>
      </c>
      <c r="AQ31" s="6">
        <v>30</v>
      </c>
      <c r="AR31" s="6">
        <v>2572</v>
      </c>
      <c r="AS31" s="6">
        <v>56</v>
      </c>
      <c r="AT31" s="6">
        <v>1</v>
      </c>
      <c r="AU31" s="6">
        <v>13</v>
      </c>
      <c r="AV31" s="6">
        <v>0</v>
      </c>
      <c r="AW31" s="6">
        <v>1640</v>
      </c>
      <c r="AX31" s="6">
        <v>355</v>
      </c>
      <c r="AY31" s="6">
        <v>1</v>
      </c>
      <c r="AZ31" s="6">
        <v>-3</v>
      </c>
      <c r="BA31" s="6" t="s">
        <v>53</v>
      </c>
      <c r="BB31" s="6" t="s">
        <v>64</v>
      </c>
      <c r="BC31" s="6" t="s">
        <v>330</v>
      </c>
      <c r="BD31" s="6" t="s">
        <v>2882</v>
      </c>
      <c r="BE31" s="6" t="s">
        <v>2883</v>
      </c>
      <c r="BF31" s="6" t="str">
        <f>HYPERLINK(".\links\PREV-RHOD-PEP\TI_asb-478-PREV-RHOD-PEP.txt","Contig17920_121")</f>
        <v>Contig17920_121</v>
      </c>
      <c r="BG31" s="7">
        <v>5.0000000000000001E-4</v>
      </c>
      <c r="BH31" s="6" t="str">
        <f>HYPERLINK(".\links\PREV-RHOD-PEP\TI_asb-478-PREV-RHOD-PEP.txt"," 10")</f>
        <v xml:space="preserve"> 10</v>
      </c>
      <c r="BI31" s="6" t="s">
        <v>2884</v>
      </c>
      <c r="BJ31" s="6">
        <v>32.700000000000003</v>
      </c>
      <c r="BK31" s="6">
        <v>27</v>
      </c>
      <c r="BL31" s="6">
        <v>327</v>
      </c>
      <c r="BM31" s="6">
        <v>55</v>
      </c>
      <c r="BN31" s="6">
        <v>8</v>
      </c>
      <c r="BO31" s="6">
        <v>12</v>
      </c>
      <c r="BP31" s="6">
        <v>2</v>
      </c>
      <c r="BQ31" s="6">
        <v>249</v>
      </c>
      <c r="BR31" s="6">
        <v>272</v>
      </c>
      <c r="BS31" s="6">
        <v>2</v>
      </c>
      <c r="BT31" s="6" t="s">
        <v>64</v>
      </c>
      <c r="BU31" s="6" t="s">
        <v>2885</v>
      </c>
      <c r="BV31" s="6" t="s">
        <v>56</v>
      </c>
      <c r="BW31" s="6" t="str">
        <f>HYPERLINK(".\links\PREV-RHOD-CDS\TI_asb-478-PREV-RHOD-CDS.txt","Contig17294_2")</f>
        <v>Contig17294_2</v>
      </c>
      <c r="BX31" s="6">
        <v>0.33</v>
      </c>
      <c r="BY31" s="6" t="s">
        <v>2886</v>
      </c>
      <c r="BZ31" s="6">
        <v>36.200000000000003</v>
      </c>
      <c r="CA31" s="6">
        <v>17</v>
      </c>
      <c r="CB31" s="6">
        <v>1083</v>
      </c>
      <c r="CC31" s="6">
        <v>100</v>
      </c>
      <c r="CD31" s="6">
        <v>2</v>
      </c>
      <c r="CE31" s="6">
        <v>0</v>
      </c>
      <c r="CF31" s="6">
        <v>0</v>
      </c>
      <c r="CG31" s="6">
        <v>697</v>
      </c>
      <c r="CH31" s="6">
        <v>105</v>
      </c>
      <c r="CI31" s="6">
        <v>1</v>
      </c>
      <c r="CJ31" s="6" t="s">
        <v>64</v>
      </c>
      <c r="CK31" s="6" t="s">
        <v>2887</v>
      </c>
      <c r="CL31" s="6">
        <f>HYPERLINK(".\links\GO\TI_asb-478-GO.txt",6.4)</f>
        <v>6.4</v>
      </c>
      <c r="CM31" s="6" t="s">
        <v>2888</v>
      </c>
      <c r="CN31" s="6" t="s">
        <v>88</v>
      </c>
      <c r="CO31" s="6" t="s">
        <v>89</v>
      </c>
      <c r="CP31" s="6" t="s">
        <v>2889</v>
      </c>
      <c r="CQ31" s="6">
        <v>6.4</v>
      </c>
      <c r="CR31" s="6" t="s">
        <v>153</v>
      </c>
      <c r="CS31" s="6" t="s">
        <v>75</v>
      </c>
      <c r="CT31" s="6" t="s">
        <v>92</v>
      </c>
      <c r="CU31" s="6" t="s">
        <v>154</v>
      </c>
      <c r="CV31" s="6">
        <v>6.4</v>
      </c>
      <c r="CW31" s="6" t="s">
        <v>2890</v>
      </c>
      <c r="CX31" s="6" t="s">
        <v>88</v>
      </c>
      <c r="CY31" s="6" t="s">
        <v>89</v>
      </c>
      <c r="CZ31" s="6" t="s">
        <v>2891</v>
      </c>
      <c r="DA31" s="6">
        <v>6.4</v>
      </c>
      <c r="DB31" s="6" t="str">
        <f>HYPERLINK(".\links\CDD\TI_asb-478-CDD.txt","7TM_GPCR_Sru")</f>
        <v>7TM_GPCR_Sru</v>
      </c>
      <c r="DC31" s="6" t="str">
        <f>HYPERLINK("http://www.ncbi.nlm.nih.gov/Structure/cdd/cddsrv.cgi?uid=pfam10322&amp;version=v4.0","5E-004")</f>
        <v>5E-004</v>
      </c>
      <c r="DD31" s="6" t="s">
        <v>2892</v>
      </c>
      <c r="DE31" s="6" t="str">
        <f>HYPERLINK(".\links\PFAM\TI_asb-478-PFAM.txt","7TM_GPCR_Sru")</f>
        <v>7TM_GPCR_Sru</v>
      </c>
      <c r="DF31" s="6" t="str">
        <f>HYPERLINK("http://pfam.sanger.ac.uk/family?acc=PF10322","1E-004")</f>
        <v>1E-004</v>
      </c>
      <c r="DG31" s="6" t="str">
        <f>HYPERLINK(".\links\PRK\TI_asb-478-PRK.txt","NADH dehydrogenase subunit 5")</f>
        <v>NADH dehydrogenase subunit 5</v>
      </c>
      <c r="DH31" s="6">
        <v>1E-3</v>
      </c>
      <c r="DI31" s="6" t="s">
        <v>56</v>
      </c>
      <c r="DJ31" s="6" t="s">
        <v>56</v>
      </c>
      <c r="DK31" s="6" t="s">
        <v>56</v>
      </c>
      <c r="DY31" s="6" t="s">
        <v>56</v>
      </c>
    </row>
    <row r="32" spans="1:129" s="6" customFormat="1">
      <c r="A32" s="6" t="str">
        <f>HYPERLINK(".\links\seq\TI_asb-85-seq.txt","TI_asb-85")</f>
        <v>TI_asb-85</v>
      </c>
      <c r="B32" s="6">
        <v>85</v>
      </c>
      <c r="C32" s="6" t="str">
        <f>HYPERLINK(".\links\tsa\TI_asb-85-tsa.txt","1")</f>
        <v>1</v>
      </c>
      <c r="D32" s="6">
        <v>1</v>
      </c>
      <c r="E32" s="6">
        <v>642</v>
      </c>
      <c r="G32" s="6" t="str">
        <f>HYPERLINK(".\links\qual\TI_asb-85-qual.txt","52")</f>
        <v>52</v>
      </c>
      <c r="H32" s="6">
        <v>1</v>
      </c>
      <c r="I32" s="6">
        <v>0</v>
      </c>
      <c r="J32" s="6">
        <f t="shared" si="0"/>
        <v>1</v>
      </c>
      <c r="K32" s="6" t="s">
        <v>3868</v>
      </c>
      <c r="L32" s="6" t="s">
        <v>3869</v>
      </c>
      <c r="P32" s="6">
        <v>642</v>
      </c>
      <c r="Q32" s="6">
        <v>297</v>
      </c>
      <c r="R32" s="6" t="s">
        <v>3528</v>
      </c>
      <c r="S32" s="6">
        <v>4</v>
      </c>
      <c r="T32" s="6" t="str">
        <f>HYPERLINK(".\links\NR-LIGHT\TI_asb-85-NR-LIGHT.txt","hypothetical protein TcasGA2_TC005990")</f>
        <v>hypothetical protein TcasGA2_TC005990</v>
      </c>
      <c r="U32" s="6" t="str">
        <f>HYPERLINK("http://www.ncbi.nlm.nih.gov/sutils/blink.cgi?pid=270011899","2E-006")</f>
        <v>2E-006</v>
      </c>
      <c r="V32" s="6" t="str">
        <f>HYPERLINK(".\links\NR-LIGHT\TI_asb-85-NR-LIGHT.txt"," 10")</f>
        <v xml:space="preserve"> 10</v>
      </c>
      <c r="W32" s="6" t="str">
        <f>HYPERLINK("http://www.ncbi.nlm.nih.gov/protein/270011899","gi|270011899")</f>
        <v>gi|270011899</v>
      </c>
      <c r="X32" s="6">
        <v>55.1</v>
      </c>
      <c r="Y32" s="6">
        <v>48</v>
      </c>
      <c r="Z32" s="6">
        <v>230</v>
      </c>
      <c r="AA32" s="6">
        <v>56</v>
      </c>
      <c r="AB32" s="6">
        <v>21</v>
      </c>
      <c r="AC32" s="6">
        <v>21</v>
      </c>
      <c r="AD32" s="6">
        <v>0</v>
      </c>
      <c r="AE32" s="6">
        <v>180</v>
      </c>
      <c r="AF32" s="6">
        <v>2</v>
      </c>
      <c r="AG32" s="6">
        <v>1</v>
      </c>
      <c r="AH32" s="6">
        <v>2</v>
      </c>
      <c r="AI32" s="6" t="s">
        <v>53</v>
      </c>
      <c r="AJ32" s="6" t="s">
        <v>54</v>
      </c>
      <c r="AK32" s="6" t="s">
        <v>79</v>
      </c>
      <c r="AL32" s="6" t="str">
        <f>HYPERLINK(".\links\SWISSP\TI_asb-85-SWISSP.txt","Protein transport protein Sec31A OS=Mus musculus GN=Sec31a PE=1 SV=2")</f>
        <v>Protein transport protein Sec31A OS=Mus musculus GN=Sec31a PE=1 SV=2</v>
      </c>
      <c r="AM32" s="6" t="str">
        <f>HYPERLINK("http://www.uniprot.org/uniprot/Q3UPL0","1.5")</f>
        <v>1.5</v>
      </c>
      <c r="AN32" s="6" t="str">
        <f>HYPERLINK(".\links\SWISSP\TI_asb-85-SWISSP.txt"," 10")</f>
        <v xml:space="preserve"> 10</v>
      </c>
      <c r="AO32" s="6" t="s">
        <v>653</v>
      </c>
      <c r="AP32" s="6">
        <v>33.1</v>
      </c>
      <c r="AQ32" s="6">
        <v>48</v>
      </c>
      <c r="AR32" s="6">
        <v>1230</v>
      </c>
      <c r="AS32" s="6">
        <v>31</v>
      </c>
      <c r="AT32" s="6">
        <v>4</v>
      </c>
      <c r="AU32" s="6">
        <v>33</v>
      </c>
      <c r="AV32" s="6">
        <v>0</v>
      </c>
      <c r="AW32" s="6">
        <v>1183</v>
      </c>
      <c r="AX32" s="6">
        <v>2</v>
      </c>
      <c r="AY32" s="6">
        <v>1</v>
      </c>
      <c r="AZ32" s="6">
        <v>2</v>
      </c>
      <c r="BA32" s="6" t="s">
        <v>53</v>
      </c>
      <c r="BB32" s="6" t="s">
        <v>54</v>
      </c>
      <c r="BC32" s="6" t="s">
        <v>214</v>
      </c>
      <c r="BD32" s="6" t="s">
        <v>654</v>
      </c>
      <c r="BE32" s="6" t="s">
        <v>655</v>
      </c>
      <c r="BF32" s="6" t="str">
        <f>HYPERLINK(".\links\PREV-RHOD-PEP\TI_asb-85-PREV-RHOD-PEP.txt","Contig17909_35")</f>
        <v>Contig17909_35</v>
      </c>
      <c r="BG32" s="7">
        <v>3E-10</v>
      </c>
      <c r="BH32" s="6" t="str">
        <f>HYPERLINK(".\links\PREV-RHOD-PEP\TI_asb-85-PREV-RHOD-PEP.txt"," 5")</f>
        <v xml:space="preserve"> 5</v>
      </c>
      <c r="BI32" s="6" t="s">
        <v>656</v>
      </c>
      <c r="BJ32" s="6">
        <v>61.2</v>
      </c>
      <c r="BK32" s="6">
        <v>35</v>
      </c>
      <c r="BL32" s="6">
        <v>679</v>
      </c>
      <c r="BM32" s="6">
        <v>82</v>
      </c>
      <c r="BN32" s="6">
        <v>5</v>
      </c>
      <c r="BO32" s="6">
        <v>6</v>
      </c>
      <c r="BP32" s="6">
        <v>0</v>
      </c>
      <c r="BQ32" s="6">
        <v>608</v>
      </c>
      <c r="BR32" s="6">
        <v>2</v>
      </c>
      <c r="BS32" s="6">
        <v>1</v>
      </c>
      <c r="BT32" s="6" t="s">
        <v>54</v>
      </c>
      <c r="BU32" s="6" t="s">
        <v>657</v>
      </c>
      <c r="BV32" s="6" t="s">
        <v>56</v>
      </c>
      <c r="BW32" s="6" t="str">
        <f>HYPERLINK(".\links\PREV-RHOD-CDS\TI_asb-85-PREV-RHOD-CDS.txt","Contig17909_35")</f>
        <v>Contig17909_35</v>
      </c>
      <c r="BX32" s="7">
        <v>3.9999999999999999E-19</v>
      </c>
      <c r="BY32" s="6" t="s">
        <v>656</v>
      </c>
      <c r="BZ32" s="6">
        <v>95.6</v>
      </c>
      <c r="CA32" s="6">
        <v>103</v>
      </c>
      <c r="CB32" s="6">
        <v>2040</v>
      </c>
      <c r="CC32" s="6">
        <v>86</v>
      </c>
      <c r="CD32" s="6">
        <v>5</v>
      </c>
      <c r="CE32" s="6">
        <v>14</v>
      </c>
      <c r="CF32" s="6">
        <v>0</v>
      </c>
      <c r="CG32" s="6">
        <v>1822</v>
      </c>
      <c r="CH32" s="6">
        <v>2</v>
      </c>
      <c r="CI32" s="6">
        <v>1</v>
      </c>
      <c r="CJ32" s="6" t="s">
        <v>54</v>
      </c>
      <c r="CK32" s="6" t="s">
        <v>658</v>
      </c>
      <c r="CL32" s="6">
        <f>HYPERLINK(".\links\GO\TI_asb-85-GO.txt",0.00002)</f>
        <v>2.0000000000000002E-5</v>
      </c>
      <c r="CM32" s="6" t="s">
        <v>659</v>
      </c>
      <c r="CN32" s="6" t="s">
        <v>185</v>
      </c>
      <c r="CO32" s="6" t="s">
        <v>186</v>
      </c>
      <c r="CP32" s="6" t="s">
        <v>660</v>
      </c>
      <c r="CQ32" s="6">
        <v>0.98</v>
      </c>
      <c r="CR32" s="6" t="s">
        <v>74</v>
      </c>
      <c r="CS32" s="6" t="s">
        <v>75</v>
      </c>
      <c r="CT32" s="6" t="s">
        <v>76</v>
      </c>
      <c r="CU32" s="6" t="s">
        <v>77</v>
      </c>
      <c r="CV32" s="6">
        <v>0.98</v>
      </c>
      <c r="CW32" s="6" t="s">
        <v>661</v>
      </c>
      <c r="CX32" s="6" t="s">
        <v>185</v>
      </c>
      <c r="CY32" s="6" t="s">
        <v>186</v>
      </c>
      <c r="CZ32" s="6" t="s">
        <v>662</v>
      </c>
      <c r="DA32" s="6">
        <v>0.98</v>
      </c>
      <c r="DB32" s="6" t="str">
        <f>HYPERLINK(".\links\CDD\TI_asb-85-CDD.txt","MYSc_type_II")</f>
        <v>MYSc_type_II</v>
      </c>
      <c r="DC32" s="6" t="str">
        <f>HYPERLINK("http://www.ncbi.nlm.nih.gov/Structure/cdd/cddsrv.cgi?uid=cd01377&amp;version=v4.0","0.007")</f>
        <v>0.007</v>
      </c>
      <c r="DD32" s="6" t="s">
        <v>663</v>
      </c>
      <c r="DE32" s="6" t="str">
        <f>HYPERLINK(".\links\PFAM\TI_asb-85-PFAM.txt","AgrB")</f>
        <v>AgrB</v>
      </c>
      <c r="DF32" s="6" t="str">
        <f>HYPERLINK("http://pfam.sanger.ac.uk/family?acc=PF04647","0.003")</f>
        <v>0.003</v>
      </c>
      <c r="DG32" s="6" t="str">
        <f>HYPERLINK(".\links\PRK\TI_asb-85-PRK.txt","NADH dehydrogenase subunit 2")</f>
        <v>NADH dehydrogenase subunit 2</v>
      </c>
      <c r="DH32" s="6">
        <v>3.0000000000000001E-3</v>
      </c>
      <c r="DI32" s="6" t="str">
        <f>HYPERLINK(".\links\SMART\TI_asb-85-SMART.txt","MYSc")</f>
        <v>MYSc</v>
      </c>
      <c r="DJ32" s="6" t="str">
        <f>HYPERLINK("http://smart.embl-heidelberg.de/smart/do_annotation.pl?DOMAIN=MYSc&amp;BLAST=DUMMY","0.009")</f>
        <v>0.009</v>
      </c>
      <c r="DK32" s="6" t="s">
        <v>56</v>
      </c>
      <c r="DY32" s="6" t="s">
        <v>56</v>
      </c>
    </row>
    <row r="33" spans="1:129" s="6" customFormat="1">
      <c r="A33" s="6" t="str">
        <f>HYPERLINK(".\links\seq\TI_asb-158-seq.txt","TI_asb-158")</f>
        <v>TI_asb-158</v>
      </c>
      <c r="B33" s="6">
        <v>158</v>
      </c>
      <c r="C33" s="6" t="str">
        <f>HYPERLINK(".\links\tsa\TI_asb-158-tsa.txt","1")</f>
        <v>1</v>
      </c>
      <c r="D33" s="6">
        <v>1</v>
      </c>
      <c r="E33" s="6">
        <v>280</v>
      </c>
      <c r="F33" s="6">
        <v>254</v>
      </c>
      <c r="G33" s="6" t="str">
        <f>HYPERLINK(".\links\qual\TI_asb-158-qual.txt","40")</f>
        <v>40</v>
      </c>
      <c r="H33" s="6">
        <v>1</v>
      </c>
      <c r="I33" s="6">
        <v>0</v>
      </c>
      <c r="J33" s="6">
        <f t="shared" si="0"/>
        <v>1</v>
      </c>
      <c r="K33" s="6" t="s">
        <v>3868</v>
      </c>
      <c r="L33" s="6" t="s">
        <v>3869</v>
      </c>
      <c r="P33" s="6">
        <v>280</v>
      </c>
      <c r="Q33" s="6">
        <v>180</v>
      </c>
      <c r="R33" s="6" t="s">
        <v>3571</v>
      </c>
      <c r="S33" s="6">
        <v>5</v>
      </c>
      <c r="T33" s="6" t="str">
        <f>HYPERLINK(".\links\NR-LIGHT\TI_asb-158-NR-LIGHT.txt","hu li tai shao")</f>
        <v>hu li tai shao</v>
      </c>
      <c r="U33" s="6" t="str">
        <f>HYPERLINK("http://www.ncbi.nlm.nih.gov/sutils/blink.cgi?pid=270002882","1E-006")</f>
        <v>1E-006</v>
      </c>
      <c r="V33" s="6" t="str">
        <f>HYPERLINK(".\links\NR-LIGHT\TI_asb-158-NR-LIGHT.txt"," 10")</f>
        <v xml:space="preserve"> 10</v>
      </c>
      <c r="W33" s="6" t="str">
        <f>HYPERLINK("http://www.ncbi.nlm.nih.gov/protein/270002882","gi|270002882")</f>
        <v>gi|270002882</v>
      </c>
      <c r="X33" s="6">
        <v>53.9</v>
      </c>
      <c r="Y33" s="6">
        <v>39</v>
      </c>
      <c r="Z33" s="6">
        <v>1367</v>
      </c>
      <c r="AA33" s="6">
        <v>56</v>
      </c>
      <c r="AB33" s="6">
        <v>3</v>
      </c>
      <c r="AC33" s="6">
        <v>17</v>
      </c>
      <c r="AD33" s="6">
        <v>0</v>
      </c>
      <c r="AE33" s="6">
        <v>1</v>
      </c>
      <c r="AF33" s="6">
        <v>139</v>
      </c>
      <c r="AG33" s="6">
        <v>1</v>
      </c>
      <c r="AH33" s="6">
        <v>1</v>
      </c>
      <c r="AI33" s="6" t="s">
        <v>53</v>
      </c>
      <c r="AJ33" s="6" t="s">
        <v>54</v>
      </c>
      <c r="AK33" s="6" t="s">
        <v>79</v>
      </c>
      <c r="AL33" s="6" t="str">
        <f>HYPERLINK(".\links\SWISSP\TI_asb-158-SWISSP.txt","Protein hu-li tai shao OS=Drosophila melanogaster GN=hts PE=1 SV=2")</f>
        <v>Protein hu-li tai shao OS=Drosophila melanogaster GN=hts PE=1 SV=2</v>
      </c>
      <c r="AM33" s="6" t="str">
        <f>HYPERLINK("http://www.uniprot.org/uniprot/Q02645","9E-004")</f>
        <v>9E-004</v>
      </c>
      <c r="AN33" s="6" t="str">
        <f>HYPERLINK(".\links\SWISSP\TI_asb-158-SWISSP.txt"," 3")</f>
        <v xml:space="preserve"> 3</v>
      </c>
      <c r="AO33" s="6" t="s">
        <v>1093</v>
      </c>
      <c r="AP33" s="6">
        <v>42.4</v>
      </c>
      <c r="AQ33" s="6">
        <v>35</v>
      </c>
      <c r="AR33" s="6">
        <v>1156</v>
      </c>
      <c r="AS33" s="6">
        <v>54</v>
      </c>
      <c r="AT33" s="6">
        <v>3</v>
      </c>
      <c r="AU33" s="6">
        <v>16</v>
      </c>
      <c r="AV33" s="6">
        <v>0</v>
      </c>
      <c r="AW33" s="6">
        <v>2</v>
      </c>
      <c r="AX33" s="6">
        <v>151</v>
      </c>
      <c r="AY33" s="6">
        <v>1</v>
      </c>
      <c r="AZ33" s="6">
        <v>1</v>
      </c>
      <c r="BA33" s="6" t="s">
        <v>53</v>
      </c>
      <c r="BB33" s="6" t="s">
        <v>54</v>
      </c>
      <c r="BC33" s="6" t="s">
        <v>143</v>
      </c>
      <c r="BD33" s="6" t="s">
        <v>1094</v>
      </c>
      <c r="BE33" s="6" t="s">
        <v>1095</v>
      </c>
      <c r="BF33" s="6" t="str">
        <f>HYPERLINK(".\links\PREV-RHOD-PEP\TI_asb-158-PREV-RHOD-PEP.txt","Contig17403_16")</f>
        <v>Contig17403_16</v>
      </c>
      <c r="BG33" s="7">
        <v>3.9999999999999999E-16</v>
      </c>
      <c r="BH33" s="6" t="str">
        <f>HYPERLINK(".\links\PREV-RHOD-PEP\TI_asb-158-PREV-RHOD-PEP.txt"," 5")</f>
        <v xml:space="preserve"> 5</v>
      </c>
      <c r="BI33" s="6" t="s">
        <v>1096</v>
      </c>
      <c r="BJ33" s="6">
        <v>79.7</v>
      </c>
      <c r="BK33" s="6">
        <v>39</v>
      </c>
      <c r="BL33" s="6">
        <v>1686</v>
      </c>
      <c r="BM33" s="6">
        <v>92</v>
      </c>
      <c r="BN33" s="6">
        <v>2</v>
      </c>
      <c r="BO33" s="6">
        <v>3</v>
      </c>
      <c r="BP33" s="6">
        <v>0</v>
      </c>
      <c r="BQ33" s="6">
        <v>1</v>
      </c>
      <c r="BR33" s="6">
        <v>139</v>
      </c>
      <c r="BS33" s="6">
        <v>1</v>
      </c>
      <c r="BT33" s="6" t="s">
        <v>54</v>
      </c>
      <c r="BU33" s="6" t="s">
        <v>1097</v>
      </c>
      <c r="BV33" s="6" t="s">
        <v>56</v>
      </c>
      <c r="BW33" s="6" t="str">
        <f>HYPERLINK(".\links\PREV-RHOD-CDS\TI_asb-158-PREV-RHOD-CDS.txt","Contig17403_16")</f>
        <v>Contig17403_16</v>
      </c>
      <c r="BX33" s="7">
        <v>3.9999999999999999E-45</v>
      </c>
      <c r="BY33" s="6" t="s">
        <v>1096</v>
      </c>
      <c r="BZ33" s="6">
        <v>180</v>
      </c>
      <c r="CA33" s="6">
        <v>114</v>
      </c>
      <c r="CB33" s="6">
        <v>5061</v>
      </c>
      <c r="CC33" s="6">
        <v>94</v>
      </c>
      <c r="CD33" s="6">
        <v>2</v>
      </c>
      <c r="CE33" s="6">
        <v>6</v>
      </c>
      <c r="CF33" s="6">
        <v>0</v>
      </c>
      <c r="CG33" s="6">
        <v>1</v>
      </c>
      <c r="CH33" s="6">
        <v>139</v>
      </c>
      <c r="CI33" s="6">
        <v>1</v>
      </c>
      <c r="CJ33" s="6" t="s">
        <v>54</v>
      </c>
      <c r="CK33" s="6" t="s">
        <v>1098</v>
      </c>
      <c r="CL33" s="6">
        <f>HYPERLINK(".\links\GO\TI_asb-158-GO.txt",0.0002)</f>
        <v>2.0000000000000001E-4</v>
      </c>
      <c r="CM33" s="6" t="s">
        <v>474</v>
      </c>
      <c r="CN33" s="6" t="s">
        <v>185</v>
      </c>
      <c r="CO33" s="6" t="s">
        <v>186</v>
      </c>
      <c r="CP33" s="6" t="s">
        <v>475</v>
      </c>
      <c r="CQ33" s="6">
        <v>2.0000000000000001E-4</v>
      </c>
      <c r="CR33" s="6" t="s">
        <v>1099</v>
      </c>
      <c r="CS33" s="6" t="s">
        <v>75</v>
      </c>
      <c r="CT33" s="6" t="s">
        <v>76</v>
      </c>
      <c r="CU33" s="6" t="s">
        <v>1100</v>
      </c>
      <c r="CV33" s="6">
        <v>2.0000000000000001E-4</v>
      </c>
      <c r="CW33" s="6" t="s">
        <v>1101</v>
      </c>
      <c r="CX33" s="6" t="s">
        <v>185</v>
      </c>
      <c r="CY33" s="6" t="s">
        <v>186</v>
      </c>
      <c r="CZ33" s="6" t="s">
        <v>1102</v>
      </c>
      <c r="DA33" s="6">
        <v>2.0000000000000001E-4</v>
      </c>
      <c r="DB33" s="6" t="str">
        <f>HYPERLINK(".\links\CDD\TI_asb-158-CDD.txt","PRK06849")</f>
        <v>PRK06849</v>
      </c>
      <c r="DC33" s="6" t="str">
        <f>HYPERLINK("http://www.ncbi.nlm.nih.gov/Structure/cdd/cddsrv.cgi?uid=PRK06849&amp;version=v4.0","0.065")</f>
        <v>0.065</v>
      </c>
      <c r="DD33" s="6" t="s">
        <v>1103</v>
      </c>
      <c r="DE33" s="6" t="str">
        <f>HYPERLINK(".\links\PFAM\TI_asb-158-PFAM.txt","RNA_polI_A34")</f>
        <v>RNA_polI_A34</v>
      </c>
      <c r="DF33" s="6" t="str">
        <f>HYPERLINK("http://pfam.sanger.ac.uk/family?acc=PF08208","0.002")</f>
        <v>0.002</v>
      </c>
      <c r="DG33" s="6" t="str">
        <f>HYPERLINK(".\links\PRK\TI_asb-158-PRK.txt","NADH dehydrogenase subunit 5")</f>
        <v>NADH dehydrogenase subunit 5</v>
      </c>
      <c r="DH33" s="6">
        <v>1.7000000000000001E-2</v>
      </c>
      <c r="DI33" s="6" t="str">
        <f>HYPERLINK(".\links\SMART\TI_asb-158-SMART.txt","CLb")</f>
        <v>CLb</v>
      </c>
      <c r="DJ33" s="6" t="str">
        <f>HYPERLINK("http://smart.embl-heidelberg.de/smart/do_annotation.pl?DOMAIN=CLb&amp;BLAST=DUMMY","0.073")</f>
        <v>0.073</v>
      </c>
      <c r="DK33" s="6" t="s">
        <v>56</v>
      </c>
      <c r="DY33" s="6" t="s">
        <v>56</v>
      </c>
    </row>
    <row r="34" spans="1:129" s="6" customFormat="1">
      <c r="A34" s="6" t="str">
        <f>HYPERLINK(".\links\seq\TI_asb-435-seq.txt","TI_asb-435")</f>
        <v>TI_asb-435</v>
      </c>
      <c r="B34" s="6">
        <v>435</v>
      </c>
      <c r="C34" s="6" t="str">
        <f>HYPERLINK(".\links\tsa\TI_asb-435-tsa.txt","2")</f>
        <v>2</v>
      </c>
      <c r="D34" s="6">
        <v>2</v>
      </c>
      <c r="E34" s="6">
        <v>741</v>
      </c>
      <c r="G34" s="6" t="str">
        <f>HYPERLINK(".\links\qual\TI_asb-435-qual.txt","69")</f>
        <v>69</v>
      </c>
      <c r="H34" s="6">
        <v>0</v>
      </c>
      <c r="I34" s="6">
        <v>2</v>
      </c>
      <c r="J34" s="6">
        <f t="shared" si="0"/>
        <v>2</v>
      </c>
      <c r="K34" s="6" t="s">
        <v>3868</v>
      </c>
      <c r="L34" s="6" t="s">
        <v>3869</v>
      </c>
      <c r="P34" s="6">
        <v>741</v>
      </c>
      <c r="Q34" s="6">
        <v>303</v>
      </c>
      <c r="R34" s="6" t="s">
        <v>3745</v>
      </c>
      <c r="S34" s="6">
        <v>4</v>
      </c>
      <c r="T34" s="6" t="str">
        <f>HYPERLINK(".\links\NR-LIGHT\TI_asb-435-NR-LIGHT.txt","hypothetical protein")</f>
        <v>hypothetical protein</v>
      </c>
      <c r="U34" s="6" t="str">
        <f>HYPERLINK("http://www.ncbi.nlm.nih.gov/sutils/blink.cgi?pid=82540149","1.7")</f>
        <v>1.7</v>
      </c>
      <c r="V34" s="6" t="str">
        <f>HYPERLINK(".\links\NR-LIGHT\TI_asb-435-NR-LIGHT.txt"," 4")</f>
        <v xml:space="preserve"> 4</v>
      </c>
      <c r="W34" s="6" t="str">
        <f>HYPERLINK("http://www.ncbi.nlm.nih.gov/protein/82540149","gi|82540149")</f>
        <v>gi|82540149</v>
      </c>
      <c r="X34" s="6">
        <v>35.4</v>
      </c>
      <c r="Y34" s="6">
        <v>130</v>
      </c>
      <c r="Z34" s="6">
        <v>457</v>
      </c>
      <c r="AA34" s="6">
        <v>25</v>
      </c>
      <c r="AB34" s="6">
        <v>28</v>
      </c>
      <c r="AC34" s="6">
        <v>97</v>
      </c>
      <c r="AD34" s="6">
        <v>10</v>
      </c>
      <c r="AE34" s="6">
        <v>163</v>
      </c>
      <c r="AF34" s="6">
        <v>55</v>
      </c>
      <c r="AG34" s="6">
        <v>1</v>
      </c>
      <c r="AH34" s="6">
        <v>-1</v>
      </c>
      <c r="AI34" s="6" t="s">
        <v>53</v>
      </c>
      <c r="AJ34" s="6" t="s">
        <v>64</v>
      </c>
      <c r="AK34" s="6" t="s">
        <v>1544</v>
      </c>
      <c r="AL34" s="6" t="str">
        <f>HYPERLINK(".\links\SWISSP\TI_asb-435-SWISSP.txt","FACT complex subunit SPT16 OS=Dictyostelium discoideum GN=spt16 PE=3 SV=1")</f>
        <v>FACT complex subunit SPT16 OS=Dictyostelium discoideum GN=spt16 PE=3 SV=1</v>
      </c>
      <c r="AM34" s="6" t="str">
        <f>HYPERLINK("http://www.uniprot.org/uniprot/Q54S43","9.9")</f>
        <v>9.9</v>
      </c>
      <c r="AN34" s="6" t="str">
        <f>HYPERLINK(".\links\SWISSP\TI_asb-435-SWISSP.txt"," 1")</f>
        <v xml:space="preserve"> 1</v>
      </c>
      <c r="AO34" s="6" t="s">
        <v>2622</v>
      </c>
      <c r="AP34" s="6">
        <v>30.8</v>
      </c>
      <c r="AQ34" s="6">
        <v>51</v>
      </c>
      <c r="AR34" s="6">
        <v>1072</v>
      </c>
      <c r="AS34" s="6">
        <v>31</v>
      </c>
      <c r="AT34" s="6">
        <v>5</v>
      </c>
      <c r="AU34" s="6">
        <v>35</v>
      </c>
      <c r="AV34" s="6">
        <v>3</v>
      </c>
      <c r="AW34" s="6">
        <v>90</v>
      </c>
      <c r="AX34" s="6">
        <v>112</v>
      </c>
      <c r="AY34" s="6">
        <v>1</v>
      </c>
      <c r="AZ34" s="6">
        <v>-1</v>
      </c>
      <c r="BA34" s="6" t="s">
        <v>53</v>
      </c>
      <c r="BB34" s="6" t="s">
        <v>64</v>
      </c>
      <c r="BC34" s="6" t="s">
        <v>386</v>
      </c>
      <c r="BD34" s="6" t="s">
        <v>2623</v>
      </c>
      <c r="BE34" s="6" t="s">
        <v>2624</v>
      </c>
      <c r="BF34" s="6" t="str">
        <f>HYPERLINK(".\links\PREV-RHOD-PEP\TI_asb-435-PREV-RHOD-PEP.txt","Contig17932_114")</f>
        <v>Contig17932_114</v>
      </c>
      <c r="BG34" s="7">
        <v>2E-12</v>
      </c>
      <c r="BH34" s="6" t="str">
        <f>HYPERLINK(".\links\PREV-RHOD-PEP\TI_asb-435-PREV-RHOD-PEP.txt"," 10")</f>
        <v xml:space="preserve"> 10</v>
      </c>
      <c r="BI34" s="6" t="s">
        <v>458</v>
      </c>
      <c r="BJ34" s="6">
        <v>42.4</v>
      </c>
      <c r="BK34" s="6">
        <v>31</v>
      </c>
      <c r="BL34" s="6">
        <v>1330</v>
      </c>
      <c r="BM34" s="6">
        <v>48</v>
      </c>
      <c r="BN34" s="6">
        <v>2</v>
      </c>
      <c r="BO34" s="6">
        <v>16</v>
      </c>
      <c r="BP34" s="6">
        <v>0</v>
      </c>
      <c r="BQ34" s="6">
        <v>1052</v>
      </c>
      <c r="BR34" s="6">
        <v>17</v>
      </c>
      <c r="BS34" s="6">
        <v>3</v>
      </c>
      <c r="BT34" s="6" t="s">
        <v>64</v>
      </c>
      <c r="BU34" s="6" t="s">
        <v>2625</v>
      </c>
      <c r="BV34" s="6" t="s">
        <v>56</v>
      </c>
      <c r="BW34" s="6" t="str">
        <f>HYPERLINK(".\links\PREV-RHOD-CDS\TI_asb-435-PREV-RHOD-CDS.txt","Contig12256_1")</f>
        <v>Contig12256_1</v>
      </c>
      <c r="BX34" s="6">
        <v>9.2999999999999999E-2</v>
      </c>
      <c r="BY34" s="6" t="s">
        <v>2626</v>
      </c>
      <c r="BZ34" s="6">
        <v>38.200000000000003</v>
      </c>
      <c r="CA34" s="6">
        <v>18</v>
      </c>
      <c r="CB34" s="6">
        <v>1518</v>
      </c>
      <c r="CC34" s="6">
        <v>100</v>
      </c>
      <c r="CD34" s="6">
        <v>1</v>
      </c>
      <c r="CE34" s="6">
        <v>0</v>
      </c>
      <c r="CF34" s="6">
        <v>0</v>
      </c>
      <c r="CG34" s="6">
        <v>1013</v>
      </c>
      <c r="CH34" s="6">
        <v>476</v>
      </c>
      <c r="CI34" s="6">
        <v>1</v>
      </c>
      <c r="CJ34" s="6" t="s">
        <v>64</v>
      </c>
      <c r="CK34" s="6" t="s">
        <v>2627</v>
      </c>
      <c r="CL34" s="6">
        <f>HYPERLINK(".\links\GO\TI_asb-435-GO.txt",2.8)</f>
        <v>2.8</v>
      </c>
      <c r="CM34" s="6" t="s">
        <v>2628</v>
      </c>
      <c r="CN34" s="6" t="s">
        <v>1012</v>
      </c>
      <c r="CO34" s="6" t="s">
        <v>2629</v>
      </c>
      <c r="CP34" s="6" t="s">
        <v>2630</v>
      </c>
      <c r="CQ34" s="6">
        <v>2.8</v>
      </c>
      <c r="CR34" s="6" t="s">
        <v>2631</v>
      </c>
      <c r="CS34" s="6" t="s">
        <v>75</v>
      </c>
      <c r="CT34" s="6" t="s">
        <v>76</v>
      </c>
      <c r="CU34" s="6" t="s">
        <v>2632</v>
      </c>
      <c r="CV34" s="6">
        <v>2.8</v>
      </c>
      <c r="CW34" s="6" t="s">
        <v>2633</v>
      </c>
      <c r="CX34" s="6" t="s">
        <v>1012</v>
      </c>
      <c r="CY34" s="6" t="s">
        <v>2629</v>
      </c>
      <c r="CZ34" s="6" t="s">
        <v>2634</v>
      </c>
      <c r="DA34" s="6">
        <v>2.8</v>
      </c>
      <c r="DB34" s="6" t="s">
        <v>56</v>
      </c>
      <c r="DC34" s="6" t="s">
        <v>56</v>
      </c>
      <c r="DD34" s="6" t="s">
        <v>56</v>
      </c>
      <c r="DE34" s="6" t="str">
        <f>HYPERLINK(".\links\PFAM\TI_asb-435-PFAM.txt","LAGLIDADG_1")</f>
        <v>LAGLIDADG_1</v>
      </c>
      <c r="DF34" s="6" t="str">
        <f>HYPERLINK("http://pfam.sanger.ac.uk/family?acc=PF00961","0.065")</f>
        <v>0.065</v>
      </c>
      <c r="DG34" s="6" t="s">
        <v>56</v>
      </c>
      <c r="DH34" s="6" t="s">
        <v>56</v>
      </c>
      <c r="DI34" s="6" t="s">
        <v>56</v>
      </c>
      <c r="DJ34" s="6" t="s">
        <v>56</v>
      </c>
      <c r="DK34" s="6" t="s">
        <v>56</v>
      </c>
      <c r="DY34" s="6" t="s">
        <v>56</v>
      </c>
    </row>
  </sheetData>
  <sortState ref="A2:EL40">
    <sortCondition descending="1" ref="BN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5</vt:i4>
      </vt:variant>
    </vt:vector>
  </HeadingPairs>
  <TitlesOfParts>
    <vt:vector size="5" baseType="lpstr">
      <vt:lpstr>All</vt:lpstr>
      <vt:lpstr>Class-distribution</vt:lpstr>
      <vt:lpstr>contigs stats</vt:lpstr>
      <vt:lpstr>organism distrib</vt:lpstr>
      <vt:lpstr>Rhodnius matches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GloriaBraz</dc:creator>
  <cp:lastModifiedBy>ASTanaka</cp:lastModifiedBy>
  <dcterms:created xsi:type="dcterms:W3CDTF">2011-05-05T18:39:48Z</dcterms:created>
  <dcterms:modified xsi:type="dcterms:W3CDTF">2012-06-25T00:18:03Z</dcterms:modified>
</cp:coreProperties>
</file>