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24.xml" ContentType="application/vnd.openxmlformats-officedocument.drawing+xml"/>
  <Override PartName="/xl/charts/chart56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45.xml" ContentType="application/vnd.openxmlformats-officedocument.drawingml.chart+xml"/>
  <Override PartName="/xl/drawings/drawing31.xml" ContentType="application/vnd.openxmlformats-officedocument.drawing+xml"/>
  <Override PartName="/xl/charts/chart63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drawings/drawing30.xml" ContentType="application/vnd.openxmlformats-officedocument.drawing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charts/chart58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drawings/drawing22.xml" ContentType="application/vnd.openxmlformats-officedocument.drawing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worksheets/sheet38.xml" ContentType="application/vnd.openxmlformats-officedocument.spreadsheetml.workshee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charts/chart5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/>
  </bookViews>
  <sheets>
    <sheet name="Readme" sheetId="682" r:id="rId1"/>
    <sheet name="AA_T_pho_ty" sheetId="910" r:id="rId2"/>
    <sheet name="AA_pho_A" sheetId="911" r:id="rId3"/>
    <sheet name="AA_pho_ind" sheetId="912" r:id="rId4"/>
    <sheet name="AA_pho_pat" sheetId="913" r:id="rId5"/>
    <sheet name="AA_T_pho_den" sheetId="914" r:id="rId6"/>
    <sheet name="AA_S_pho_den" sheetId="915" r:id="rId7"/>
    <sheet name="AA_T_phi_ty" sheetId="916" r:id="rId8"/>
    <sheet name="AA_phi_A" sheetId="917" r:id="rId9"/>
    <sheet name="AA_phi_ind" sheetId="918" r:id="rId10"/>
    <sheet name="AA_phi_pat" sheetId="919" r:id="rId11"/>
    <sheet name="AA_T_phi_den" sheetId="920" r:id="rId12"/>
    <sheet name="AA_S_phi_den" sheetId="921" r:id="rId13"/>
    <sheet name="AA_T_amphi_ty" sheetId="922" r:id="rId14"/>
    <sheet name="AA_amphi_den" sheetId="923" r:id="rId15"/>
    <sheet name="AA_R_phophi_ty" sheetId="924" r:id="rId16"/>
    <sheet name=" AA_R_phoamp_ty " sheetId="925" r:id="rId17"/>
    <sheet name="AA_R_phophi_A" sheetId="926" r:id="rId18"/>
    <sheet name="Chg_T_pos" sheetId="944" r:id="rId19"/>
    <sheet name="Chg_pos_A" sheetId="945" r:id="rId20"/>
    <sheet name="Chg_T_pos_den " sheetId="946" r:id="rId21"/>
    <sheet name="Chg_S_pos_den" sheetId="947" r:id="rId22"/>
    <sheet name="Chg_T_neg" sheetId="948" r:id="rId23"/>
    <sheet name="Chg_neg_A" sheetId="949" r:id="rId24"/>
    <sheet name="Chg_T_neg_den " sheetId="950" r:id="rId25"/>
    <sheet name="Chg_S_neg_den" sheetId="951" r:id="rId26"/>
    <sheet name="Chg_T" sheetId="952" r:id="rId27"/>
    <sheet name="Chg_T_den " sheetId="953" r:id="rId28"/>
    <sheet name=" Chg_R_posneg " sheetId="954" r:id="rId29"/>
    <sheet name="Chg_R_pos_tchg " sheetId="955" r:id="rId30"/>
    <sheet name="Chg_R_posneg_A " sheetId="956" r:id="rId31"/>
    <sheet name="T_A" sheetId="957" r:id="rId32"/>
    <sheet name="Shape_factor" sheetId="958" r:id="rId33"/>
    <sheet name="AA1.4" sheetId="797" r:id="rId34"/>
    <sheet name="AA2" sheetId="811" r:id="rId35"/>
    <sheet name="AA3" sheetId="813" r:id="rId36"/>
    <sheet name="AA4" sheetId="814" r:id="rId37"/>
    <sheet name="AA5" sheetId="819" r:id="rId38"/>
    <sheet name="AA6" sheetId="818" r:id="rId39"/>
    <sheet name="AA7" sheetId="817" r:id="rId40"/>
    <sheet name="AA8" sheetId="816" r:id="rId41"/>
    <sheet name="AA9" sheetId="815" r:id="rId42"/>
    <sheet name="AA10" sheetId="820" r:id="rId43"/>
    <sheet name="AA11" sheetId="826" r:id="rId44"/>
    <sheet name="AA12" sheetId="825" r:id="rId45"/>
    <sheet name="AA13" sheetId="824" r:id="rId46"/>
    <sheet name="AA14" sheetId="823" r:id="rId47"/>
    <sheet name="AA15" sheetId="822" r:id="rId48"/>
    <sheet name="AA16" sheetId="821" r:id="rId49"/>
    <sheet name="AA17" sheetId="828" r:id="rId50"/>
    <sheet name="AA18" sheetId="829" r:id="rId51"/>
    <sheet name="AA19" sheetId="827" r:id="rId52"/>
    <sheet name="AA20" sheetId="830" r:id="rId53"/>
  </sheets>
  <calcPr calcId="125725"/>
</workbook>
</file>

<file path=xl/calcChain.xml><?xml version="1.0" encoding="utf-8"?>
<calcChain xmlns="http://schemas.openxmlformats.org/spreadsheetml/2006/main">
  <c r="U1" i="958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7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6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5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4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3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2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1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50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49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48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47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46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45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44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6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5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4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3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2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1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20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9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8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7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6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5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4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3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2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1"/>
  <c r="T1"/>
  <c r="S1"/>
  <c r="R1"/>
  <c r="Q1"/>
  <c r="P1"/>
  <c r="O1"/>
  <c r="N1"/>
  <c r="M1"/>
  <c r="L1"/>
  <c r="K1"/>
  <c r="J1"/>
  <c r="I1"/>
  <c r="H1"/>
  <c r="G1"/>
  <c r="F1"/>
  <c r="E1"/>
  <c r="D1"/>
  <c r="C1"/>
  <c r="B1"/>
  <c r="U1" i="910"/>
  <c r="T1"/>
  <c r="S1"/>
  <c r="R1"/>
  <c r="Q1"/>
  <c r="P1"/>
  <c r="O1"/>
  <c r="N1"/>
  <c r="M1"/>
  <c r="L1"/>
  <c r="K1"/>
  <c r="J1"/>
  <c r="I1"/>
  <c r="H1"/>
  <c r="G1"/>
  <c r="F1"/>
  <c r="E1"/>
  <c r="D1"/>
  <c r="C1"/>
  <c r="B1"/>
</calcChain>
</file>

<file path=xl/sharedStrings.xml><?xml version="1.0" encoding="utf-8"?>
<sst xmlns="http://schemas.openxmlformats.org/spreadsheetml/2006/main" count="2231" uniqueCount="85">
  <si>
    <t>1A4V</t>
  </si>
  <si>
    <t>1EXS</t>
  </si>
  <si>
    <t>1BEB</t>
  </si>
  <si>
    <t>1LYZ</t>
  </si>
  <si>
    <t>135L</t>
  </si>
  <si>
    <t>2LYM</t>
  </si>
  <si>
    <t>2LZT</t>
  </si>
  <si>
    <t>1L35</t>
  </si>
  <si>
    <t>1LYD</t>
  </si>
  <si>
    <t>8RAT</t>
  </si>
  <si>
    <t>1RBX</t>
  </si>
  <si>
    <t>3RN3</t>
  </si>
  <si>
    <t>1AFU</t>
  </si>
  <si>
    <t>1HHO</t>
  </si>
  <si>
    <t>2HCO</t>
  </si>
  <si>
    <t>2DHB</t>
  </si>
  <si>
    <t>1BUW</t>
  </si>
  <si>
    <t>1Y4G</t>
  </si>
  <si>
    <t>1Y4F</t>
  </si>
  <si>
    <t>1A01</t>
  </si>
  <si>
    <t>1Y4P</t>
  </si>
  <si>
    <t>1A00</t>
  </si>
  <si>
    <t>2HHB</t>
  </si>
  <si>
    <t>1A0U</t>
  </si>
  <si>
    <t>1A0Z</t>
  </si>
  <si>
    <t>1C7D</t>
  </si>
  <si>
    <t>1E7I</t>
  </si>
  <si>
    <t>1UOR</t>
  </si>
  <si>
    <t>1E_78</t>
  </si>
  <si>
    <t>1AO6</t>
  </si>
  <si>
    <t>1BM0</t>
  </si>
  <si>
    <t>1IGY</t>
  </si>
  <si>
    <t>1IGT</t>
  </si>
  <si>
    <t>1HZH</t>
  </si>
  <si>
    <t>1AY46</t>
  </si>
  <si>
    <t>Positive charged area</t>
  </si>
  <si>
    <t>Total + charge</t>
  </si>
  <si>
    <t>average + charge</t>
  </si>
  <si>
    <t>Negative charged area</t>
  </si>
  <si>
    <t>Total - charge</t>
  </si>
  <si>
    <t>average - charge</t>
  </si>
  <si>
    <t>total surface charged</t>
  </si>
  <si>
    <t>Average surface charge</t>
  </si>
  <si>
    <t>Hydrophilic area</t>
  </si>
  <si>
    <t>Hydrophilicity index</t>
  </si>
  <si>
    <t>Hydrophilicity patch</t>
  </si>
  <si>
    <t>Hydrophobic area</t>
  </si>
  <si>
    <t>Hydrophobicity index</t>
  </si>
  <si>
    <t>Hydrophobicity patch</t>
  </si>
  <si>
    <t>Total hydrophobicity</t>
  </si>
  <si>
    <t>Total hydrophilicity</t>
  </si>
  <si>
    <t>AA</t>
  </si>
  <si>
    <t>Chg</t>
  </si>
  <si>
    <t>1st field</t>
  </si>
  <si>
    <t>2nd field</t>
  </si>
  <si>
    <t>T</t>
  </si>
  <si>
    <t>means Total</t>
  </si>
  <si>
    <t>pho</t>
  </si>
  <si>
    <t>phi</t>
  </si>
  <si>
    <t>amphi</t>
  </si>
  <si>
    <t>R</t>
  </si>
  <si>
    <t>S</t>
  </si>
  <si>
    <t>3rd field</t>
  </si>
  <si>
    <t>ty</t>
  </si>
  <si>
    <t>refers to the actual property</t>
  </si>
  <si>
    <t>A</t>
  </si>
  <si>
    <t>refers to the respective area</t>
  </si>
  <si>
    <t>Na</t>
  </si>
  <si>
    <t>Area</t>
  </si>
  <si>
    <t>PDB ID</t>
  </si>
  <si>
    <t>Each sheet presents the results of probing protein molecular surface with probe radii from 1.4 A to 20 A</t>
  </si>
  <si>
    <t>A. Worsheets containing values organised along molecular surface-derived properties</t>
  </si>
  <si>
    <t>B. Worsheets containing values organised along probing radii</t>
  </si>
  <si>
    <t>The sheet name contain 1 field: AA_number, [number] = radius of the probe</t>
  </si>
  <si>
    <t>The sheet name contains 3 fields</t>
  </si>
  <si>
    <t>General information</t>
  </si>
  <si>
    <t>There are two sets of worksheets, the first organised by property measured, the second organised by probing radii</t>
  </si>
  <si>
    <t>The sheets containing information organised by property (set 1) also contains two charts, for comparison: one (smaller) with the data presented in the manuscript; and one with all data (35 proteins)</t>
  </si>
  <si>
    <t>means Ratio</t>
  </si>
  <si>
    <t>means Specific</t>
  </si>
  <si>
    <t>means Hydrophobicity</t>
  </si>
  <si>
    <t>means Hydrophilicity</t>
  </si>
  <si>
    <t>means Amphiphilicity</t>
  </si>
  <si>
    <t>means Amino Acid-based property, i.e., hydrophobicity, hydrophilicity and amphiphilicity</t>
  </si>
  <si>
    <t>means Charge-based data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</si>
</sst>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AA_T_pho_ty!$B$3:$U$3</c:f>
              <c:numCache>
                <c:formatCode>General</c:formatCode>
                <c:ptCount val="20"/>
                <c:pt idx="0">
                  <c:v>-7.6740740000000001</c:v>
                </c:pt>
                <c:pt idx="1">
                  <c:v>-4.970173</c:v>
                </c:pt>
                <c:pt idx="2">
                  <c:v>-2.8388909999999998</c:v>
                </c:pt>
                <c:pt idx="3">
                  <c:v>-1.900722</c:v>
                </c:pt>
                <c:pt idx="4">
                  <c:v>-1.386231</c:v>
                </c:pt>
                <c:pt idx="5">
                  <c:v>-0.992228</c:v>
                </c:pt>
                <c:pt idx="6">
                  <c:v>-0.85507069999999996</c:v>
                </c:pt>
                <c:pt idx="7">
                  <c:v>-0.67695190000000005</c:v>
                </c:pt>
                <c:pt idx="8">
                  <c:v>-0.57853659999999996</c:v>
                </c:pt>
                <c:pt idx="9">
                  <c:v>-0.51239259999999998</c:v>
                </c:pt>
                <c:pt idx="10">
                  <c:v>-0.46351979999999998</c:v>
                </c:pt>
                <c:pt idx="11">
                  <c:v>-0.42377480000000001</c:v>
                </c:pt>
                <c:pt idx="12">
                  <c:v>-0.39338420000000002</c:v>
                </c:pt>
                <c:pt idx="13">
                  <c:v>-0.3375978</c:v>
                </c:pt>
                <c:pt idx="14">
                  <c:v>-0.3109132</c:v>
                </c:pt>
                <c:pt idx="15">
                  <c:v>-0.26566669999999998</c:v>
                </c:pt>
                <c:pt idx="16">
                  <c:v>-0.2401867</c:v>
                </c:pt>
                <c:pt idx="17">
                  <c:v>-0.21613650000000001</c:v>
                </c:pt>
                <c:pt idx="18">
                  <c:v>-0.21406739999999999</c:v>
                </c:pt>
                <c:pt idx="19">
                  <c:v>-0.19960749999999999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AA_T_pho_ty!$B$21:$U$21</c:f>
              <c:numCache>
                <c:formatCode>General</c:formatCode>
                <c:ptCount val="20"/>
                <c:pt idx="0">
                  <c:v>-20.759740000000001</c:v>
                </c:pt>
                <c:pt idx="1">
                  <c:v>-10.28342</c:v>
                </c:pt>
                <c:pt idx="2">
                  <c:v>-3.5688710000000001</c:v>
                </c:pt>
                <c:pt idx="3">
                  <c:v>-1.6877610000000001</c:v>
                </c:pt>
                <c:pt idx="4">
                  <c:v>-1.029563</c:v>
                </c:pt>
                <c:pt idx="5">
                  <c:v>-0.65205040000000003</c:v>
                </c:pt>
                <c:pt idx="6">
                  <c:v>-0.50719879999999995</c:v>
                </c:pt>
                <c:pt idx="7">
                  <c:v>-0.40766669999999999</c:v>
                </c:pt>
                <c:pt idx="8">
                  <c:v>-0.33774579999999998</c:v>
                </c:pt>
                <c:pt idx="9">
                  <c:v>-0.28397810000000001</c:v>
                </c:pt>
                <c:pt idx="10">
                  <c:v>-0.26904040000000001</c:v>
                </c:pt>
                <c:pt idx="11">
                  <c:v>-0.24157219999999999</c:v>
                </c:pt>
                <c:pt idx="12">
                  <c:v>-0.2016163</c:v>
                </c:pt>
                <c:pt idx="13">
                  <c:v>-0.18185770000000001</c:v>
                </c:pt>
                <c:pt idx="14">
                  <c:v>-0.17026849999999999</c:v>
                </c:pt>
                <c:pt idx="15">
                  <c:v>-0.15314030000000001</c:v>
                </c:pt>
                <c:pt idx="16">
                  <c:v>-0.13851459999999999</c:v>
                </c:pt>
                <c:pt idx="17">
                  <c:v>-0.1269412</c:v>
                </c:pt>
                <c:pt idx="18">
                  <c:v>-0.1183269</c:v>
                </c:pt>
                <c:pt idx="19">
                  <c:v>-0.11463379999999999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AA_T_pho_ty!$B$37:$U$37</c:f>
              <c:numCache>
                <c:formatCode>General</c:formatCode>
                <c:ptCount val="20"/>
                <c:pt idx="0">
                  <c:v>-46.146610000000003</c:v>
                </c:pt>
                <c:pt idx="1">
                  <c:v>-29.375530000000001</c:v>
                </c:pt>
                <c:pt idx="2">
                  <c:v>-16.549399999999999</c:v>
                </c:pt>
                <c:pt idx="3">
                  <c:v>-10.98043</c:v>
                </c:pt>
                <c:pt idx="4">
                  <c:v>-8.1972679999999993</c:v>
                </c:pt>
                <c:pt idx="5">
                  <c:v>-6.2326899999999998</c:v>
                </c:pt>
                <c:pt idx="6">
                  <c:v>-5.2008770000000002</c:v>
                </c:pt>
                <c:pt idx="7">
                  <c:v>-4.4127409999999996</c:v>
                </c:pt>
                <c:pt idx="8">
                  <c:v>-3.787099</c:v>
                </c:pt>
                <c:pt idx="9">
                  <c:v>-3.245539</c:v>
                </c:pt>
                <c:pt idx="10">
                  <c:v>-2.8781330000000001</c:v>
                </c:pt>
                <c:pt idx="11">
                  <c:v>-2.5640779999999999</c:v>
                </c:pt>
                <c:pt idx="12">
                  <c:v>-2.3627440000000002</c:v>
                </c:pt>
                <c:pt idx="13">
                  <c:v>-2.1366499999999999</c:v>
                </c:pt>
                <c:pt idx="14">
                  <c:v>-1.905041</c:v>
                </c:pt>
                <c:pt idx="15">
                  <c:v>-1.758561</c:v>
                </c:pt>
                <c:pt idx="16">
                  <c:v>-1.628007</c:v>
                </c:pt>
                <c:pt idx="17">
                  <c:v>-1.5518730000000001</c:v>
                </c:pt>
                <c:pt idx="18">
                  <c:v>-1.4460029999999999</c:v>
                </c:pt>
                <c:pt idx="19">
                  <c:v>-1.3665179999999999</c:v>
                </c:pt>
              </c:numCache>
            </c:numRef>
          </c:yVal>
          <c:smooth val="1"/>
        </c:ser>
        <c:axId val="97131904"/>
        <c:axId val="97138176"/>
      </c:scatterChart>
      <c:valAx>
        <c:axId val="9713190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138176"/>
        <c:crosses val="autoZero"/>
        <c:crossBetween val="midCat"/>
      </c:valAx>
      <c:valAx>
        <c:axId val="97138176"/>
        <c:scaling>
          <c:orientation val="minMax"/>
        </c:scaling>
        <c:axPos val="l"/>
        <c:numFmt formatCode="General" sourceLinked="1"/>
        <c:tickLblPos val="nextTo"/>
        <c:crossAx val="97131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750174978127723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975240594925636"/>
          <c:y val="5.1400554097404488E-2"/>
          <c:w val="0.55653237095363084"/>
          <c:h val="0.89719889180519097"/>
        </c:manualLayout>
      </c:layout>
      <c:scatterChart>
        <c:scatterStyle val="smoothMarker"/>
        <c:ser>
          <c:idx val="0"/>
          <c:order val="0"/>
          <c:tx>
            <c:strRef>
              <c:f>AA_T_pho_den!$A$3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AA_T_pho_den!$B$3:$U$3</c:f>
              <c:numCache>
                <c:formatCode>General</c:formatCode>
                <c:ptCount val="20"/>
                <c:pt idx="0">
                  <c:v>-3.7006513450054952E-3</c:v>
                </c:pt>
                <c:pt idx="1">
                  <c:v>-3.5405564820203696E-3</c:v>
                </c:pt>
                <c:pt idx="2">
                  <c:v>-3.2157389449207381E-3</c:v>
                </c:pt>
                <c:pt idx="3">
                  <c:v>-3.0541978464836235E-3</c:v>
                </c:pt>
                <c:pt idx="4">
                  <c:v>-2.9650344654555114E-3</c:v>
                </c:pt>
                <c:pt idx="5">
                  <c:v>-2.631931038031683E-3</c:v>
                </c:pt>
                <c:pt idx="6">
                  <c:v>-2.6946730875469439E-3</c:v>
                </c:pt>
                <c:pt idx="7">
                  <c:v>-2.4786204709786744E-3</c:v>
                </c:pt>
                <c:pt idx="8">
                  <c:v>-2.4056186040477532E-3</c:v>
                </c:pt>
                <c:pt idx="9">
                  <c:v>-2.3969587561831107E-3</c:v>
                </c:pt>
                <c:pt idx="10">
                  <c:v>-2.4196514284729911E-3</c:v>
                </c:pt>
                <c:pt idx="11">
                  <c:v>-2.4127039433943036E-3</c:v>
                </c:pt>
                <c:pt idx="12">
                  <c:v>-2.4230341622118374E-3</c:v>
                </c:pt>
                <c:pt idx="13">
                  <c:v>-2.261145221256779E-3</c:v>
                </c:pt>
                <c:pt idx="14">
                  <c:v>-2.2432247963578905E-3</c:v>
                </c:pt>
                <c:pt idx="15">
                  <c:v>-2.0587965883394114E-3</c:v>
                </c:pt>
                <c:pt idx="16">
                  <c:v>-1.9868054584753691E-3</c:v>
                </c:pt>
                <c:pt idx="17">
                  <c:v>-1.8764471423523602E-3</c:v>
                </c:pt>
                <c:pt idx="18">
                  <c:v>-1.9043803860760676E-3</c:v>
                </c:pt>
                <c:pt idx="19">
                  <c:v>-1.8102213810309348E-3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AA_T_pho_den!$A$4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AA_T_pho_den!$B$4:$U$4</c:f>
              <c:numCache>
                <c:formatCode>General</c:formatCode>
                <c:ptCount val="20"/>
                <c:pt idx="0">
                  <c:v>-3.1310291842936129E-3</c:v>
                </c:pt>
                <c:pt idx="1">
                  <c:v>-2.9086804852075515E-3</c:v>
                </c:pt>
                <c:pt idx="2">
                  <c:v>-2.5338489794145191E-3</c:v>
                </c:pt>
                <c:pt idx="3">
                  <c:v>-2.3961662204617668E-3</c:v>
                </c:pt>
                <c:pt idx="4">
                  <c:v>-2.4805383388898515E-3</c:v>
                </c:pt>
                <c:pt idx="5">
                  <c:v>-2.3273334807991123E-3</c:v>
                </c:pt>
                <c:pt idx="6">
                  <c:v>-2.4101729941384291E-3</c:v>
                </c:pt>
                <c:pt idx="7">
                  <c:v>-2.5340947135152974E-3</c:v>
                </c:pt>
                <c:pt idx="8">
                  <c:v>-2.5477298848589547E-3</c:v>
                </c:pt>
                <c:pt idx="9">
                  <c:v>-2.5588617387541164E-3</c:v>
                </c:pt>
                <c:pt idx="10">
                  <c:v>-2.7556103631838085E-3</c:v>
                </c:pt>
                <c:pt idx="11">
                  <c:v>-2.8594238712726819E-3</c:v>
                </c:pt>
                <c:pt idx="12">
                  <c:v>-2.7938852156817301E-3</c:v>
                </c:pt>
                <c:pt idx="13">
                  <c:v>-2.8296705430176997E-3</c:v>
                </c:pt>
                <c:pt idx="14">
                  <c:v>-2.8046646740556092E-3</c:v>
                </c:pt>
                <c:pt idx="15">
                  <c:v>-2.7733042927260048E-3</c:v>
                </c:pt>
                <c:pt idx="16">
                  <c:v>-2.7507868776901405E-3</c:v>
                </c:pt>
                <c:pt idx="17">
                  <c:v>-2.8262728102837298E-3</c:v>
                </c:pt>
                <c:pt idx="18">
                  <c:v>-2.7493471835162916E-3</c:v>
                </c:pt>
                <c:pt idx="19">
                  <c:v>-2.7446340990589764E-3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AA_T_pho_den!$A$5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AA_T_pho_den!$B$5:$U$5</c:f>
              <c:numCache>
                <c:formatCode>General</c:formatCode>
                <c:ptCount val="20"/>
                <c:pt idx="0">
                  <c:v>-2.2070926815081012E-3</c:v>
                </c:pt>
                <c:pt idx="1">
                  <c:v>-1.7108427797583464E-3</c:v>
                </c:pt>
                <c:pt idx="2">
                  <c:v>-1.3705674180970549E-3</c:v>
                </c:pt>
                <c:pt idx="3">
                  <c:v>-1.1740461088259125E-3</c:v>
                </c:pt>
                <c:pt idx="4">
                  <c:v>-1.1130399959564698E-3</c:v>
                </c:pt>
                <c:pt idx="5">
                  <c:v>-1.0539861632266733E-3</c:v>
                </c:pt>
                <c:pt idx="6">
                  <c:v>-1.018912816052725E-3</c:v>
                </c:pt>
                <c:pt idx="7">
                  <c:v>-9.6146521602619834E-4</c:v>
                </c:pt>
                <c:pt idx="8">
                  <c:v>-9.234270626760655E-4</c:v>
                </c:pt>
                <c:pt idx="9">
                  <c:v>-9.3634308440529944E-4</c:v>
                </c:pt>
                <c:pt idx="10">
                  <c:v>-9.7139537135184273E-4</c:v>
                </c:pt>
                <c:pt idx="11">
                  <c:v>-9.9042485416573158E-4</c:v>
                </c:pt>
                <c:pt idx="12">
                  <c:v>-9.974193134996642E-4</c:v>
                </c:pt>
                <c:pt idx="13">
                  <c:v>-9.6484768012264474E-4</c:v>
                </c:pt>
                <c:pt idx="14">
                  <c:v>-9.3464043043409422E-4</c:v>
                </c:pt>
                <c:pt idx="15">
                  <c:v>-8.5158711276461677E-4</c:v>
                </c:pt>
                <c:pt idx="16">
                  <c:v>-8.4791487263411033E-4</c:v>
                </c:pt>
                <c:pt idx="17">
                  <c:v>-8.4184999951533626E-4</c:v>
                </c:pt>
                <c:pt idx="18">
                  <c:v>-8.3325820476019873E-4</c:v>
                </c:pt>
                <c:pt idx="19">
                  <c:v>-8.2929555233998903E-4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AA_T_pho_den!$A$6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AA_T_pho_den!$B$6:$U$6</c:f>
              <c:numCache>
                <c:formatCode>General</c:formatCode>
                <c:ptCount val="20"/>
                <c:pt idx="0">
                  <c:v>-2.9757448264892661E-3</c:v>
                </c:pt>
                <c:pt idx="1">
                  <c:v>-1.9822250488111142E-3</c:v>
                </c:pt>
                <c:pt idx="2">
                  <c:v>-1.7941738381683345E-3</c:v>
                </c:pt>
                <c:pt idx="3">
                  <c:v>-1.4833829979955895E-3</c:v>
                </c:pt>
                <c:pt idx="4">
                  <c:v>-1.2857095257623244E-3</c:v>
                </c:pt>
                <c:pt idx="5">
                  <c:v>-1.1590874299535407E-3</c:v>
                </c:pt>
                <c:pt idx="6">
                  <c:v>-1.1008135819321214E-3</c:v>
                </c:pt>
                <c:pt idx="7">
                  <c:v>-1.0222622573636926E-3</c:v>
                </c:pt>
                <c:pt idx="8">
                  <c:v>-9.9160887242998172E-4</c:v>
                </c:pt>
                <c:pt idx="9">
                  <c:v>-9.6621158297754744E-4</c:v>
                </c:pt>
                <c:pt idx="10">
                  <c:v>-8.8987520063139609E-4</c:v>
                </c:pt>
                <c:pt idx="11">
                  <c:v>-7.9110386152270163E-4</c:v>
                </c:pt>
                <c:pt idx="12">
                  <c:v>-8.4306927478968992E-4</c:v>
                </c:pt>
                <c:pt idx="13">
                  <c:v>-7.873368947003375E-4</c:v>
                </c:pt>
                <c:pt idx="14">
                  <c:v>-6.7464679171910433E-4</c:v>
                </c:pt>
                <c:pt idx="15">
                  <c:v>-6.8212297832514568E-4</c:v>
                </c:pt>
                <c:pt idx="16">
                  <c:v>-6.3956315639820732E-4</c:v>
                </c:pt>
                <c:pt idx="17">
                  <c:v>-6.2827313426537328E-4</c:v>
                </c:pt>
                <c:pt idx="18">
                  <c:v>-5.4055367324742096E-4</c:v>
                </c:pt>
                <c:pt idx="19">
                  <c:v>-4.9594096455981629E-4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AA_T_pho_den!$A$7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AA_T_pho_den!$B$7:$U$7</c:f>
              <c:numCache>
                <c:formatCode>General</c:formatCode>
                <c:ptCount val="20"/>
                <c:pt idx="0">
                  <c:v>-2.7140703997191851E-3</c:v>
                </c:pt>
                <c:pt idx="1">
                  <c:v>-1.877244754505767E-3</c:v>
                </c:pt>
                <c:pt idx="2">
                  <c:v>-1.574858142574661E-3</c:v>
                </c:pt>
                <c:pt idx="3">
                  <c:v>-1.2730034196267374E-3</c:v>
                </c:pt>
                <c:pt idx="4">
                  <c:v>-9.9782227694973852E-4</c:v>
                </c:pt>
                <c:pt idx="5">
                  <c:v>-8.623355520571528E-4</c:v>
                </c:pt>
                <c:pt idx="6">
                  <c:v>-8.0780922962568982E-4</c:v>
                </c:pt>
                <c:pt idx="7">
                  <c:v>-7.198271005608096E-4</c:v>
                </c:pt>
                <c:pt idx="8">
                  <c:v>-7.0991215013193991E-4</c:v>
                </c:pt>
                <c:pt idx="9">
                  <c:v>-5.8315544474368841E-4</c:v>
                </c:pt>
                <c:pt idx="10">
                  <c:v>-5.7030958279636614E-4</c:v>
                </c:pt>
                <c:pt idx="11">
                  <c:v>-5.2929330319653398E-4</c:v>
                </c:pt>
                <c:pt idx="12">
                  <c:v>-4.5239166511446796E-4</c:v>
                </c:pt>
                <c:pt idx="13">
                  <c:v>-4.6936289229812853E-4</c:v>
                </c:pt>
                <c:pt idx="14">
                  <c:v>-5.0053297010270253E-4</c:v>
                </c:pt>
                <c:pt idx="15">
                  <c:v>-4.808322852521304E-4</c:v>
                </c:pt>
                <c:pt idx="16">
                  <c:v>-4.7623181307645401E-4</c:v>
                </c:pt>
                <c:pt idx="17">
                  <c:v>-4.5845246297370699E-4</c:v>
                </c:pt>
                <c:pt idx="18">
                  <c:v>-4.8132582679268553E-4</c:v>
                </c:pt>
                <c:pt idx="19">
                  <c:v>-4.9527702641810124E-4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AA_T_pho_den!$A$8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AA_T_pho_den!$B$8:$U$8</c:f>
              <c:numCache>
                <c:formatCode>General</c:formatCode>
                <c:ptCount val="20"/>
                <c:pt idx="0">
                  <c:v>-2.6972597345039885E-3</c:v>
                </c:pt>
                <c:pt idx="1">
                  <c:v>-1.8811356421225909E-3</c:v>
                </c:pt>
                <c:pt idx="2">
                  <c:v>-1.4953639948853048E-3</c:v>
                </c:pt>
                <c:pt idx="3">
                  <c:v>-1.1147193968928976E-3</c:v>
                </c:pt>
                <c:pt idx="4">
                  <c:v>-9.8770445731482777E-4</c:v>
                </c:pt>
                <c:pt idx="5">
                  <c:v>-8.5516885494578984E-4</c:v>
                </c:pt>
                <c:pt idx="6">
                  <c:v>-8.5825251173684951E-4</c:v>
                </c:pt>
                <c:pt idx="7">
                  <c:v>-7.5196628245275624E-4</c:v>
                </c:pt>
                <c:pt idx="8">
                  <c:v>-7.0527897936307191E-4</c:v>
                </c:pt>
                <c:pt idx="9">
                  <c:v>-7.0262393168792688E-4</c:v>
                </c:pt>
                <c:pt idx="10">
                  <c:v>-5.4935691559708359E-4</c:v>
                </c:pt>
                <c:pt idx="11">
                  <c:v>-5.6141314287641261E-4</c:v>
                </c:pt>
                <c:pt idx="12">
                  <c:v>-5.6730802717948152E-4</c:v>
                </c:pt>
                <c:pt idx="13">
                  <c:v>-5.3095174196323563E-4</c:v>
                </c:pt>
                <c:pt idx="14">
                  <c:v>-5.0353155449746367E-4</c:v>
                </c:pt>
                <c:pt idx="15">
                  <c:v>-3.5738500996021304E-4</c:v>
                </c:pt>
                <c:pt idx="16">
                  <c:v>-3.6937168368539694E-4</c:v>
                </c:pt>
                <c:pt idx="17">
                  <c:v>-4.0341051321250173E-4</c:v>
                </c:pt>
                <c:pt idx="18">
                  <c:v>-4.3584903585061402E-4</c:v>
                </c:pt>
                <c:pt idx="19">
                  <c:v>-4.5407946391657939E-4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AA_T_pho_den!$A$9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AA_T_pho_den!$B$9:$U$9</c:f>
              <c:numCache>
                <c:formatCode>General</c:formatCode>
                <c:ptCount val="20"/>
                <c:pt idx="0">
                  <c:v>-2.6561942006387848E-3</c:v>
                </c:pt>
                <c:pt idx="1">
                  <c:v>-1.8436609575480764E-3</c:v>
                </c:pt>
                <c:pt idx="2">
                  <c:v>-1.4537554145771841E-3</c:v>
                </c:pt>
                <c:pt idx="3">
                  <c:v>-1.1461141741415377E-3</c:v>
                </c:pt>
                <c:pt idx="4">
                  <c:v>-1.0246773840750002E-3</c:v>
                </c:pt>
                <c:pt idx="5">
                  <c:v>-9.3436921079931745E-4</c:v>
                </c:pt>
                <c:pt idx="6">
                  <c:v>-7.9663552733522721E-4</c:v>
                </c:pt>
                <c:pt idx="7">
                  <c:v>-7.3750851225121746E-4</c:v>
                </c:pt>
                <c:pt idx="8">
                  <c:v>-7.5015092238486672E-4</c:v>
                </c:pt>
                <c:pt idx="9">
                  <c:v>-6.7601252009150386E-4</c:v>
                </c:pt>
                <c:pt idx="10">
                  <c:v>-6.183597820312043E-4</c:v>
                </c:pt>
                <c:pt idx="11">
                  <c:v>-6.391721225443691E-4</c:v>
                </c:pt>
                <c:pt idx="12">
                  <c:v>-6.7407235387387081E-4</c:v>
                </c:pt>
                <c:pt idx="13">
                  <c:v>-7.1234720458653109E-4</c:v>
                </c:pt>
                <c:pt idx="14">
                  <c:v>-7.0163052023756664E-4</c:v>
                </c:pt>
                <c:pt idx="15">
                  <c:v>-6.8489854637675978E-4</c:v>
                </c:pt>
                <c:pt idx="16">
                  <c:v>-6.412965233845929E-4</c:v>
                </c:pt>
                <c:pt idx="17">
                  <c:v>-6.2604462395118182E-4</c:v>
                </c:pt>
                <c:pt idx="18">
                  <c:v>-6.0507745209907517E-4</c:v>
                </c:pt>
                <c:pt idx="19">
                  <c:v>-6.2636360084394774E-4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AA_T_pho_den!$A$10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AA_T_pho_den!$B$10:$U$10</c:f>
              <c:numCache>
                <c:formatCode>General</c:formatCode>
                <c:ptCount val="20"/>
                <c:pt idx="0">
                  <c:v>-2.9611925669612341E-3</c:v>
                </c:pt>
                <c:pt idx="1">
                  <c:v>-2.076626048054715E-3</c:v>
                </c:pt>
                <c:pt idx="2">
                  <c:v>-1.7276199154084469E-3</c:v>
                </c:pt>
                <c:pt idx="3">
                  <c:v>-1.312693687291452E-3</c:v>
                </c:pt>
                <c:pt idx="4">
                  <c:v>-1.1808191678161629E-3</c:v>
                </c:pt>
                <c:pt idx="5">
                  <c:v>-9.9094701134119583E-4</c:v>
                </c:pt>
                <c:pt idx="6">
                  <c:v>-9.697454863239176E-4</c:v>
                </c:pt>
                <c:pt idx="7">
                  <c:v>-8.8692299889541273E-4</c:v>
                </c:pt>
                <c:pt idx="8">
                  <c:v>-8.4529486051050466E-4</c:v>
                </c:pt>
                <c:pt idx="9">
                  <c:v>-7.6463399835825698E-4</c:v>
                </c:pt>
                <c:pt idx="10">
                  <c:v>-7.9464170243017285E-4</c:v>
                </c:pt>
                <c:pt idx="11">
                  <c:v>-7.6345883640208557E-4</c:v>
                </c:pt>
                <c:pt idx="12">
                  <c:v>-7.7393713886912934E-4</c:v>
                </c:pt>
                <c:pt idx="13">
                  <c:v>-7.6671680336399259E-4</c:v>
                </c:pt>
                <c:pt idx="14">
                  <c:v>-7.241654140254858E-4</c:v>
                </c:pt>
                <c:pt idx="15">
                  <c:v>-7.0631546499329311E-4</c:v>
                </c:pt>
                <c:pt idx="16">
                  <c:v>-6.5529467410912752E-4</c:v>
                </c:pt>
                <c:pt idx="17">
                  <c:v>-6.0063700914341715E-4</c:v>
                </c:pt>
                <c:pt idx="18">
                  <c:v>-6.3758784264690647E-4</c:v>
                </c:pt>
                <c:pt idx="19">
                  <c:v>-5.1579246426354628E-4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AA_T_pho_den!$A$11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AA_T_pho_den!$B$11:$U$11</c:f>
              <c:numCache>
                <c:formatCode>General</c:formatCode>
                <c:ptCount val="20"/>
                <c:pt idx="0">
                  <c:v>-3.119881897262138E-3</c:v>
                </c:pt>
                <c:pt idx="1">
                  <c:v>-2.2135181659428496E-3</c:v>
                </c:pt>
                <c:pt idx="2">
                  <c:v>-1.8345287700025554E-3</c:v>
                </c:pt>
                <c:pt idx="3">
                  <c:v>-1.4999091985308476E-3</c:v>
                </c:pt>
                <c:pt idx="4">
                  <c:v>-1.3535603168129057E-3</c:v>
                </c:pt>
                <c:pt idx="5">
                  <c:v>-1.1140950437845121E-3</c:v>
                </c:pt>
                <c:pt idx="6">
                  <c:v>-1.0243936046654401E-3</c:v>
                </c:pt>
                <c:pt idx="7">
                  <c:v>-8.6378280959166097E-4</c:v>
                </c:pt>
                <c:pt idx="8">
                  <c:v>-7.6459398686784389E-4</c:v>
                </c:pt>
                <c:pt idx="9">
                  <c:v>-7.4231542762594844E-4</c:v>
                </c:pt>
                <c:pt idx="10">
                  <c:v>-4.5012783542099457E-4</c:v>
                </c:pt>
                <c:pt idx="11">
                  <c:v>-3.7865561210253352E-4</c:v>
                </c:pt>
                <c:pt idx="12">
                  <c:v>-3.4265632024994965E-4</c:v>
                </c:pt>
                <c:pt idx="13">
                  <c:v>-2.5110247928980116E-4</c:v>
                </c:pt>
                <c:pt idx="14">
                  <c:v>-2.6300447119567873E-4</c:v>
                </c:pt>
                <c:pt idx="15">
                  <c:v>-2.6769830919529493E-4</c:v>
                </c:pt>
                <c:pt idx="16">
                  <c:v>-2.5462974406127779E-4</c:v>
                </c:pt>
                <c:pt idx="17">
                  <c:v>-2.4916210914028767E-4</c:v>
                </c:pt>
                <c:pt idx="18">
                  <c:v>-2.4148838980211243E-4</c:v>
                </c:pt>
                <c:pt idx="19">
                  <c:v>-2.4907908919469046E-4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AA_T_pho_den!$A$12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AA_T_pho_den!$B$12:$U$12</c:f>
              <c:numCache>
                <c:formatCode>General</c:formatCode>
                <c:ptCount val="20"/>
                <c:pt idx="0">
                  <c:v>-1.3863269433025984E-3</c:v>
                </c:pt>
                <c:pt idx="1">
                  <c:v>-1.0210692056329676E-3</c:v>
                </c:pt>
                <c:pt idx="2">
                  <c:v>-8.1687774774475449E-4</c:v>
                </c:pt>
                <c:pt idx="3">
                  <c:v>-6.8653965724582906E-4</c:v>
                </c:pt>
                <c:pt idx="4">
                  <c:v>-6.9654714116881779E-4</c:v>
                </c:pt>
                <c:pt idx="5">
                  <c:v>-6.1599629972247921E-4</c:v>
                </c:pt>
                <c:pt idx="6">
                  <c:v>-5.8961934603179544E-4</c:v>
                </c:pt>
                <c:pt idx="7">
                  <c:v>-6.1610065065367836E-4</c:v>
                </c:pt>
                <c:pt idx="8">
                  <c:v>-6.4980057827182395E-4</c:v>
                </c:pt>
                <c:pt idx="9">
                  <c:v>-6.3793901476435469E-4</c:v>
                </c:pt>
                <c:pt idx="10">
                  <c:v>-6.6589554446513336E-4</c:v>
                </c:pt>
                <c:pt idx="11">
                  <c:v>-5.7202970621207194E-4</c:v>
                </c:pt>
                <c:pt idx="12">
                  <c:v>-5.6927845224180595E-4</c:v>
                </c:pt>
                <c:pt idx="13">
                  <c:v>-5.7079904743630129E-4</c:v>
                </c:pt>
                <c:pt idx="14">
                  <c:v>-5.617715539348654E-4</c:v>
                </c:pt>
                <c:pt idx="15">
                  <c:v>-5.6688848374646724E-4</c:v>
                </c:pt>
                <c:pt idx="16">
                  <c:v>-5.9071575713810971E-4</c:v>
                </c:pt>
                <c:pt idx="17">
                  <c:v>-5.5482386722259731E-4</c:v>
                </c:pt>
                <c:pt idx="18">
                  <c:v>-5.5584879900163477E-4</c:v>
                </c:pt>
                <c:pt idx="19">
                  <c:v>-5.104116983655904E-4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AA_T_pho_den!$A$13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AA_T_pho_den!$B$13:$U$13</c:f>
              <c:numCache>
                <c:formatCode>General</c:formatCode>
                <c:ptCount val="20"/>
                <c:pt idx="0">
                  <c:v>-1.4574619486960008E-3</c:v>
                </c:pt>
                <c:pt idx="1">
                  <c:v>-9.6790477827942605E-4</c:v>
                </c:pt>
                <c:pt idx="2">
                  <c:v>-8.3957612142811645E-4</c:v>
                </c:pt>
                <c:pt idx="3">
                  <c:v>-6.8980842386795862E-4</c:v>
                </c:pt>
                <c:pt idx="4">
                  <c:v>-6.6475905312678304E-4</c:v>
                </c:pt>
                <c:pt idx="5">
                  <c:v>-6.5521210225294088E-4</c:v>
                </c:pt>
                <c:pt idx="6">
                  <c:v>-6.2233643215503791E-4</c:v>
                </c:pt>
                <c:pt idx="7">
                  <c:v>-5.9814495078728137E-4</c:v>
                </c:pt>
                <c:pt idx="8">
                  <c:v>-5.968439920356226E-4</c:v>
                </c:pt>
                <c:pt idx="9">
                  <c:v>-5.7582417573073753E-4</c:v>
                </c:pt>
                <c:pt idx="10">
                  <c:v>-6.0974440051220994E-4</c:v>
                </c:pt>
                <c:pt idx="11">
                  <c:v>-6.3505735641651334E-4</c:v>
                </c:pt>
                <c:pt idx="12">
                  <c:v>-6.0458198382654083E-4</c:v>
                </c:pt>
                <c:pt idx="13">
                  <c:v>-5.4766662280499598E-4</c:v>
                </c:pt>
                <c:pt idx="14">
                  <c:v>-5.9061374333562648E-4</c:v>
                </c:pt>
                <c:pt idx="15">
                  <c:v>-6.0979645537953986E-4</c:v>
                </c:pt>
                <c:pt idx="16">
                  <c:v>-6.2764503052293913E-4</c:v>
                </c:pt>
                <c:pt idx="17">
                  <c:v>-5.8689781676956156E-4</c:v>
                </c:pt>
                <c:pt idx="18">
                  <c:v>-5.7127535148201786E-4</c:v>
                </c:pt>
                <c:pt idx="19">
                  <c:v>-5.9362758427808989E-4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AA_T_pho_den!$A$14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AA_T_pho_den!$B$14:$U$14</c:f>
              <c:numCache>
                <c:formatCode>General</c:formatCode>
                <c:ptCount val="20"/>
                <c:pt idx="0">
                  <c:v>-1.3237089700371435E-3</c:v>
                </c:pt>
                <c:pt idx="1">
                  <c:v>-8.7977576282672666E-4</c:v>
                </c:pt>
                <c:pt idx="2">
                  <c:v>-7.0198089105548238E-4</c:v>
                </c:pt>
                <c:pt idx="3">
                  <c:v>-5.7380289682002514E-4</c:v>
                </c:pt>
                <c:pt idx="4">
                  <c:v>-5.2256897696078034E-4</c:v>
                </c:pt>
                <c:pt idx="5">
                  <c:v>-5.0818447394078154E-4</c:v>
                </c:pt>
                <c:pt idx="6">
                  <c:v>-4.9949080017808721E-4</c:v>
                </c:pt>
                <c:pt idx="7">
                  <c:v>-4.8225184606600084E-4</c:v>
                </c:pt>
                <c:pt idx="8">
                  <c:v>-4.9151403176753876E-4</c:v>
                </c:pt>
                <c:pt idx="9">
                  <c:v>-4.7743088130300463E-4</c:v>
                </c:pt>
                <c:pt idx="10">
                  <c:v>-4.5283755800392631E-4</c:v>
                </c:pt>
                <c:pt idx="11">
                  <c:v>-3.5563772770682341E-4</c:v>
                </c:pt>
                <c:pt idx="12">
                  <c:v>-3.5457212433913111E-4</c:v>
                </c:pt>
                <c:pt idx="13">
                  <c:v>-3.5877228567985525E-4</c:v>
                </c:pt>
                <c:pt idx="14">
                  <c:v>-3.468149197027105E-4</c:v>
                </c:pt>
                <c:pt idx="15">
                  <c:v>-3.5218990721721659E-4</c:v>
                </c:pt>
                <c:pt idx="16">
                  <c:v>-3.5325513835292636E-4</c:v>
                </c:pt>
                <c:pt idx="17">
                  <c:v>-3.8261492581890042E-4</c:v>
                </c:pt>
                <c:pt idx="18">
                  <c:v>-3.9698725993707264E-4</c:v>
                </c:pt>
                <c:pt idx="19">
                  <c:v>-3.8305472054752109E-4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AA_T_pho_den!$A$15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AA_T_pho_den!$B$15:$U$15</c:f>
              <c:numCache>
                <c:formatCode>General</c:formatCode>
                <c:ptCount val="20"/>
                <c:pt idx="0">
                  <c:v>-1.0694501135321806E-3</c:v>
                </c:pt>
                <c:pt idx="1">
                  <c:v>-9.5802166017638511E-4</c:v>
                </c:pt>
                <c:pt idx="2">
                  <c:v>-8.0163476087663618E-4</c:v>
                </c:pt>
                <c:pt idx="3">
                  <c:v>-7.4427227864718414E-4</c:v>
                </c:pt>
                <c:pt idx="4">
                  <c:v>-7.3031799167899085E-4</c:v>
                </c:pt>
                <c:pt idx="5">
                  <c:v>-7.110289428507861E-4</c:v>
                </c:pt>
                <c:pt idx="6">
                  <c:v>-7.326446377688712E-4</c:v>
                </c:pt>
                <c:pt idx="7">
                  <c:v>-7.1959537612904963E-4</c:v>
                </c:pt>
                <c:pt idx="8">
                  <c:v>-6.9594814249565519E-4</c:v>
                </c:pt>
                <c:pt idx="9">
                  <c:v>-7.0889676773121843E-4</c:v>
                </c:pt>
                <c:pt idx="10">
                  <c:v>-7.1929052299048602E-4</c:v>
                </c:pt>
                <c:pt idx="11">
                  <c:v>-7.2278062646672573E-4</c:v>
                </c:pt>
                <c:pt idx="12">
                  <c:v>-6.9288853312312194E-4</c:v>
                </c:pt>
                <c:pt idx="13">
                  <c:v>-6.8391439083837478E-4</c:v>
                </c:pt>
                <c:pt idx="14">
                  <c:v>-6.3368795281708756E-4</c:v>
                </c:pt>
                <c:pt idx="15">
                  <c:v>-6.1299309050232747E-4</c:v>
                </c:pt>
                <c:pt idx="16">
                  <c:v>-6.1892185301517361E-4</c:v>
                </c:pt>
                <c:pt idx="17">
                  <c:v>-6.286033064873156E-4</c:v>
                </c:pt>
                <c:pt idx="18">
                  <c:v>-6.3614693032582005E-4</c:v>
                </c:pt>
                <c:pt idx="19">
                  <c:v>-6.5382558914159805E-4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AA_T_pho_den!$A$16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AA_T_pho_den!$B$16:$U$16</c:f>
              <c:numCache>
                <c:formatCode>General</c:formatCode>
                <c:ptCount val="20"/>
                <c:pt idx="0">
                  <c:v>-3.3694997409988306E-3</c:v>
                </c:pt>
                <c:pt idx="1">
                  <c:v>-2.2474239151476158E-3</c:v>
                </c:pt>
                <c:pt idx="2">
                  <c:v>-1.4691499443665445E-3</c:v>
                </c:pt>
                <c:pt idx="3">
                  <c:v>-1.1469212419731908E-3</c:v>
                </c:pt>
                <c:pt idx="4">
                  <c:v>-9.7289687477650243E-4</c:v>
                </c:pt>
                <c:pt idx="5">
                  <c:v>-8.4611692881672097E-4</c:v>
                </c:pt>
                <c:pt idx="6">
                  <c:v>-7.9743992534411702E-4</c:v>
                </c:pt>
                <c:pt idx="7">
                  <c:v>-7.4130931609486014E-4</c:v>
                </c:pt>
                <c:pt idx="8">
                  <c:v>-7.3673081383147183E-4</c:v>
                </c:pt>
                <c:pt idx="9">
                  <c:v>-7.0046846030824973E-4</c:v>
                </c:pt>
                <c:pt idx="10">
                  <c:v>-6.9004834164145272E-4</c:v>
                </c:pt>
                <c:pt idx="11">
                  <c:v>-6.541190746005937E-4</c:v>
                </c:pt>
                <c:pt idx="12">
                  <c:v>-6.4608830012161643E-4</c:v>
                </c:pt>
                <c:pt idx="13">
                  <c:v>-6.3047276817408216E-4</c:v>
                </c:pt>
                <c:pt idx="14">
                  <c:v>-6.0473468668346768E-4</c:v>
                </c:pt>
                <c:pt idx="15">
                  <c:v>-5.4074589927867022E-4</c:v>
                </c:pt>
                <c:pt idx="16">
                  <c:v>-5.0810496855092935E-4</c:v>
                </c:pt>
                <c:pt idx="17">
                  <c:v>-5.361518660073624E-4</c:v>
                </c:pt>
                <c:pt idx="18">
                  <c:v>-5.4428519186450338E-4</c:v>
                </c:pt>
                <c:pt idx="19">
                  <c:v>-5.3785398603864226E-4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AA_T_pho_den!$A$17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AA_T_pho_den!$B$17:$U$17</c:f>
              <c:numCache>
                <c:formatCode>General</c:formatCode>
                <c:ptCount val="20"/>
                <c:pt idx="0">
                  <c:v>-3.4404251199094348E-3</c:v>
                </c:pt>
                <c:pt idx="1">
                  <c:v>-2.2720465358625447E-3</c:v>
                </c:pt>
                <c:pt idx="2">
                  <c:v>-1.4553996161420191E-3</c:v>
                </c:pt>
                <c:pt idx="3">
                  <c:v>-1.1424110827756382E-3</c:v>
                </c:pt>
                <c:pt idx="4">
                  <c:v>-1.0146285453362252E-3</c:v>
                </c:pt>
                <c:pt idx="5">
                  <c:v>-8.6298125921878172E-4</c:v>
                </c:pt>
                <c:pt idx="6">
                  <c:v>-8.4130369143571625E-4</c:v>
                </c:pt>
                <c:pt idx="7">
                  <c:v>-8.3029981524502887E-4</c:v>
                </c:pt>
                <c:pt idx="8">
                  <c:v>-7.6875287677178521E-4</c:v>
                </c:pt>
                <c:pt idx="9">
                  <c:v>-7.8652075565401936E-4</c:v>
                </c:pt>
                <c:pt idx="10">
                  <c:v>-7.999741463361195E-4</c:v>
                </c:pt>
                <c:pt idx="11">
                  <c:v>-6.7135511964754838E-4</c:v>
                </c:pt>
                <c:pt idx="12">
                  <c:v>-6.4769573385991955E-4</c:v>
                </c:pt>
                <c:pt idx="13">
                  <c:v>-6.6167363983852699E-4</c:v>
                </c:pt>
                <c:pt idx="14">
                  <c:v>-5.9950011893018372E-4</c:v>
                </c:pt>
                <c:pt idx="15">
                  <c:v>-6.3579321984814344E-4</c:v>
                </c:pt>
                <c:pt idx="16">
                  <c:v>-6.5130239203374009E-4</c:v>
                </c:pt>
                <c:pt idx="17">
                  <c:v>-6.5335574165624423E-4</c:v>
                </c:pt>
                <c:pt idx="18">
                  <c:v>-6.8292092151990948E-4</c:v>
                </c:pt>
                <c:pt idx="19">
                  <c:v>-7.0310674072647484E-4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AA_T_pho_den!$A$18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AA_T_pho_den!$B$18:$U$18</c:f>
              <c:numCache>
                <c:formatCode>General</c:formatCode>
                <c:ptCount val="20"/>
                <c:pt idx="0">
                  <c:v>-3.6616781386655866E-3</c:v>
                </c:pt>
                <c:pt idx="1">
                  <c:v>-2.6010037010804495E-3</c:v>
                </c:pt>
                <c:pt idx="2">
                  <c:v>-1.7594402453316349E-3</c:v>
                </c:pt>
                <c:pt idx="3">
                  <c:v>-1.3916772713420656E-3</c:v>
                </c:pt>
                <c:pt idx="4">
                  <c:v>-1.3118974242372016E-3</c:v>
                </c:pt>
                <c:pt idx="5">
                  <c:v>-1.190051901145012E-3</c:v>
                </c:pt>
                <c:pt idx="6">
                  <c:v>-1.1376057057598994E-3</c:v>
                </c:pt>
                <c:pt idx="7">
                  <c:v>-1.0647458767652916E-3</c:v>
                </c:pt>
                <c:pt idx="8">
                  <c:v>-1.1469069953718354E-3</c:v>
                </c:pt>
                <c:pt idx="9">
                  <c:v>-1.1245969684616241E-3</c:v>
                </c:pt>
                <c:pt idx="10">
                  <c:v>-1.1053590446566221E-3</c:v>
                </c:pt>
                <c:pt idx="11">
                  <c:v>-1.0833879358999772E-3</c:v>
                </c:pt>
                <c:pt idx="12">
                  <c:v>-1.0474766362792451E-3</c:v>
                </c:pt>
                <c:pt idx="13">
                  <c:v>-9.8292010738841086E-4</c:v>
                </c:pt>
                <c:pt idx="14">
                  <c:v>-9.355840725080853E-4</c:v>
                </c:pt>
                <c:pt idx="15">
                  <c:v>-8.4155499218397723E-4</c:v>
                </c:pt>
                <c:pt idx="16">
                  <c:v>-8.6604167472602777E-4</c:v>
                </c:pt>
                <c:pt idx="17">
                  <c:v>-8.9948711634499671E-4</c:v>
                </c:pt>
                <c:pt idx="18">
                  <c:v>-9.4375075859299802E-4</c:v>
                </c:pt>
                <c:pt idx="19">
                  <c:v>-9.0885463337482899E-4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AA_T_pho_den!$A$19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AA_T_pho_den!$B$19:$U$19</c:f>
              <c:numCache>
                <c:formatCode>General</c:formatCode>
                <c:ptCount val="20"/>
                <c:pt idx="0">
                  <c:v>-2.5068202607148741E-3</c:v>
                </c:pt>
                <c:pt idx="1">
                  <c:v>-1.8928902334077592E-3</c:v>
                </c:pt>
                <c:pt idx="2">
                  <c:v>-1.2181748454283066E-3</c:v>
                </c:pt>
                <c:pt idx="3">
                  <c:v>-9.3745089583035113E-4</c:v>
                </c:pt>
                <c:pt idx="4">
                  <c:v>-7.9051371792933432E-4</c:v>
                </c:pt>
                <c:pt idx="5">
                  <c:v>-6.5201405202356582E-4</c:v>
                </c:pt>
                <c:pt idx="6">
                  <c:v>-6.1702303103938066E-4</c:v>
                </c:pt>
                <c:pt idx="7">
                  <c:v>-5.6820809595881517E-4</c:v>
                </c:pt>
                <c:pt idx="8">
                  <c:v>-5.2104074520474032E-4</c:v>
                </c:pt>
                <c:pt idx="9">
                  <c:v>-4.9245316824642082E-4</c:v>
                </c:pt>
                <c:pt idx="10">
                  <c:v>-4.9432289851904178E-4</c:v>
                </c:pt>
                <c:pt idx="11">
                  <c:v>-4.8981562345118618E-4</c:v>
                </c:pt>
                <c:pt idx="12">
                  <c:v>-4.4095604553510129E-4</c:v>
                </c:pt>
                <c:pt idx="13">
                  <c:v>-4.2444027014374098E-4</c:v>
                </c:pt>
                <c:pt idx="14">
                  <c:v>-4.1125618059470605E-4</c:v>
                </c:pt>
                <c:pt idx="15">
                  <c:v>-3.8794014548977949E-4</c:v>
                </c:pt>
                <c:pt idx="16">
                  <c:v>-3.8794940068488263E-4</c:v>
                </c:pt>
                <c:pt idx="17">
                  <c:v>-3.8450519461748943E-4</c:v>
                </c:pt>
                <c:pt idx="18">
                  <c:v>-3.8440990572898422E-4</c:v>
                </c:pt>
                <c:pt idx="19">
                  <c:v>-3.9074079977319482E-4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AA_T_pho_den!$A$20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AA_T_pho_den!$B$20:$U$20</c:f>
              <c:numCache>
                <c:formatCode>General</c:formatCode>
                <c:ptCount val="20"/>
                <c:pt idx="0">
                  <c:v>-2.3828105888662487E-3</c:v>
                </c:pt>
                <c:pt idx="1">
                  <c:v>-1.816160460965506E-3</c:v>
                </c:pt>
                <c:pt idx="2">
                  <c:v>-1.0694385020708294E-3</c:v>
                </c:pt>
                <c:pt idx="3">
                  <c:v>-7.8245720162680918E-4</c:v>
                </c:pt>
                <c:pt idx="4">
                  <c:v>-6.5844466094401111E-4</c:v>
                </c:pt>
                <c:pt idx="5">
                  <c:v>-4.8895555528641387E-4</c:v>
                </c:pt>
                <c:pt idx="6">
                  <c:v>-4.9316473716991759E-4</c:v>
                </c:pt>
                <c:pt idx="7">
                  <c:v>-4.7868179901527257E-4</c:v>
                </c:pt>
                <c:pt idx="8">
                  <c:v>-4.2712974809193979E-4</c:v>
                </c:pt>
                <c:pt idx="9">
                  <c:v>-4.0122028661909525E-4</c:v>
                </c:pt>
                <c:pt idx="10">
                  <c:v>-4.338130161590825E-4</c:v>
                </c:pt>
                <c:pt idx="11">
                  <c:v>-4.2705006017505569E-4</c:v>
                </c:pt>
                <c:pt idx="12">
                  <c:v>-4.1986827638843124E-4</c:v>
                </c:pt>
                <c:pt idx="13">
                  <c:v>-4.1174610259015008E-4</c:v>
                </c:pt>
                <c:pt idx="14">
                  <c:v>-4.1579390782120744E-4</c:v>
                </c:pt>
                <c:pt idx="15">
                  <c:v>-4.1504931772473418E-4</c:v>
                </c:pt>
                <c:pt idx="16">
                  <c:v>-3.5584382864405967E-4</c:v>
                </c:pt>
                <c:pt idx="17">
                  <c:v>-3.7128647653651112E-4</c:v>
                </c:pt>
                <c:pt idx="18">
                  <c:v>-3.8745947967483836E-4</c:v>
                </c:pt>
                <c:pt idx="19">
                  <c:v>-3.8484576140554867E-4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AA_T_pho_den!$A$21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AA_T_pho_den!$B$21:$U$21</c:f>
              <c:numCache>
                <c:formatCode>General</c:formatCode>
                <c:ptCount val="20"/>
                <c:pt idx="0">
                  <c:v>-2.4083686056635659E-3</c:v>
                </c:pt>
                <c:pt idx="1">
                  <c:v>-1.844031735488818E-3</c:v>
                </c:pt>
                <c:pt idx="2">
                  <c:v>-1.0962464871386811E-3</c:v>
                </c:pt>
                <c:pt idx="3">
                  <c:v>-7.8313578936232216E-4</c:v>
                </c:pt>
                <c:pt idx="4">
                  <c:v>-6.5032972447161969E-4</c:v>
                </c:pt>
                <c:pt idx="5">
                  <c:v>-5.2392252652554529E-4</c:v>
                </c:pt>
                <c:pt idx="6">
                  <c:v>-5.0346260401560011E-4</c:v>
                </c:pt>
                <c:pt idx="7">
                  <c:v>-4.7804013566801393E-4</c:v>
                </c:pt>
                <c:pt idx="8">
                  <c:v>-4.5668571181319662E-4</c:v>
                </c:pt>
                <c:pt idx="9">
                  <c:v>-4.3511325231941682E-4</c:v>
                </c:pt>
                <c:pt idx="10">
                  <c:v>-4.632252648165921E-4</c:v>
                </c:pt>
                <c:pt idx="11">
                  <c:v>-4.61139822192579E-4</c:v>
                </c:pt>
                <c:pt idx="12">
                  <c:v>-4.2297575470732275E-4</c:v>
                </c:pt>
                <c:pt idx="13">
                  <c:v>-4.1183642735420173E-4</c:v>
                </c:pt>
                <c:pt idx="14">
                  <c:v>-4.1355501845797286E-4</c:v>
                </c:pt>
                <c:pt idx="15">
                  <c:v>-3.9973036394342086E-4</c:v>
                </c:pt>
                <c:pt idx="16">
                  <c:v>-3.8453921095318747E-4</c:v>
                </c:pt>
                <c:pt idx="17">
                  <c:v>-3.7201470109425919E-4</c:v>
                </c:pt>
                <c:pt idx="18">
                  <c:v>-3.736885188434522E-4</c:v>
                </c:pt>
                <c:pt idx="19">
                  <c:v>-3.8164591371419421E-4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AA_T_pho_den!$A$22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AA_T_pho_den!$B$22:$U$22</c:f>
              <c:numCache>
                <c:formatCode>General</c:formatCode>
                <c:ptCount val="20"/>
                <c:pt idx="0">
                  <c:v>-2.3365067272640432E-3</c:v>
                </c:pt>
                <c:pt idx="1">
                  <c:v>-1.7546593091756603E-3</c:v>
                </c:pt>
                <c:pt idx="2">
                  <c:v>-1.0426293648910507E-3</c:v>
                </c:pt>
                <c:pt idx="3">
                  <c:v>-7.7289519654691146E-4</c:v>
                </c:pt>
                <c:pt idx="4">
                  <c:v>-6.4373878093665566E-4</c:v>
                </c:pt>
                <c:pt idx="5">
                  <c:v>-5.1874058458533973E-4</c:v>
                </c:pt>
                <c:pt idx="6">
                  <c:v>-4.7582249998785048E-4</c:v>
                </c:pt>
                <c:pt idx="7">
                  <c:v>-4.3936039542780803E-4</c:v>
                </c:pt>
                <c:pt idx="8">
                  <c:v>-3.9611544895808528E-4</c:v>
                </c:pt>
                <c:pt idx="9">
                  <c:v>-3.8674254189098969E-4</c:v>
                </c:pt>
                <c:pt idx="10">
                  <c:v>-4.3112727523886746E-4</c:v>
                </c:pt>
                <c:pt idx="11">
                  <c:v>-4.3897768342329615E-4</c:v>
                </c:pt>
                <c:pt idx="12">
                  <c:v>-4.2379936438202611E-4</c:v>
                </c:pt>
                <c:pt idx="13">
                  <c:v>-4.3753806639143376E-4</c:v>
                </c:pt>
                <c:pt idx="14">
                  <c:v>-4.1491204667999773E-4</c:v>
                </c:pt>
                <c:pt idx="15">
                  <c:v>-3.9330586214252836E-4</c:v>
                </c:pt>
                <c:pt idx="16">
                  <c:v>-3.8517213139837409E-4</c:v>
                </c:pt>
                <c:pt idx="17">
                  <c:v>-3.8960040112098987E-4</c:v>
                </c:pt>
                <c:pt idx="18">
                  <c:v>-4.0631262667511299E-4</c:v>
                </c:pt>
                <c:pt idx="19">
                  <c:v>-4.2142298306881365E-4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AA_T_pho_den!$A$23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AA_T_pho_den!$B$23:$U$23</c:f>
              <c:numCache>
                <c:formatCode>General</c:formatCode>
                <c:ptCount val="20"/>
                <c:pt idx="0">
                  <c:v>-2.3657171179965529E-3</c:v>
                </c:pt>
                <c:pt idx="1">
                  <c:v>-1.8081831667970285E-3</c:v>
                </c:pt>
                <c:pt idx="2">
                  <c:v>-1.0651885228579717E-3</c:v>
                </c:pt>
                <c:pt idx="3">
                  <c:v>-7.7657386378135614E-4</c:v>
                </c:pt>
                <c:pt idx="4">
                  <c:v>-6.2665481031942889E-4</c:v>
                </c:pt>
                <c:pt idx="5">
                  <c:v>-4.9890585970234231E-4</c:v>
                </c:pt>
                <c:pt idx="6">
                  <c:v>-4.9738878372920022E-4</c:v>
                </c:pt>
                <c:pt idx="7">
                  <c:v>-4.4630061094641418E-4</c:v>
                </c:pt>
                <c:pt idx="8">
                  <c:v>-4.2121083124229552E-4</c:v>
                </c:pt>
                <c:pt idx="9">
                  <c:v>-3.8869573400763065E-4</c:v>
                </c:pt>
                <c:pt idx="10">
                  <c:v>-4.3295718686823864E-4</c:v>
                </c:pt>
                <c:pt idx="11">
                  <c:v>-4.2954035205329403E-4</c:v>
                </c:pt>
                <c:pt idx="12">
                  <c:v>-4.0797551932487242E-4</c:v>
                </c:pt>
                <c:pt idx="13">
                  <c:v>-4.1359081469895844E-4</c:v>
                </c:pt>
                <c:pt idx="14">
                  <c:v>-4.2050079085094872E-4</c:v>
                </c:pt>
                <c:pt idx="15">
                  <c:v>-3.9942964258151201E-4</c:v>
                </c:pt>
                <c:pt idx="16">
                  <c:v>-3.8085671503491355E-4</c:v>
                </c:pt>
                <c:pt idx="17">
                  <c:v>-3.9520172924986018E-4</c:v>
                </c:pt>
                <c:pt idx="18">
                  <c:v>-3.8902353995816591E-4</c:v>
                </c:pt>
                <c:pt idx="19">
                  <c:v>-3.7338845526600138E-4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AA_T_pho_den!$A$24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AA_T_pho_den!$B$24:$U$24</c:f>
              <c:numCache>
                <c:formatCode>General</c:formatCode>
                <c:ptCount val="20"/>
                <c:pt idx="0">
                  <c:v>-2.3800870612141066E-3</c:v>
                </c:pt>
                <c:pt idx="1">
                  <c:v>-1.8103656743422311E-3</c:v>
                </c:pt>
                <c:pt idx="2">
                  <c:v>-1.0907816379568834E-3</c:v>
                </c:pt>
                <c:pt idx="3">
                  <c:v>-8.2120878046137514E-4</c:v>
                </c:pt>
                <c:pt idx="4">
                  <c:v>-6.885592640764772E-4</c:v>
                </c:pt>
                <c:pt idx="5">
                  <c:v>-5.6426938683803985E-4</c:v>
                </c:pt>
                <c:pt idx="6">
                  <c:v>-5.1496923208430901E-4</c:v>
                </c:pt>
                <c:pt idx="7">
                  <c:v>-5.0101375979323757E-4</c:v>
                </c:pt>
                <c:pt idx="8">
                  <c:v>-4.5201651668935305E-4</c:v>
                </c:pt>
                <c:pt idx="9">
                  <c:v>-4.3894563935342512E-4</c:v>
                </c:pt>
                <c:pt idx="10">
                  <c:v>-4.5758306270876056E-4</c:v>
                </c:pt>
                <c:pt idx="11">
                  <c:v>-4.7008502424549143E-4</c:v>
                </c:pt>
                <c:pt idx="12">
                  <c:v>-4.3215204834356737E-4</c:v>
                </c:pt>
                <c:pt idx="13">
                  <c:v>-4.1215952514817738E-4</c:v>
                </c:pt>
                <c:pt idx="14">
                  <c:v>-4.0095196400116587E-4</c:v>
                </c:pt>
                <c:pt idx="15">
                  <c:v>-4.050237683132853E-4</c:v>
                </c:pt>
                <c:pt idx="16">
                  <c:v>-3.913220242766266E-4</c:v>
                </c:pt>
                <c:pt idx="17">
                  <c:v>-4.092403789802408E-4</c:v>
                </c:pt>
                <c:pt idx="18">
                  <c:v>-4.2385242344891244E-4</c:v>
                </c:pt>
                <c:pt idx="19">
                  <c:v>-4.135762011725249E-4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AA_T_pho_den!$A$25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AA_T_pho_den!$B$25:$U$25</c:f>
              <c:numCache>
                <c:formatCode>General</c:formatCode>
                <c:ptCount val="20"/>
                <c:pt idx="0">
                  <c:v>-2.4116605622651862E-3</c:v>
                </c:pt>
                <c:pt idx="1">
                  <c:v>-1.8722822172162019E-3</c:v>
                </c:pt>
                <c:pt idx="2">
                  <c:v>-1.1355012201811137E-3</c:v>
                </c:pt>
                <c:pt idx="3">
                  <c:v>-8.2532894064671694E-4</c:v>
                </c:pt>
                <c:pt idx="4">
                  <c:v>-6.9938793102366592E-4</c:v>
                </c:pt>
                <c:pt idx="5">
                  <c:v>-5.6996752126048974E-4</c:v>
                </c:pt>
                <c:pt idx="6">
                  <c:v>-5.3379551758406382E-4</c:v>
                </c:pt>
                <c:pt idx="7">
                  <c:v>-5.0594504878774234E-4</c:v>
                </c:pt>
                <c:pt idx="8">
                  <c:v>-4.5883875434584765E-4</c:v>
                </c:pt>
                <c:pt idx="9">
                  <c:v>-4.2536633676509795E-4</c:v>
                </c:pt>
                <c:pt idx="10">
                  <c:v>-4.2235022684312978E-4</c:v>
                </c:pt>
                <c:pt idx="11">
                  <c:v>-4.4266680488874537E-4</c:v>
                </c:pt>
                <c:pt idx="12">
                  <c:v>-3.7624802298619322E-4</c:v>
                </c:pt>
                <c:pt idx="13">
                  <c:v>-3.7565017236013365E-4</c:v>
                </c:pt>
                <c:pt idx="14">
                  <c:v>-3.6067754926130289E-4</c:v>
                </c:pt>
                <c:pt idx="15">
                  <c:v>-3.7915945882304949E-4</c:v>
                </c:pt>
                <c:pt idx="16">
                  <c:v>-3.8011969854997681E-4</c:v>
                </c:pt>
                <c:pt idx="17">
                  <c:v>-3.8106792467580106E-4</c:v>
                </c:pt>
                <c:pt idx="18">
                  <c:v>-3.926539549135197E-4</c:v>
                </c:pt>
                <c:pt idx="19">
                  <c:v>-3.6045438873415474E-4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AA_T_pho_den!$A$26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AA_T_pho_den!$B$26:$U$26</c:f>
              <c:numCache>
                <c:formatCode>General</c:formatCode>
                <c:ptCount val="20"/>
                <c:pt idx="0">
                  <c:v>-3.4742600487136462E-3</c:v>
                </c:pt>
                <c:pt idx="1">
                  <c:v>-2.2839617903794521E-3</c:v>
                </c:pt>
                <c:pt idx="2">
                  <c:v>-1.2971405725494586E-3</c:v>
                </c:pt>
                <c:pt idx="3">
                  <c:v>-9.7084540962381362E-4</c:v>
                </c:pt>
                <c:pt idx="4">
                  <c:v>-7.6108949309735717E-4</c:v>
                </c:pt>
                <c:pt idx="5">
                  <c:v>-6.1424253245767342E-4</c:v>
                </c:pt>
                <c:pt idx="6">
                  <c:v>-5.7076714094674345E-4</c:v>
                </c:pt>
                <c:pt idx="7">
                  <c:v>-4.6004287495845771E-4</c:v>
                </c:pt>
                <c:pt idx="8">
                  <c:v>-4.8604891474844961E-4</c:v>
                </c:pt>
                <c:pt idx="9">
                  <c:v>-4.109632809510629E-4</c:v>
                </c:pt>
                <c:pt idx="10">
                  <c:v>-4.2259481759982463E-4</c:v>
                </c:pt>
                <c:pt idx="11">
                  <c:v>-4.1984265960922474E-4</c:v>
                </c:pt>
                <c:pt idx="12">
                  <c:v>-3.5295527298345275E-4</c:v>
                </c:pt>
                <c:pt idx="13">
                  <c:v>-3.6294697546121089E-4</c:v>
                </c:pt>
                <c:pt idx="14">
                  <c:v>-3.1863364138168281E-4</c:v>
                </c:pt>
                <c:pt idx="15">
                  <c:v>-3.3783525033470813E-4</c:v>
                </c:pt>
                <c:pt idx="16">
                  <c:v>-3.3636579349524573E-4</c:v>
                </c:pt>
                <c:pt idx="17">
                  <c:v>-3.2622875212429798E-4</c:v>
                </c:pt>
                <c:pt idx="18">
                  <c:v>-3.3588727024524008E-4</c:v>
                </c:pt>
                <c:pt idx="19">
                  <c:v>-3.3173287669945902E-4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AA_T_pho_den!$A$27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AA_T_pho_den!$B$27:$U$27</c:f>
              <c:numCache>
                <c:formatCode>General</c:formatCode>
                <c:ptCount val="20"/>
                <c:pt idx="0">
                  <c:v>-2.5258746214382988E-3</c:v>
                </c:pt>
                <c:pt idx="1">
                  <c:v>-1.929066845330851E-3</c:v>
                </c:pt>
                <c:pt idx="2">
                  <c:v>-1.1831557257994541E-3</c:v>
                </c:pt>
                <c:pt idx="3">
                  <c:v>-9.1174585485287343E-4</c:v>
                </c:pt>
                <c:pt idx="4">
                  <c:v>-7.6376993168450144E-4</c:v>
                </c:pt>
                <c:pt idx="5">
                  <c:v>-6.3962055410019274E-4</c:v>
                </c:pt>
                <c:pt idx="6">
                  <c:v>-6.0757848805886188E-4</c:v>
                </c:pt>
                <c:pt idx="7">
                  <c:v>-5.5391744646039157E-4</c:v>
                </c:pt>
                <c:pt idx="8">
                  <c:v>-5.6036403008459599E-4</c:v>
                </c:pt>
                <c:pt idx="9">
                  <c:v>-4.9160532992768662E-4</c:v>
                </c:pt>
                <c:pt idx="10">
                  <c:v>-5.0868089533482349E-4</c:v>
                </c:pt>
                <c:pt idx="11">
                  <c:v>-4.7607143770112974E-4</c:v>
                </c:pt>
                <c:pt idx="12">
                  <c:v>-4.4205925841590002E-4</c:v>
                </c:pt>
                <c:pt idx="13">
                  <c:v>-4.3901364319943342E-4</c:v>
                </c:pt>
                <c:pt idx="14">
                  <c:v>-4.4099496649875093E-4</c:v>
                </c:pt>
                <c:pt idx="15">
                  <c:v>-4.4406639999937261E-4</c:v>
                </c:pt>
                <c:pt idx="16">
                  <c:v>-4.4930826310979148E-4</c:v>
                </c:pt>
                <c:pt idx="17">
                  <c:v>-4.0522479631861867E-4</c:v>
                </c:pt>
                <c:pt idx="18">
                  <c:v>-4.2200749095603707E-4</c:v>
                </c:pt>
                <c:pt idx="19">
                  <c:v>-4.0870371088268692E-4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AA_T_pho_den!$A$28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AA_T_pho_den!$B$28:$U$28</c:f>
              <c:numCache>
                <c:formatCode>General</c:formatCode>
                <c:ptCount val="20"/>
                <c:pt idx="0">
                  <c:v>-2.457612318200064E-3</c:v>
                </c:pt>
                <c:pt idx="1">
                  <c:v>-1.9110303633920972E-3</c:v>
                </c:pt>
                <c:pt idx="2">
                  <c:v>-1.1677324156085303E-3</c:v>
                </c:pt>
                <c:pt idx="3">
                  <c:v>-8.9614053588712723E-4</c:v>
                </c:pt>
                <c:pt idx="4">
                  <c:v>-7.4631994781005555E-4</c:v>
                </c:pt>
                <c:pt idx="5">
                  <c:v>-6.2911262104158603E-4</c:v>
                </c:pt>
                <c:pt idx="6">
                  <c:v>-5.7397060614513076E-4</c:v>
                </c:pt>
                <c:pt idx="7">
                  <c:v>-5.5187437305033503E-4</c:v>
                </c:pt>
                <c:pt idx="8">
                  <c:v>-5.3882544729170513E-4</c:v>
                </c:pt>
                <c:pt idx="9">
                  <c:v>-4.5358437796716255E-4</c:v>
                </c:pt>
                <c:pt idx="10">
                  <c:v>-4.4845143910141223E-4</c:v>
                </c:pt>
                <c:pt idx="11">
                  <c:v>-4.3054513908961185E-4</c:v>
                </c:pt>
                <c:pt idx="12">
                  <c:v>-3.9753224687183295E-4</c:v>
                </c:pt>
                <c:pt idx="13">
                  <c:v>-3.7719024588431921E-4</c:v>
                </c:pt>
                <c:pt idx="14">
                  <c:v>-3.6601891277093101E-4</c:v>
                </c:pt>
                <c:pt idx="15">
                  <c:v>-3.7295199659736919E-4</c:v>
                </c:pt>
                <c:pt idx="16">
                  <c:v>-3.6621817425603969E-4</c:v>
                </c:pt>
                <c:pt idx="17">
                  <c:v>-3.7487642086159135E-4</c:v>
                </c:pt>
                <c:pt idx="18">
                  <c:v>-4.0065142269506761E-4</c:v>
                </c:pt>
                <c:pt idx="19">
                  <c:v>-3.9251044606363839E-4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AA_T_pho_den!$A$29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AA_T_pho_den!$B$29:$U$29</c:f>
              <c:numCache>
                <c:formatCode>General</c:formatCode>
                <c:ptCount val="20"/>
                <c:pt idx="0">
                  <c:v>-2.4974977231828227E-3</c:v>
                </c:pt>
                <c:pt idx="1">
                  <c:v>-2.0055055623847116E-3</c:v>
                </c:pt>
                <c:pt idx="2">
                  <c:v>-1.3385170544675078E-3</c:v>
                </c:pt>
                <c:pt idx="3">
                  <c:v>-1.0715943375740466E-3</c:v>
                </c:pt>
                <c:pt idx="4">
                  <c:v>-9.1724424371284992E-4</c:v>
                </c:pt>
                <c:pt idx="5">
                  <c:v>-8.343778993012246E-4</c:v>
                </c:pt>
                <c:pt idx="6">
                  <c:v>-8.3104861450216294E-4</c:v>
                </c:pt>
                <c:pt idx="7">
                  <c:v>-7.7246654666487274E-4</c:v>
                </c:pt>
                <c:pt idx="8">
                  <c:v>-7.4195675726034872E-4</c:v>
                </c:pt>
                <c:pt idx="9">
                  <c:v>-6.9132699451848376E-4</c:v>
                </c:pt>
                <c:pt idx="10">
                  <c:v>-6.2724746443911157E-4</c:v>
                </c:pt>
                <c:pt idx="11">
                  <c:v>-5.7429943573238053E-4</c:v>
                </c:pt>
                <c:pt idx="12">
                  <c:v>-5.6925574564671588E-4</c:v>
                </c:pt>
                <c:pt idx="13">
                  <c:v>-5.5096184980863566E-4</c:v>
                </c:pt>
                <c:pt idx="14">
                  <c:v>-5.5226027919749786E-4</c:v>
                </c:pt>
                <c:pt idx="15">
                  <c:v>-5.4909016819658938E-4</c:v>
                </c:pt>
                <c:pt idx="16">
                  <c:v>-4.7843874620327704E-4</c:v>
                </c:pt>
                <c:pt idx="17">
                  <c:v>-4.5665945326446415E-4</c:v>
                </c:pt>
                <c:pt idx="18">
                  <c:v>-4.7554266419134658E-4</c:v>
                </c:pt>
                <c:pt idx="19">
                  <c:v>-4.4817339819971821E-4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AA_T_pho_den!$A$30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AA_T_pho_den!$B$30:$U$30</c:f>
              <c:numCache>
                <c:formatCode>General</c:formatCode>
                <c:ptCount val="20"/>
                <c:pt idx="0">
                  <c:v>-2.1194328780463475E-3</c:v>
                </c:pt>
                <c:pt idx="1">
                  <c:v>-1.5142165121175537E-3</c:v>
                </c:pt>
                <c:pt idx="2">
                  <c:v>-7.9828340453575678E-4</c:v>
                </c:pt>
                <c:pt idx="3">
                  <c:v>-6.367481333954142E-4</c:v>
                </c:pt>
                <c:pt idx="4">
                  <c:v>-5.5711373776951554E-4</c:v>
                </c:pt>
                <c:pt idx="5">
                  <c:v>-4.1889322814680694E-4</c:v>
                </c:pt>
                <c:pt idx="6">
                  <c:v>-3.4818652011266653E-4</c:v>
                </c:pt>
                <c:pt idx="7">
                  <c:v>-3.1361270521139525E-4</c:v>
                </c:pt>
                <c:pt idx="8">
                  <c:v>-3.0315804836428137E-4</c:v>
                </c:pt>
                <c:pt idx="9">
                  <c:v>-2.7503256336643876E-4</c:v>
                </c:pt>
                <c:pt idx="10">
                  <c:v>-2.9510647575112654E-4</c:v>
                </c:pt>
                <c:pt idx="11">
                  <c:v>-2.8539889981867494E-4</c:v>
                </c:pt>
                <c:pt idx="12">
                  <c:v>-2.6339058939116295E-4</c:v>
                </c:pt>
                <c:pt idx="13">
                  <c:v>-2.5091358859029132E-4</c:v>
                </c:pt>
                <c:pt idx="14">
                  <c:v>-2.5256866866072981E-4</c:v>
                </c:pt>
                <c:pt idx="15">
                  <c:v>-2.5508194261359091E-4</c:v>
                </c:pt>
                <c:pt idx="16">
                  <c:v>-2.6539337701618737E-4</c:v>
                </c:pt>
                <c:pt idx="17">
                  <c:v>-2.8035704475084692E-4</c:v>
                </c:pt>
                <c:pt idx="18">
                  <c:v>-2.7739386400850777E-4</c:v>
                </c:pt>
                <c:pt idx="19">
                  <c:v>-2.8557447588533941E-4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AA_T_pho_den!$A$31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AA_T_pho_den!$B$31:$U$31</c:f>
              <c:numCache>
                <c:formatCode>General</c:formatCode>
                <c:ptCount val="20"/>
                <c:pt idx="0">
                  <c:v>-2.6657076460893381E-3</c:v>
                </c:pt>
                <c:pt idx="1">
                  <c:v>-2.429873974759857E-3</c:v>
                </c:pt>
                <c:pt idx="2">
                  <c:v>-2.2622219312086146E-3</c:v>
                </c:pt>
                <c:pt idx="3">
                  <c:v>-2.1489859323847692E-3</c:v>
                </c:pt>
                <c:pt idx="4">
                  <c:v>-2.0712478055517807E-3</c:v>
                </c:pt>
                <c:pt idx="5">
                  <c:v>-1.8964048125590712E-3</c:v>
                </c:pt>
                <c:pt idx="6">
                  <c:v>-1.926878872708758E-3</c:v>
                </c:pt>
                <c:pt idx="7">
                  <c:v>-1.928768031288269E-3</c:v>
                </c:pt>
                <c:pt idx="8">
                  <c:v>-1.9137418378620387E-3</c:v>
                </c:pt>
                <c:pt idx="9">
                  <c:v>-1.848368063927964E-3</c:v>
                </c:pt>
                <c:pt idx="10">
                  <c:v>-1.852820063433291E-3</c:v>
                </c:pt>
                <c:pt idx="11">
                  <c:v>-1.8749845480209107E-3</c:v>
                </c:pt>
                <c:pt idx="12">
                  <c:v>-1.9206428865795452E-3</c:v>
                </c:pt>
                <c:pt idx="13">
                  <c:v>-1.9727117589552765E-3</c:v>
                </c:pt>
                <c:pt idx="14">
                  <c:v>-1.9817899102580819E-3</c:v>
                </c:pt>
                <c:pt idx="15">
                  <c:v>-1.9513080653194438E-3</c:v>
                </c:pt>
                <c:pt idx="16">
                  <c:v>-1.8564805660829862E-3</c:v>
                </c:pt>
                <c:pt idx="17">
                  <c:v>-1.8682407060272945E-3</c:v>
                </c:pt>
                <c:pt idx="18">
                  <c:v>-1.8370855397183453E-3</c:v>
                </c:pt>
                <c:pt idx="19">
                  <c:v>-1.8786073019644545E-3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AA_T_pho_den!$A$32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AA_T_pho_den!$B$32:$U$32</c:f>
              <c:numCache>
                <c:formatCode>General</c:formatCode>
                <c:ptCount val="20"/>
                <c:pt idx="0">
                  <c:v>-2.8033015570135601E-3</c:v>
                </c:pt>
                <c:pt idx="1">
                  <c:v>-1.7304211840595309E-3</c:v>
                </c:pt>
                <c:pt idx="2">
                  <c:v>-8.4706933951752053E-4</c:v>
                </c:pt>
                <c:pt idx="3">
                  <c:v>-5.3301264239249968E-4</c:v>
                </c:pt>
                <c:pt idx="4">
                  <c:v>-4.3038336434799134E-4</c:v>
                </c:pt>
                <c:pt idx="5">
                  <c:v>-3.687723435589768E-4</c:v>
                </c:pt>
                <c:pt idx="6">
                  <c:v>-3.0513288175693619E-4</c:v>
                </c:pt>
                <c:pt idx="7">
                  <c:v>-2.6263721657811419E-4</c:v>
                </c:pt>
                <c:pt idx="8">
                  <c:v>-2.4152969348894635E-4</c:v>
                </c:pt>
                <c:pt idx="9">
                  <c:v>-1.9138207770204662E-4</c:v>
                </c:pt>
                <c:pt idx="10">
                  <c:v>-1.6686101939490422E-4</c:v>
                </c:pt>
                <c:pt idx="11">
                  <c:v>-1.4763938158543564E-4</c:v>
                </c:pt>
                <c:pt idx="12">
                  <c:v>-1.2224848554950003E-4</c:v>
                </c:pt>
                <c:pt idx="13">
                  <c:v>-1.213180872504558E-4</c:v>
                </c:pt>
                <c:pt idx="14">
                  <c:v>-8.9418183798364579E-5</c:v>
                </c:pt>
                <c:pt idx="15">
                  <c:v>-9.719572651854226E-5</c:v>
                </c:pt>
                <c:pt idx="16">
                  <c:v>-7.3132800619561835E-5</c:v>
                </c:pt>
                <c:pt idx="17">
                  <c:v>-8.2245794518773739E-5</c:v>
                </c:pt>
                <c:pt idx="18">
                  <c:v>-9.2114460469592109E-5</c:v>
                </c:pt>
                <c:pt idx="19">
                  <c:v>-8.4792016622048177E-5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AA_T_pho_den!$A$33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AA_T_pho_den!$B$33:$U$33</c:f>
              <c:numCache>
                <c:formatCode>General</c:formatCode>
                <c:ptCount val="20"/>
                <c:pt idx="0">
                  <c:v>-2.6294745922336299E-3</c:v>
                </c:pt>
                <c:pt idx="1">
                  <c:v>-1.5094949299016599E-3</c:v>
                </c:pt>
                <c:pt idx="2">
                  <c:v>-8.7923769729550698E-4</c:v>
                </c:pt>
                <c:pt idx="3">
                  <c:v>-5.8917129667006741E-4</c:v>
                </c:pt>
                <c:pt idx="4">
                  <c:v>-5.4122324419620109E-4</c:v>
                </c:pt>
                <c:pt idx="5">
                  <c:v>-4.5726066554519813E-4</c:v>
                </c:pt>
                <c:pt idx="6">
                  <c:v>-3.9347470357139878E-4</c:v>
                </c:pt>
                <c:pt idx="7">
                  <c:v>-3.0616107136253941E-4</c:v>
                </c:pt>
                <c:pt idx="8">
                  <c:v>-2.7252975770057175E-4</c:v>
                </c:pt>
                <c:pt idx="9">
                  <c:v>-2.3706098416585272E-4</c:v>
                </c:pt>
                <c:pt idx="10">
                  <c:v>-2.497930822943411E-4</c:v>
                </c:pt>
                <c:pt idx="11">
                  <c:v>-2.2961380169657914E-4</c:v>
                </c:pt>
                <c:pt idx="12">
                  <c:v>-2.0924431181500592E-4</c:v>
                </c:pt>
                <c:pt idx="13">
                  <c:v>-1.9950815601905294E-4</c:v>
                </c:pt>
                <c:pt idx="14">
                  <c:v>-1.9949782785656138E-4</c:v>
                </c:pt>
                <c:pt idx="15">
                  <c:v>-1.6557091041098166E-4</c:v>
                </c:pt>
                <c:pt idx="16">
                  <c:v>-1.6376140830422941E-4</c:v>
                </c:pt>
                <c:pt idx="17">
                  <c:v>-1.8084321367159146E-4</c:v>
                </c:pt>
                <c:pt idx="18">
                  <c:v>-1.9728807736440655E-4</c:v>
                </c:pt>
                <c:pt idx="19">
                  <c:v>-2.0909833364505127E-4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AA_T_pho_den!$A$34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AA_T_pho_den!$B$34:$U$34</c:f>
              <c:numCache>
                <c:formatCode>General</c:formatCode>
                <c:ptCount val="20"/>
                <c:pt idx="0">
                  <c:v>-2.6527114874188391E-3</c:v>
                </c:pt>
                <c:pt idx="1">
                  <c:v>-1.492378423758459E-3</c:v>
                </c:pt>
                <c:pt idx="2">
                  <c:v>-8.5002703910089109E-4</c:v>
                </c:pt>
                <c:pt idx="3">
                  <c:v>-5.9227693988030757E-4</c:v>
                </c:pt>
                <c:pt idx="4">
                  <c:v>-5.1976773266841636E-4</c:v>
                </c:pt>
                <c:pt idx="5">
                  <c:v>-4.2866681430844562E-4</c:v>
                </c:pt>
                <c:pt idx="6">
                  <c:v>-3.8726109427619917E-4</c:v>
                </c:pt>
                <c:pt idx="7">
                  <c:v>-3.2193652765907392E-4</c:v>
                </c:pt>
                <c:pt idx="8">
                  <c:v>-2.7120531467156084E-4</c:v>
                </c:pt>
                <c:pt idx="9">
                  <c:v>-2.2233127092763689E-4</c:v>
                </c:pt>
                <c:pt idx="10">
                  <c:v>-1.7095544224484717E-4</c:v>
                </c:pt>
                <c:pt idx="11">
                  <c:v>-1.7427847909513229E-4</c:v>
                </c:pt>
                <c:pt idx="12">
                  <c:v>-1.5093583502011844E-4</c:v>
                </c:pt>
                <c:pt idx="13">
                  <c:v>-1.2814661547878978E-4</c:v>
                </c:pt>
                <c:pt idx="14">
                  <c:v>-1.3601569405209313E-4</c:v>
                </c:pt>
                <c:pt idx="15">
                  <c:v>-1.3944622927163552E-4</c:v>
                </c:pt>
                <c:pt idx="16">
                  <c:v>-1.3836220050175507E-4</c:v>
                </c:pt>
                <c:pt idx="17">
                  <c:v>-1.2623422680529226E-4</c:v>
                </c:pt>
                <c:pt idx="18">
                  <c:v>-1.2537672595463615E-4</c:v>
                </c:pt>
                <c:pt idx="19">
                  <c:v>-1.3238870416237687E-4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AA_T_pho_den!$A$35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AA_T_pho_den!$B$35:$U$35</c:f>
              <c:numCache>
                <c:formatCode>General</c:formatCode>
                <c:ptCount val="20"/>
                <c:pt idx="0">
                  <c:v>-2.1046282039195968E-3</c:v>
                </c:pt>
                <c:pt idx="1">
                  <c:v>-1.9103435583312997E-3</c:v>
                </c:pt>
                <c:pt idx="2">
                  <c:v>-1.7442137984452991E-3</c:v>
                </c:pt>
                <c:pt idx="3">
                  <c:v>-1.6147887045944796E-3</c:v>
                </c:pt>
                <c:pt idx="4">
                  <c:v>-1.5545168645896795E-3</c:v>
                </c:pt>
                <c:pt idx="5">
                  <c:v>-1.4417373325659956E-3</c:v>
                </c:pt>
                <c:pt idx="6">
                  <c:v>-1.3713504247279949E-3</c:v>
                </c:pt>
                <c:pt idx="7">
                  <c:v>-1.2972081542660314E-3</c:v>
                </c:pt>
                <c:pt idx="8">
                  <c:v>-1.2349683268031372E-3</c:v>
                </c:pt>
                <c:pt idx="9">
                  <c:v>-1.0954858372095979E-3</c:v>
                </c:pt>
                <c:pt idx="10">
                  <c:v>-1.1253843081683286E-3</c:v>
                </c:pt>
                <c:pt idx="11">
                  <c:v>-1.1229973127831997E-3</c:v>
                </c:pt>
                <c:pt idx="12">
                  <c:v>-1.0677074682814613E-3</c:v>
                </c:pt>
                <c:pt idx="13">
                  <c:v>-1.0587999555116015E-3</c:v>
                </c:pt>
                <c:pt idx="14">
                  <c:v>-1.0079990191884441E-3</c:v>
                </c:pt>
                <c:pt idx="15">
                  <c:v>-1.0152589003115154E-3</c:v>
                </c:pt>
                <c:pt idx="16">
                  <c:v>-1.0118023172264569E-3</c:v>
                </c:pt>
                <c:pt idx="17">
                  <c:v>-1.0162105616525917E-3</c:v>
                </c:pt>
                <c:pt idx="18">
                  <c:v>-1.0202336661504197E-3</c:v>
                </c:pt>
                <c:pt idx="19">
                  <c:v>-9.6435052816468418E-4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AA_T_pho_den!$A$36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AA_T_pho_den!$B$36:$U$36</c:f>
              <c:numCache>
                <c:formatCode>General</c:formatCode>
                <c:ptCount val="20"/>
                <c:pt idx="0">
                  <c:v>-2.3647678108597242E-3</c:v>
                </c:pt>
                <c:pt idx="1">
                  <c:v>-2.2286252761082267E-3</c:v>
                </c:pt>
                <c:pt idx="2">
                  <c:v>-2.0358626967110836E-3</c:v>
                </c:pt>
                <c:pt idx="3">
                  <c:v>-1.8999254513556081E-3</c:v>
                </c:pt>
                <c:pt idx="4">
                  <c:v>-1.8310670964673021E-3</c:v>
                </c:pt>
                <c:pt idx="5">
                  <c:v>-1.6866576384858452E-3</c:v>
                </c:pt>
                <c:pt idx="6">
                  <c:v>-1.6934690254599937E-3</c:v>
                </c:pt>
                <c:pt idx="7">
                  <c:v>-1.6102060585149471E-3</c:v>
                </c:pt>
                <c:pt idx="8">
                  <c:v>-1.5399490322474474E-3</c:v>
                </c:pt>
                <c:pt idx="9">
                  <c:v>-1.4314548388687661E-3</c:v>
                </c:pt>
                <c:pt idx="10">
                  <c:v>-1.401859320186057E-3</c:v>
                </c:pt>
                <c:pt idx="11">
                  <c:v>-1.3950536066240772E-3</c:v>
                </c:pt>
                <c:pt idx="12">
                  <c:v>-1.3437926209240239E-3</c:v>
                </c:pt>
                <c:pt idx="13">
                  <c:v>-1.3336809378732711E-3</c:v>
                </c:pt>
                <c:pt idx="14">
                  <c:v>-1.2793768872348288E-3</c:v>
                </c:pt>
                <c:pt idx="15">
                  <c:v>-1.2769431579482964E-3</c:v>
                </c:pt>
                <c:pt idx="16">
                  <c:v>-1.2568090648184718E-3</c:v>
                </c:pt>
                <c:pt idx="17">
                  <c:v>-1.2194380147077712E-3</c:v>
                </c:pt>
                <c:pt idx="18">
                  <c:v>-1.1872967272366535E-3</c:v>
                </c:pt>
                <c:pt idx="19">
                  <c:v>-1.2013007588843919E-3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AA_T_pho_den!$A$37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AA_T_pho_den!$B$37:$U$37</c:f>
              <c:numCache>
                <c:formatCode>General</c:formatCode>
                <c:ptCount val="20"/>
                <c:pt idx="0">
                  <c:v>-2.2085001196458483E-3</c:v>
                </c:pt>
                <c:pt idx="1">
                  <c:v>-2.0975359841425571E-3</c:v>
                </c:pt>
                <c:pt idx="2">
                  <c:v>-1.936609376056836E-3</c:v>
                </c:pt>
                <c:pt idx="3">
                  <c:v>-1.8813387754095009E-3</c:v>
                </c:pt>
                <c:pt idx="4">
                  <c:v>-1.898204279191086E-3</c:v>
                </c:pt>
                <c:pt idx="5">
                  <c:v>-1.8562168936349412E-3</c:v>
                </c:pt>
                <c:pt idx="6">
                  <c:v>-1.925177632467828E-3</c:v>
                </c:pt>
                <c:pt idx="7">
                  <c:v>-1.95373498307372E-3</c:v>
                </c:pt>
                <c:pt idx="8">
                  <c:v>-1.9784249182033843E-3</c:v>
                </c:pt>
                <c:pt idx="9">
                  <c:v>-1.9646000932197747E-3</c:v>
                </c:pt>
                <c:pt idx="10">
                  <c:v>-1.9735097021838571E-3</c:v>
                </c:pt>
                <c:pt idx="11">
                  <c:v>-1.987561838113207E-3</c:v>
                </c:pt>
                <c:pt idx="12">
                  <c:v>-2.0551854912364631E-3</c:v>
                </c:pt>
                <c:pt idx="13">
                  <c:v>-2.0503015502127881E-3</c:v>
                </c:pt>
                <c:pt idx="14">
                  <c:v>-1.9966264551608747E-3</c:v>
                </c:pt>
                <c:pt idx="15">
                  <c:v>-2.0057170934089986E-3</c:v>
                </c:pt>
                <c:pt idx="16">
                  <c:v>-2.0217958089396274E-3</c:v>
                </c:pt>
                <c:pt idx="17">
                  <c:v>-2.0872765509989486E-3</c:v>
                </c:pt>
                <c:pt idx="18">
                  <c:v>-2.0240052685615664E-3</c:v>
                </c:pt>
                <c:pt idx="19">
                  <c:v>-2.0338415464076641E-3</c:v>
                </c:pt>
              </c:numCache>
            </c:numRef>
          </c:yVal>
          <c:smooth val="1"/>
        </c:ser>
        <c:axId val="80331520"/>
        <c:axId val="80333440"/>
      </c:scatterChart>
      <c:valAx>
        <c:axId val="8033152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33440"/>
        <c:crosses val="autoZero"/>
        <c:crossBetween val="midCat"/>
      </c:valAx>
      <c:valAx>
        <c:axId val="80333440"/>
        <c:scaling>
          <c:orientation val="minMax"/>
        </c:scaling>
        <c:axPos val="l"/>
        <c:numFmt formatCode="General" sourceLinked="1"/>
        <c:tickLblPos val="nextTo"/>
        <c:crossAx val="80331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291841644794403"/>
          <c:y val="7.9861475648877231E-2"/>
          <c:w val="0.31352777777777779"/>
          <c:h val="0.83717191601049867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AA_S_pho_den!$B$3:$U$3</c:f>
              <c:numCache>
                <c:formatCode>General</c:formatCode>
                <c:ptCount val="20"/>
                <c:pt idx="0">
                  <c:v>-1.3652317224560841E-2</c:v>
                </c:pt>
                <c:pt idx="1">
                  <c:v>-1.4124070955498506E-2</c:v>
                </c:pt>
                <c:pt idx="2">
                  <c:v>-1.4354798094717999E-2</c:v>
                </c:pt>
                <c:pt idx="3">
                  <c:v>-1.4389532638961441E-2</c:v>
                </c:pt>
                <c:pt idx="4">
                  <c:v>-1.45886896088378E-2</c:v>
                </c:pt>
                <c:pt idx="5">
                  <c:v>-1.3893057559769125E-2</c:v>
                </c:pt>
                <c:pt idx="6">
                  <c:v>-1.4487314312977713E-2</c:v>
                </c:pt>
                <c:pt idx="7">
                  <c:v>-1.4313386483397196E-2</c:v>
                </c:pt>
                <c:pt idx="8">
                  <c:v>-1.4335122818337291E-2</c:v>
                </c:pt>
                <c:pt idx="9">
                  <c:v>-1.4173281098340037E-2</c:v>
                </c:pt>
                <c:pt idx="10">
                  <c:v>-1.4167539046178701E-2</c:v>
                </c:pt>
                <c:pt idx="11">
                  <c:v>-1.4609891326007499E-2</c:v>
                </c:pt>
                <c:pt idx="12">
                  <c:v>-1.5217368767165682E-2</c:v>
                </c:pt>
                <c:pt idx="13">
                  <c:v>-1.5322377943256906E-2</c:v>
                </c:pt>
                <c:pt idx="14">
                  <c:v>-1.5104612856885375E-2</c:v>
                </c:pt>
                <c:pt idx="15">
                  <c:v>-1.5011962479516302E-2</c:v>
                </c:pt>
                <c:pt idx="16">
                  <c:v>-1.4582399368587214E-2</c:v>
                </c:pt>
                <c:pt idx="17">
                  <c:v>-1.4607765612327657E-2</c:v>
                </c:pt>
                <c:pt idx="18">
                  <c:v>-1.4731773449865803E-2</c:v>
                </c:pt>
                <c:pt idx="19">
                  <c:v>-1.468890278902053E-2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AA_S_pho_den!$B$21:$U$21</c:f>
              <c:numCache>
                <c:formatCode>General</c:formatCode>
                <c:ptCount val="20"/>
                <c:pt idx="0">
                  <c:v>-1.2463701117184273E-2</c:v>
                </c:pt>
                <c:pt idx="1">
                  <c:v>-1.2438204617345185E-2</c:v>
                </c:pt>
                <c:pt idx="2">
                  <c:v>-1.1518227632804091E-2</c:v>
                </c:pt>
                <c:pt idx="3">
                  <c:v>-1.0717514759307555E-2</c:v>
                </c:pt>
                <c:pt idx="4">
                  <c:v>-1.0584276993163664E-2</c:v>
                </c:pt>
                <c:pt idx="5">
                  <c:v>-9.8581965702477532E-3</c:v>
                </c:pt>
                <c:pt idx="6">
                  <c:v>-1.0166541655859344E-2</c:v>
                </c:pt>
                <c:pt idx="7">
                  <c:v>-9.7381078244933531E-3</c:v>
                </c:pt>
                <c:pt idx="8">
                  <c:v>-9.7945624784857681E-3</c:v>
                </c:pt>
                <c:pt idx="9">
                  <c:v>-9.2137800760649716E-3</c:v>
                </c:pt>
                <c:pt idx="10">
                  <c:v>-9.9079399661633899E-3</c:v>
                </c:pt>
                <c:pt idx="11">
                  <c:v>-9.9843810769245384E-3</c:v>
                </c:pt>
                <c:pt idx="12">
                  <c:v>-9.5652481260081607E-3</c:v>
                </c:pt>
                <c:pt idx="13">
                  <c:v>-9.6104104055437338E-3</c:v>
                </c:pt>
                <c:pt idx="14">
                  <c:v>-9.8780820328363411E-3</c:v>
                </c:pt>
                <c:pt idx="15">
                  <c:v>-1.0033433794142699E-2</c:v>
                </c:pt>
                <c:pt idx="16">
                  <c:v>-9.6795667365478667E-3</c:v>
                </c:pt>
                <c:pt idx="17">
                  <c:v>-9.8480372381691238E-3</c:v>
                </c:pt>
                <c:pt idx="18">
                  <c:v>-9.9250880724710607E-3</c:v>
                </c:pt>
                <c:pt idx="19">
                  <c:v>-1.0019561227165456E-2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AA_S_pho_den!$B$37:$U$37</c:f>
              <c:numCache>
                <c:formatCode>General</c:formatCode>
                <c:ptCount val="20"/>
                <c:pt idx="0">
                  <c:v>-1.1336166723413078E-2</c:v>
                </c:pt>
                <c:pt idx="1">
                  <c:v>-1.1463603569009063E-2</c:v>
                </c:pt>
                <c:pt idx="2">
                  <c:v>-1.1250518358384488E-2</c:v>
                </c:pt>
                <c:pt idx="3">
                  <c:v>-1.0903538248273177E-2</c:v>
                </c:pt>
                <c:pt idx="4">
                  <c:v>-1.1120064691510024E-2</c:v>
                </c:pt>
                <c:pt idx="5">
                  <c:v>-1.0876989320195365E-2</c:v>
                </c:pt>
                <c:pt idx="6">
                  <c:v>-1.1491334785121762E-2</c:v>
                </c:pt>
                <c:pt idx="7">
                  <c:v>-1.1575110032954144E-2</c:v>
                </c:pt>
                <c:pt idx="8">
                  <c:v>-1.1832454696818069E-2</c:v>
                </c:pt>
                <c:pt idx="9">
                  <c:v>-1.1908036791740828E-2</c:v>
                </c:pt>
                <c:pt idx="10">
                  <c:v>-1.201686542150193E-2</c:v>
                </c:pt>
                <c:pt idx="11">
                  <c:v>-1.2266308575343172E-2</c:v>
                </c:pt>
                <c:pt idx="12">
                  <c:v>-1.2649842997529187E-2</c:v>
                </c:pt>
                <c:pt idx="13">
                  <c:v>-1.2663753387975584E-2</c:v>
                </c:pt>
                <c:pt idx="14">
                  <c:v>-1.2423826625806959E-2</c:v>
                </c:pt>
                <c:pt idx="15">
                  <c:v>-1.2589142858370076E-2</c:v>
                </c:pt>
                <c:pt idx="16">
                  <c:v>-1.2428985980805392E-2</c:v>
                </c:pt>
                <c:pt idx="17">
                  <c:v>-1.2661766901619322E-2</c:v>
                </c:pt>
                <c:pt idx="18">
                  <c:v>-1.2872033029247762E-2</c:v>
                </c:pt>
                <c:pt idx="19">
                  <c:v>-1.2961389510945186E-2</c:v>
                </c:pt>
              </c:numCache>
            </c:numRef>
          </c:yVal>
          <c:smooth val="1"/>
        </c:ser>
        <c:axId val="80641408"/>
        <c:axId val="80852480"/>
      </c:scatterChart>
      <c:valAx>
        <c:axId val="8064140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852480"/>
        <c:crosses val="autoZero"/>
        <c:crossBetween val="midCat"/>
      </c:valAx>
      <c:valAx>
        <c:axId val="80852480"/>
        <c:scaling>
          <c:orientation val="minMax"/>
        </c:scaling>
        <c:axPos val="l"/>
        <c:numFmt formatCode="General" sourceLinked="1"/>
        <c:tickLblPos val="nextTo"/>
        <c:crossAx val="80641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789628737041115E-2"/>
          <c:y val="3.5442999792623685E-2"/>
          <c:w val="0.6420509837325743"/>
          <c:h val="0.92911400041475267"/>
        </c:manualLayout>
      </c:layout>
      <c:scatterChart>
        <c:scatterStyle val="smoothMarker"/>
        <c:ser>
          <c:idx val="0"/>
          <c:order val="0"/>
          <c:tx>
            <c:strRef>
              <c:f>AA_S_pho_den!$A$3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AA_S_pho_den!$B$3:$U$3</c:f>
              <c:numCache>
                <c:formatCode>General</c:formatCode>
                <c:ptCount val="20"/>
                <c:pt idx="0">
                  <c:v>-1.3652317224560841E-2</c:v>
                </c:pt>
                <c:pt idx="1">
                  <c:v>-1.4124070955498506E-2</c:v>
                </c:pt>
                <c:pt idx="2">
                  <c:v>-1.4354798094717999E-2</c:v>
                </c:pt>
                <c:pt idx="3">
                  <c:v>-1.4389532638961441E-2</c:v>
                </c:pt>
                <c:pt idx="4">
                  <c:v>-1.45886896088378E-2</c:v>
                </c:pt>
                <c:pt idx="5">
                  <c:v>-1.3893057559769125E-2</c:v>
                </c:pt>
                <c:pt idx="6">
                  <c:v>-1.4487314312977713E-2</c:v>
                </c:pt>
                <c:pt idx="7">
                  <c:v>-1.4313386483397196E-2</c:v>
                </c:pt>
                <c:pt idx="8">
                  <c:v>-1.4335122818337291E-2</c:v>
                </c:pt>
                <c:pt idx="9">
                  <c:v>-1.4173281098340037E-2</c:v>
                </c:pt>
                <c:pt idx="10">
                  <c:v>-1.4167539046178701E-2</c:v>
                </c:pt>
                <c:pt idx="11">
                  <c:v>-1.4609891326007499E-2</c:v>
                </c:pt>
                <c:pt idx="12">
                  <c:v>-1.5217368767165682E-2</c:v>
                </c:pt>
                <c:pt idx="13">
                  <c:v>-1.5322377943256906E-2</c:v>
                </c:pt>
                <c:pt idx="14">
                  <c:v>-1.5104612856885375E-2</c:v>
                </c:pt>
                <c:pt idx="15">
                  <c:v>-1.5011962479516302E-2</c:v>
                </c:pt>
                <c:pt idx="16">
                  <c:v>-1.4582399368587214E-2</c:v>
                </c:pt>
                <c:pt idx="17">
                  <c:v>-1.4607765612327657E-2</c:v>
                </c:pt>
                <c:pt idx="18">
                  <c:v>-1.4731773449865803E-2</c:v>
                </c:pt>
                <c:pt idx="19">
                  <c:v>-1.468890278902053E-2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AA_S_pho_den!$A$4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AA_S_pho_den!$B$4:$U$4</c:f>
              <c:numCache>
                <c:formatCode>General</c:formatCode>
                <c:ptCount val="20"/>
                <c:pt idx="0">
                  <c:v>-1.152877273647402E-2</c:v>
                </c:pt>
                <c:pt idx="1">
                  <c:v>-1.1610231527082742E-2</c:v>
                </c:pt>
                <c:pt idx="2">
                  <c:v>-1.1103771563465417E-2</c:v>
                </c:pt>
                <c:pt idx="3">
                  <c:v>-1.0806683112395861E-2</c:v>
                </c:pt>
                <c:pt idx="4">
                  <c:v>-1.0917786328727482E-2</c:v>
                </c:pt>
                <c:pt idx="5">
                  <c:v>-1.0509458249079244E-2</c:v>
                </c:pt>
                <c:pt idx="6">
                  <c:v>-1.0717540914326079E-2</c:v>
                </c:pt>
                <c:pt idx="7">
                  <c:v>-1.0827882389312747E-2</c:v>
                </c:pt>
                <c:pt idx="8">
                  <c:v>-1.0699951348364949E-2</c:v>
                </c:pt>
                <c:pt idx="9">
                  <c:v>-1.0583974993378488E-2</c:v>
                </c:pt>
                <c:pt idx="10">
                  <c:v>-1.1058211223018225E-2</c:v>
                </c:pt>
                <c:pt idx="11">
                  <c:v>-1.1375747327749524E-2</c:v>
                </c:pt>
                <c:pt idx="12">
                  <c:v>-1.1220253317089698E-2</c:v>
                </c:pt>
                <c:pt idx="13">
                  <c:v>-1.1328948627188367E-2</c:v>
                </c:pt>
                <c:pt idx="14">
                  <c:v>-1.1215171794430588E-2</c:v>
                </c:pt>
                <c:pt idx="15">
                  <c:v>-1.1216359501224356E-2</c:v>
                </c:pt>
                <c:pt idx="16">
                  <c:v>-1.1087791874993634E-2</c:v>
                </c:pt>
                <c:pt idx="17">
                  <c:v>-1.1389668315060336E-2</c:v>
                </c:pt>
                <c:pt idx="18">
                  <c:v>-1.1448086545027485E-2</c:v>
                </c:pt>
                <c:pt idx="19">
                  <c:v>-1.1436384799521457E-2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AA_S_pho_den!$A$5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AA_S_pho_den!$B$5:$U$5</c:f>
              <c:numCache>
                <c:formatCode>General</c:formatCode>
                <c:ptCount val="20"/>
                <c:pt idx="0">
                  <c:v>-1.2878235383501142E-2</c:v>
                </c:pt>
                <c:pt idx="1">
                  <c:v>-1.319199392216866E-2</c:v>
                </c:pt>
                <c:pt idx="2">
                  <c:v>-1.3542558702407927E-2</c:v>
                </c:pt>
                <c:pt idx="3">
                  <c:v>-1.3404306721539585E-2</c:v>
                </c:pt>
                <c:pt idx="4">
                  <c:v>-1.3854147321452877E-2</c:v>
                </c:pt>
                <c:pt idx="5">
                  <c:v>-1.3735546853132616E-2</c:v>
                </c:pt>
                <c:pt idx="6">
                  <c:v>-1.4108230559981443E-2</c:v>
                </c:pt>
                <c:pt idx="7">
                  <c:v>-1.4644336346525993E-2</c:v>
                </c:pt>
                <c:pt idx="8">
                  <c:v>-1.4839239012571235E-2</c:v>
                </c:pt>
                <c:pt idx="9">
                  <c:v>-1.4900964574424832E-2</c:v>
                </c:pt>
                <c:pt idx="10">
                  <c:v>-1.528674201732309E-2</c:v>
                </c:pt>
                <c:pt idx="11">
                  <c:v>-1.6070858760719911E-2</c:v>
                </c:pt>
                <c:pt idx="12">
                  <c:v>-1.6236243115465225E-2</c:v>
                </c:pt>
                <c:pt idx="13">
                  <c:v>-1.6193034772311335E-2</c:v>
                </c:pt>
                <c:pt idx="14">
                  <c:v>-1.561418856615952E-2</c:v>
                </c:pt>
                <c:pt idx="15">
                  <c:v>-1.5476832745044801E-2</c:v>
                </c:pt>
                <c:pt idx="16">
                  <c:v>-1.5251731771763194E-2</c:v>
                </c:pt>
                <c:pt idx="17">
                  <c:v>-1.531373811714198E-2</c:v>
                </c:pt>
                <c:pt idx="18">
                  <c:v>-1.5193483450031827E-2</c:v>
                </c:pt>
                <c:pt idx="19">
                  <c:v>-1.514076923076923E-2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AA_S_pho_den!$A$6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AA_S_pho_den!$B$6:$U$6</c:f>
              <c:numCache>
                <c:formatCode>General</c:formatCode>
                <c:ptCount val="20"/>
                <c:pt idx="0">
                  <c:v>-1.2636960198989284E-2</c:v>
                </c:pt>
                <c:pt idx="1">
                  <c:v>-1.2487368644154707E-2</c:v>
                </c:pt>
                <c:pt idx="2">
                  <c:v>-1.2693501293704673E-2</c:v>
                </c:pt>
                <c:pt idx="3">
                  <c:v>-1.1994152635473881E-2</c:v>
                </c:pt>
                <c:pt idx="4">
                  <c:v>-1.1542389868388051E-2</c:v>
                </c:pt>
                <c:pt idx="5">
                  <c:v>-1.195791153965281E-2</c:v>
                </c:pt>
                <c:pt idx="6">
                  <c:v>-1.2572496045555204E-2</c:v>
                </c:pt>
                <c:pt idx="7">
                  <c:v>-1.2293758898908401E-2</c:v>
                </c:pt>
                <c:pt idx="8">
                  <c:v>-1.2581509470059307E-2</c:v>
                </c:pt>
                <c:pt idx="9">
                  <c:v>-1.2693988050555462E-2</c:v>
                </c:pt>
                <c:pt idx="10">
                  <c:v>-1.2419985701045943E-2</c:v>
                </c:pt>
                <c:pt idx="11">
                  <c:v>-1.2371895853738164E-2</c:v>
                </c:pt>
                <c:pt idx="12">
                  <c:v>-1.2832909678516757E-2</c:v>
                </c:pt>
                <c:pt idx="13">
                  <c:v>-1.3116081360048574E-2</c:v>
                </c:pt>
                <c:pt idx="14">
                  <c:v>-1.2310117074329137E-2</c:v>
                </c:pt>
                <c:pt idx="15">
                  <c:v>-1.2219096285064445E-2</c:v>
                </c:pt>
                <c:pt idx="16">
                  <c:v>-1.1690722923945176E-2</c:v>
                </c:pt>
                <c:pt idx="17">
                  <c:v>-1.1606583548294641E-2</c:v>
                </c:pt>
                <c:pt idx="18">
                  <c:v>-1.0843596033057852E-2</c:v>
                </c:pt>
                <c:pt idx="19">
                  <c:v>-1.03643928700036E-2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AA_S_pho_den!$A$7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AA_S_pho_den!$B$7:$U$7</c:f>
              <c:numCache>
                <c:formatCode>General</c:formatCode>
                <c:ptCount val="20"/>
                <c:pt idx="0">
                  <c:v>-1.2528438726342458E-2</c:v>
                </c:pt>
                <c:pt idx="1">
                  <c:v>-1.2502415538851265E-2</c:v>
                </c:pt>
                <c:pt idx="2">
                  <c:v>-1.2600889940187137E-2</c:v>
                </c:pt>
                <c:pt idx="3">
                  <c:v>-1.2095008483565069E-2</c:v>
                </c:pt>
                <c:pt idx="4">
                  <c:v>-1.1893486718005412E-2</c:v>
                </c:pt>
                <c:pt idx="5">
                  <c:v>-1.1413848778407358E-2</c:v>
                </c:pt>
                <c:pt idx="6">
                  <c:v>-1.1900213097287107E-2</c:v>
                </c:pt>
                <c:pt idx="7">
                  <c:v>-1.159896228344656E-2</c:v>
                </c:pt>
                <c:pt idx="8">
                  <c:v>-1.1664611378977821E-2</c:v>
                </c:pt>
                <c:pt idx="9">
                  <c:v>-1.0579402145987609E-2</c:v>
                </c:pt>
                <c:pt idx="10">
                  <c:v>-1.125528365916636E-2</c:v>
                </c:pt>
                <c:pt idx="11">
                  <c:v>-1.1977118406314916E-2</c:v>
                </c:pt>
                <c:pt idx="12">
                  <c:v>-1.1006543694847708E-2</c:v>
                </c:pt>
                <c:pt idx="13">
                  <c:v>-1.1226304520464265E-2</c:v>
                </c:pt>
                <c:pt idx="14">
                  <c:v>-1.1039767747858018E-2</c:v>
                </c:pt>
                <c:pt idx="15">
                  <c:v>-1.0774235177865611E-2</c:v>
                </c:pt>
                <c:pt idx="16">
                  <c:v>-1.0897061422413794E-2</c:v>
                </c:pt>
                <c:pt idx="17">
                  <c:v>-1.0637143081144648E-2</c:v>
                </c:pt>
                <c:pt idx="18">
                  <c:v>-1.076540023520188E-2</c:v>
                </c:pt>
                <c:pt idx="19">
                  <c:v>-1.0766974479780133E-2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AA_S_pho_den!$A$8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AA_S_pho_den!$B$8:$U$8</c:f>
              <c:numCache>
                <c:formatCode>General</c:formatCode>
                <c:ptCount val="20"/>
                <c:pt idx="0">
                  <c:v>-1.2663264856644079E-2</c:v>
                </c:pt>
                <c:pt idx="1">
                  <c:v>-1.287497423714643E-2</c:v>
                </c:pt>
                <c:pt idx="2">
                  <c:v>-1.2971029073061469E-2</c:v>
                </c:pt>
                <c:pt idx="3">
                  <c:v>-1.2230174155631624E-2</c:v>
                </c:pt>
                <c:pt idx="4">
                  <c:v>-1.2378230632764813E-2</c:v>
                </c:pt>
                <c:pt idx="5">
                  <c:v>-1.2460704554301285E-2</c:v>
                </c:pt>
                <c:pt idx="6">
                  <c:v>-1.3627767819035424E-2</c:v>
                </c:pt>
                <c:pt idx="7">
                  <c:v>-1.3056378144741218E-2</c:v>
                </c:pt>
                <c:pt idx="8">
                  <c:v>-1.34087793715847E-2</c:v>
                </c:pt>
                <c:pt idx="9">
                  <c:v>-1.3813593392214591E-2</c:v>
                </c:pt>
                <c:pt idx="10">
                  <c:v>-1.329351334379906E-2</c:v>
                </c:pt>
                <c:pt idx="11">
                  <c:v>-1.3441948335774955E-2</c:v>
                </c:pt>
                <c:pt idx="12">
                  <c:v>-1.3286941159782847E-2</c:v>
                </c:pt>
                <c:pt idx="13">
                  <c:v>-1.2984792994544931E-2</c:v>
                </c:pt>
                <c:pt idx="14">
                  <c:v>-1.2239546350477363E-2</c:v>
                </c:pt>
                <c:pt idx="15">
                  <c:v>-1.14361846419327E-2</c:v>
                </c:pt>
                <c:pt idx="16">
                  <c:v>-1.1266171564390665E-2</c:v>
                </c:pt>
                <c:pt idx="17">
                  <c:v>-1.1526971008221549E-2</c:v>
                </c:pt>
                <c:pt idx="18">
                  <c:v>-1.1846478769497402E-2</c:v>
                </c:pt>
                <c:pt idx="19">
                  <c:v>-1.1840513876843019E-2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AA_S_pho_den!$A$9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AA_S_pho_den!$B$9:$U$9</c:f>
              <c:numCache>
                <c:formatCode>General</c:formatCode>
                <c:ptCount val="20"/>
                <c:pt idx="0">
                  <c:v>-1.2423316040540533E-2</c:v>
                </c:pt>
                <c:pt idx="1">
                  <c:v>-1.262935628334319E-2</c:v>
                </c:pt>
                <c:pt idx="2">
                  <c:v>-1.2630433188042304E-2</c:v>
                </c:pt>
                <c:pt idx="3">
                  <c:v>-1.2088037416935878E-2</c:v>
                </c:pt>
                <c:pt idx="4">
                  <c:v>-1.203994611700308E-2</c:v>
                </c:pt>
                <c:pt idx="5">
                  <c:v>-1.2374072008427836E-2</c:v>
                </c:pt>
                <c:pt idx="6">
                  <c:v>-1.22102030370244E-2</c:v>
                </c:pt>
                <c:pt idx="7">
                  <c:v>-1.2051133739239975E-2</c:v>
                </c:pt>
                <c:pt idx="8">
                  <c:v>-1.2352646597581542E-2</c:v>
                </c:pt>
                <c:pt idx="9">
                  <c:v>-1.1451563967174687E-2</c:v>
                </c:pt>
                <c:pt idx="10">
                  <c:v>-1.1338029241754507E-2</c:v>
                </c:pt>
                <c:pt idx="11">
                  <c:v>-1.2109853653808879E-2</c:v>
                </c:pt>
                <c:pt idx="12">
                  <c:v>-1.2443276907426247E-2</c:v>
                </c:pt>
                <c:pt idx="13">
                  <c:v>-1.2367270057641169E-2</c:v>
                </c:pt>
                <c:pt idx="14">
                  <c:v>-1.2681639051918736E-2</c:v>
                </c:pt>
                <c:pt idx="15">
                  <c:v>-1.2934891645569621E-2</c:v>
                </c:pt>
                <c:pt idx="16">
                  <c:v>-1.2805525243832473E-2</c:v>
                </c:pt>
                <c:pt idx="17">
                  <c:v>-1.2675962769230768E-2</c:v>
                </c:pt>
                <c:pt idx="18">
                  <c:v>-1.243404902285525E-2</c:v>
                </c:pt>
                <c:pt idx="19">
                  <c:v>-1.2433838581372224E-2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AA_S_pho_den!$A$10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AA_S_pho_den!$B$10:$U$10</c:f>
              <c:numCache>
                <c:formatCode>General</c:formatCode>
                <c:ptCount val="20"/>
                <c:pt idx="0">
                  <c:v>-1.2197930985477673E-2</c:v>
                </c:pt>
                <c:pt idx="1">
                  <c:v>-1.20011766906952E-2</c:v>
                </c:pt>
                <c:pt idx="2">
                  <c:v>-1.1677158773783055E-2</c:v>
                </c:pt>
                <c:pt idx="3">
                  <c:v>-1.0857165971730859E-2</c:v>
                </c:pt>
                <c:pt idx="4">
                  <c:v>-1.0972903168460427E-2</c:v>
                </c:pt>
                <c:pt idx="5">
                  <c:v>-1.0326749071763086E-2</c:v>
                </c:pt>
                <c:pt idx="6">
                  <c:v>-1.0649808368771985E-2</c:v>
                </c:pt>
                <c:pt idx="7">
                  <c:v>-1.048360492845787E-2</c:v>
                </c:pt>
                <c:pt idx="8">
                  <c:v>-1.0677602320335159E-2</c:v>
                </c:pt>
                <c:pt idx="9">
                  <c:v>-1.0009474864511307E-2</c:v>
                </c:pt>
                <c:pt idx="10">
                  <c:v>-1.054582499736759E-2</c:v>
                </c:pt>
                <c:pt idx="11">
                  <c:v>-1.0512957565249012E-2</c:v>
                </c:pt>
                <c:pt idx="12">
                  <c:v>-1.101222373992624E-2</c:v>
                </c:pt>
                <c:pt idx="13">
                  <c:v>-1.09946575487381E-2</c:v>
                </c:pt>
                <c:pt idx="14">
                  <c:v>-1.0853057113098865E-2</c:v>
                </c:pt>
                <c:pt idx="15">
                  <c:v>-1.1401512218587647E-2</c:v>
                </c:pt>
                <c:pt idx="16">
                  <c:v>-1.0989958651399491E-2</c:v>
                </c:pt>
                <c:pt idx="17">
                  <c:v>-1.190306884635832E-2</c:v>
                </c:pt>
                <c:pt idx="18">
                  <c:v>-1.2006944651410325E-2</c:v>
                </c:pt>
                <c:pt idx="19">
                  <c:v>-1.1014385447394295E-2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AA_S_pho_den!$A$11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AA_S_pho_den!$B$11:$U$11</c:f>
              <c:numCache>
                <c:formatCode>General</c:formatCode>
                <c:ptCount val="20"/>
                <c:pt idx="0">
                  <c:v>-1.2643022800518057E-2</c:v>
                </c:pt>
                <c:pt idx="1">
                  <c:v>-1.2609773986948861E-2</c:v>
                </c:pt>
                <c:pt idx="2">
                  <c:v>-1.2500720580779586E-2</c:v>
                </c:pt>
                <c:pt idx="3">
                  <c:v>-1.1932561421026446E-2</c:v>
                </c:pt>
                <c:pt idx="4">
                  <c:v>-1.2202072793333121E-2</c:v>
                </c:pt>
                <c:pt idx="5">
                  <c:v>-1.1436378223495702E-2</c:v>
                </c:pt>
                <c:pt idx="6">
                  <c:v>-1.168613301514837E-2</c:v>
                </c:pt>
                <c:pt idx="7">
                  <c:v>-1.1514389101745424E-2</c:v>
                </c:pt>
                <c:pt idx="8">
                  <c:v>-1.1559522248243559E-2</c:v>
                </c:pt>
                <c:pt idx="9">
                  <c:v>-1.1297567426726643E-2</c:v>
                </c:pt>
                <c:pt idx="10">
                  <c:v>-1.0863227027027028E-2</c:v>
                </c:pt>
                <c:pt idx="11">
                  <c:v>-1.1221033342224594E-2</c:v>
                </c:pt>
                <c:pt idx="12">
                  <c:v>-1.054513836285889E-2</c:v>
                </c:pt>
                <c:pt idx="13">
                  <c:v>-9.9822931554024961E-3</c:v>
                </c:pt>
                <c:pt idx="14">
                  <c:v>-9.8776729939603104E-3</c:v>
                </c:pt>
                <c:pt idx="15">
                  <c:v>-1.0349266826923076E-2</c:v>
                </c:pt>
                <c:pt idx="16">
                  <c:v>-1.0547785559174809E-2</c:v>
                </c:pt>
                <c:pt idx="17">
                  <c:v>-1.121678447204969E-2</c:v>
                </c:pt>
                <c:pt idx="18">
                  <c:v>-1.2069164492753625E-2</c:v>
                </c:pt>
                <c:pt idx="19">
                  <c:v>-1.2071922407541697E-2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AA_S_pho_den!$A$12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AA_S_pho_den!$B$12:$U$12</c:f>
              <c:numCache>
                <c:formatCode>General</c:formatCode>
                <c:ptCount val="20"/>
                <c:pt idx="0">
                  <c:v>-8.2502515524806933E-3</c:v>
                </c:pt>
                <c:pt idx="1">
                  <c:v>-7.9125769921817284E-3</c:v>
                </c:pt>
                <c:pt idx="2">
                  <c:v>-7.7424455357726837E-3</c:v>
                </c:pt>
                <c:pt idx="3">
                  <c:v>-7.3241942077890906E-3</c:v>
                </c:pt>
                <c:pt idx="4">
                  <c:v>-7.5146180434191622E-3</c:v>
                </c:pt>
                <c:pt idx="5">
                  <c:v>-7.1957207693970184E-3</c:v>
                </c:pt>
                <c:pt idx="6">
                  <c:v>-7.2838295828759605E-3</c:v>
                </c:pt>
                <c:pt idx="7">
                  <c:v>-7.3905974563046187E-3</c:v>
                </c:pt>
                <c:pt idx="8">
                  <c:v>-7.455062872441489E-3</c:v>
                </c:pt>
                <c:pt idx="9">
                  <c:v>-7.341130447085455E-3</c:v>
                </c:pt>
                <c:pt idx="10">
                  <c:v>-7.9164478622718078E-3</c:v>
                </c:pt>
                <c:pt idx="11">
                  <c:v>-7.569504156622906E-3</c:v>
                </c:pt>
                <c:pt idx="12">
                  <c:v>-7.3322737256685134E-3</c:v>
                </c:pt>
                <c:pt idx="13">
                  <c:v>-7.2346029846335697E-3</c:v>
                </c:pt>
                <c:pt idx="14">
                  <c:v>-7.2279179838068324E-3</c:v>
                </c:pt>
                <c:pt idx="15">
                  <c:v>-7.3882512094606695E-3</c:v>
                </c:pt>
                <c:pt idx="16">
                  <c:v>-7.3744645612775876E-3</c:v>
                </c:pt>
                <c:pt idx="17">
                  <c:v>-7.498673345936427E-3</c:v>
                </c:pt>
                <c:pt idx="18">
                  <c:v>-7.4260209729729723E-3</c:v>
                </c:pt>
                <c:pt idx="19">
                  <c:v>-7.5383755725190833E-3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AA_S_pho_den!$A$13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AA_S_pho_den!$B$13:$U$13</c:f>
              <c:numCache>
                <c:formatCode>General</c:formatCode>
                <c:ptCount val="20"/>
                <c:pt idx="0">
                  <c:v>-8.310434098054105E-3</c:v>
                </c:pt>
                <c:pt idx="1">
                  <c:v>-7.9513993000111145E-3</c:v>
                </c:pt>
                <c:pt idx="2">
                  <c:v>-7.6860357125240631E-3</c:v>
                </c:pt>
                <c:pt idx="3">
                  <c:v>-7.4151516443324659E-3</c:v>
                </c:pt>
                <c:pt idx="4">
                  <c:v>-7.6414992051522437E-3</c:v>
                </c:pt>
                <c:pt idx="5">
                  <c:v>-7.4096567106473159E-3</c:v>
                </c:pt>
                <c:pt idx="6">
                  <c:v>-7.5649176408076517E-3</c:v>
                </c:pt>
                <c:pt idx="7">
                  <c:v>-7.3909309824477807E-3</c:v>
                </c:pt>
                <c:pt idx="8">
                  <c:v>-7.4918075514229356E-3</c:v>
                </c:pt>
                <c:pt idx="9">
                  <c:v>-7.1776437731849484E-3</c:v>
                </c:pt>
                <c:pt idx="10">
                  <c:v>-7.4856031388642686E-3</c:v>
                </c:pt>
                <c:pt idx="11">
                  <c:v>-7.5400697148597902E-3</c:v>
                </c:pt>
                <c:pt idx="12">
                  <c:v>-7.3155067141055137E-3</c:v>
                </c:pt>
                <c:pt idx="13">
                  <c:v>-7.2572892812166586E-3</c:v>
                </c:pt>
                <c:pt idx="14">
                  <c:v>-7.2068091844813935E-3</c:v>
                </c:pt>
                <c:pt idx="15">
                  <c:v>-7.3545248682476945E-3</c:v>
                </c:pt>
                <c:pt idx="16">
                  <c:v>-7.3586480398899591E-3</c:v>
                </c:pt>
                <c:pt idx="17">
                  <c:v>-7.0845371526826384E-3</c:v>
                </c:pt>
                <c:pt idx="18">
                  <c:v>-7.0674866912366907E-3</c:v>
                </c:pt>
                <c:pt idx="19">
                  <c:v>-7.0679038343243808E-3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AA_S_pho_den!$A$14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AA_S_pho_den!$B$14:$U$14</c:f>
              <c:numCache>
                <c:formatCode>General</c:formatCode>
                <c:ptCount val="20"/>
                <c:pt idx="0">
                  <c:v>-8.4168081631332981E-3</c:v>
                </c:pt>
                <c:pt idx="1">
                  <c:v>-7.9673794402687955E-3</c:v>
                </c:pt>
                <c:pt idx="2">
                  <c:v>-7.9325483617082981E-3</c:v>
                </c:pt>
                <c:pt idx="3">
                  <c:v>-7.5761148613199955E-3</c:v>
                </c:pt>
                <c:pt idx="4">
                  <c:v>-7.9316581325945268E-3</c:v>
                </c:pt>
                <c:pt idx="5">
                  <c:v>-7.7432325708061004E-3</c:v>
                </c:pt>
                <c:pt idx="6">
                  <c:v>-7.7382237271131178E-3</c:v>
                </c:pt>
                <c:pt idx="7">
                  <c:v>-7.4949870297488959E-3</c:v>
                </c:pt>
                <c:pt idx="8">
                  <c:v>-7.6238850942318666E-3</c:v>
                </c:pt>
                <c:pt idx="9">
                  <c:v>-7.5897193596235271E-3</c:v>
                </c:pt>
                <c:pt idx="10">
                  <c:v>-7.8159222826688253E-3</c:v>
                </c:pt>
                <c:pt idx="11">
                  <c:v>-7.665707167565059E-3</c:v>
                </c:pt>
                <c:pt idx="12">
                  <c:v>-7.5081713179238063E-3</c:v>
                </c:pt>
                <c:pt idx="13">
                  <c:v>-7.4323619419633009E-3</c:v>
                </c:pt>
                <c:pt idx="14">
                  <c:v>-7.4473432875975243E-3</c:v>
                </c:pt>
                <c:pt idx="15">
                  <c:v>-7.6164613616776797E-3</c:v>
                </c:pt>
                <c:pt idx="16">
                  <c:v>-7.6331320172732878E-3</c:v>
                </c:pt>
                <c:pt idx="17">
                  <c:v>-7.6865484567901236E-3</c:v>
                </c:pt>
                <c:pt idx="18">
                  <c:v>-7.5762375656472031E-3</c:v>
                </c:pt>
                <c:pt idx="19">
                  <c:v>-7.6385154845154844E-3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AA_S_pho_den!$A$15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AA_S_pho_den!$B$15:$U$15</c:f>
              <c:numCache>
                <c:formatCode>General</c:formatCode>
                <c:ptCount val="20"/>
                <c:pt idx="0">
                  <c:v>-8.0752905424797163E-3</c:v>
                </c:pt>
                <c:pt idx="1">
                  <c:v>-8.2383194403982136E-3</c:v>
                </c:pt>
                <c:pt idx="2">
                  <c:v>-8.0918323187444095E-3</c:v>
                </c:pt>
                <c:pt idx="3">
                  <c:v>-7.8901872315366491E-3</c:v>
                </c:pt>
                <c:pt idx="4">
                  <c:v>-7.9924026161624535E-3</c:v>
                </c:pt>
                <c:pt idx="5">
                  <c:v>-7.7221160562584304E-3</c:v>
                </c:pt>
                <c:pt idx="6">
                  <c:v>-8.0439724464347676E-3</c:v>
                </c:pt>
                <c:pt idx="7">
                  <c:v>-7.9220280188313473E-3</c:v>
                </c:pt>
                <c:pt idx="8">
                  <c:v>-7.9683038274296729E-3</c:v>
                </c:pt>
                <c:pt idx="9">
                  <c:v>-7.7062826331633074E-3</c:v>
                </c:pt>
                <c:pt idx="10">
                  <c:v>-8.1619352430009097E-3</c:v>
                </c:pt>
                <c:pt idx="11">
                  <c:v>-8.2567635779606015E-3</c:v>
                </c:pt>
                <c:pt idx="12">
                  <c:v>-8.1725882902041885E-3</c:v>
                </c:pt>
                <c:pt idx="13">
                  <c:v>-8.100300456694175E-3</c:v>
                </c:pt>
                <c:pt idx="14">
                  <c:v>-7.8717807227825769E-3</c:v>
                </c:pt>
                <c:pt idx="15">
                  <c:v>-7.8972049689441E-3</c:v>
                </c:pt>
                <c:pt idx="16">
                  <c:v>-7.8006248064469881E-3</c:v>
                </c:pt>
                <c:pt idx="17">
                  <c:v>-7.9002360478840003E-3</c:v>
                </c:pt>
                <c:pt idx="18">
                  <c:v>-7.8040066111934349E-3</c:v>
                </c:pt>
                <c:pt idx="19">
                  <c:v>-7.8185339345589102E-3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AA_S_pho_den!$A$16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AA_S_pho_den!$B$16:$U$16</c:f>
              <c:numCache>
                <c:formatCode>General</c:formatCode>
                <c:ptCount val="20"/>
                <c:pt idx="0">
                  <c:v>-1.2615192006177896E-2</c:v>
                </c:pt>
                <c:pt idx="1">
                  <c:v>-1.2376650661338261E-2</c:v>
                </c:pt>
                <c:pt idx="2">
                  <c:v>-1.1768631760628902E-2</c:v>
                </c:pt>
                <c:pt idx="3">
                  <c:v>-1.1098385407913646E-2</c:v>
                </c:pt>
                <c:pt idx="4">
                  <c:v>-1.0588800688314847E-2</c:v>
                </c:pt>
                <c:pt idx="5">
                  <c:v>-1.0252156268461201E-2</c:v>
                </c:pt>
                <c:pt idx="6">
                  <c:v>-1.0596913537719601E-2</c:v>
                </c:pt>
                <c:pt idx="7">
                  <c:v>-1.0222640942061004E-2</c:v>
                </c:pt>
                <c:pt idx="8">
                  <c:v>-1.0229969485103591E-2</c:v>
                </c:pt>
                <c:pt idx="9">
                  <c:v>-1.0184903289754608E-2</c:v>
                </c:pt>
                <c:pt idx="10">
                  <c:v>-1.0495294276275871E-2</c:v>
                </c:pt>
                <c:pt idx="11">
                  <c:v>-1.1079659630175095E-2</c:v>
                </c:pt>
                <c:pt idx="12">
                  <c:v>-1.1218451355517273E-2</c:v>
                </c:pt>
                <c:pt idx="13">
                  <c:v>-1.1285685566265179E-2</c:v>
                </c:pt>
                <c:pt idx="14">
                  <c:v>-1.0973412190168085E-2</c:v>
                </c:pt>
                <c:pt idx="15">
                  <c:v>-1.0568649124139606E-2</c:v>
                </c:pt>
                <c:pt idx="16">
                  <c:v>-9.9216173241859339E-3</c:v>
                </c:pt>
                <c:pt idx="17">
                  <c:v>-1.0212066326214188E-2</c:v>
                </c:pt>
                <c:pt idx="18">
                  <c:v>-1.0629509405107816E-2</c:v>
                </c:pt>
                <c:pt idx="19">
                  <c:v>-1.0854878603195521E-2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AA_S_pho_den!$A$17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AA_S_pho_den!$B$17:$U$17</c:f>
              <c:numCache>
                <c:formatCode>General</c:formatCode>
                <c:ptCount val="20"/>
                <c:pt idx="0">
                  <c:v>-1.2605670571969147E-2</c:v>
                </c:pt>
                <c:pt idx="1">
                  <c:v>-1.2414551017141794E-2</c:v>
                </c:pt>
                <c:pt idx="2">
                  <c:v>-1.156703335537039E-2</c:v>
                </c:pt>
                <c:pt idx="3">
                  <c:v>-1.1069843257556413E-2</c:v>
                </c:pt>
                <c:pt idx="4">
                  <c:v>-1.1333669272834935E-2</c:v>
                </c:pt>
                <c:pt idx="5">
                  <c:v>-1.0362297318513373E-2</c:v>
                </c:pt>
                <c:pt idx="6">
                  <c:v>-1.0364423751841302E-2</c:v>
                </c:pt>
                <c:pt idx="7">
                  <c:v>-1.0450235893564823E-2</c:v>
                </c:pt>
                <c:pt idx="8">
                  <c:v>-1.0487427179830007E-2</c:v>
                </c:pt>
                <c:pt idx="9">
                  <c:v>-1.0547661168635203E-2</c:v>
                </c:pt>
                <c:pt idx="10">
                  <c:v>-1.0863439452543887E-2</c:v>
                </c:pt>
                <c:pt idx="11">
                  <c:v>-1.0615238974832603E-2</c:v>
                </c:pt>
                <c:pt idx="12">
                  <c:v>-1.0523028711781146E-2</c:v>
                </c:pt>
                <c:pt idx="13">
                  <c:v>-1.0425199009375554E-2</c:v>
                </c:pt>
                <c:pt idx="14">
                  <c:v>-1.029475717450164E-2</c:v>
                </c:pt>
                <c:pt idx="15">
                  <c:v>-1.04701203459527E-2</c:v>
                </c:pt>
                <c:pt idx="16">
                  <c:v>-1.0370025579361609E-2</c:v>
                </c:pt>
                <c:pt idx="17">
                  <c:v>-1.092656230071413E-2</c:v>
                </c:pt>
                <c:pt idx="18">
                  <c:v>-1.1202071796159157E-2</c:v>
                </c:pt>
                <c:pt idx="19">
                  <c:v>-1.1312598210812914E-2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AA_S_pho_den!$A$18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AA_S_pho_den!$B$18:$U$18</c:f>
              <c:numCache>
                <c:formatCode>General</c:formatCode>
                <c:ptCount val="20"/>
                <c:pt idx="0">
                  <c:v>-1.3042843168066148E-2</c:v>
                </c:pt>
                <c:pt idx="1">
                  <c:v>-1.3073383532692336E-2</c:v>
                </c:pt>
                <c:pt idx="2">
                  <c:v>-1.2523815253970276E-2</c:v>
                </c:pt>
                <c:pt idx="3">
                  <c:v>-1.1978212989365241E-2</c:v>
                </c:pt>
                <c:pt idx="4">
                  <c:v>-1.2084749255782002E-2</c:v>
                </c:pt>
                <c:pt idx="5">
                  <c:v>-1.172335914951932E-2</c:v>
                </c:pt>
                <c:pt idx="6">
                  <c:v>-1.1936652887051607E-2</c:v>
                </c:pt>
                <c:pt idx="7">
                  <c:v>-1.2041396750962987E-2</c:v>
                </c:pt>
                <c:pt idx="8">
                  <c:v>-1.2223733641648266E-2</c:v>
                </c:pt>
                <c:pt idx="9">
                  <c:v>-1.1831127389013782E-2</c:v>
                </c:pt>
                <c:pt idx="10">
                  <c:v>-1.2071081615362892E-2</c:v>
                </c:pt>
                <c:pt idx="11">
                  <c:v>-1.2296074957044673E-2</c:v>
                </c:pt>
                <c:pt idx="12">
                  <c:v>-1.2244986838956688E-2</c:v>
                </c:pt>
                <c:pt idx="13">
                  <c:v>-1.2120517469837506E-2</c:v>
                </c:pt>
                <c:pt idx="14">
                  <c:v>-1.162757492773467E-2</c:v>
                </c:pt>
                <c:pt idx="15">
                  <c:v>-1.1496192420342593E-2</c:v>
                </c:pt>
                <c:pt idx="16">
                  <c:v>-1.1385659794750704E-2</c:v>
                </c:pt>
                <c:pt idx="17">
                  <c:v>-1.1912045035426574E-2</c:v>
                </c:pt>
                <c:pt idx="18">
                  <c:v>-1.2285650402464474E-2</c:v>
                </c:pt>
                <c:pt idx="19">
                  <c:v>-1.2083514486965966E-2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AA_S_pho_den!$A$19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AA_S_pho_den!$B$19:$U$19</c:f>
              <c:numCache>
                <c:formatCode>General</c:formatCode>
                <c:ptCount val="20"/>
                <c:pt idx="0">
                  <c:v>-1.2764062675458798E-2</c:v>
                </c:pt>
                <c:pt idx="1">
                  <c:v>-1.2616011466336568E-2</c:v>
                </c:pt>
                <c:pt idx="2">
                  <c:v>-1.1674597012906242E-2</c:v>
                </c:pt>
                <c:pt idx="3">
                  <c:v>-1.0823735100463925E-2</c:v>
                </c:pt>
                <c:pt idx="4">
                  <c:v>-1.0457724477651415E-2</c:v>
                </c:pt>
                <c:pt idx="5">
                  <c:v>-9.6510379462098426E-3</c:v>
                </c:pt>
                <c:pt idx="6">
                  <c:v>-9.8251787440841714E-3</c:v>
                </c:pt>
                <c:pt idx="7">
                  <c:v>-9.3169412884601243E-3</c:v>
                </c:pt>
                <c:pt idx="8">
                  <c:v>-9.1819882049682128E-3</c:v>
                </c:pt>
                <c:pt idx="9">
                  <c:v>-8.7833149386589912E-3</c:v>
                </c:pt>
                <c:pt idx="10">
                  <c:v>-9.267519382300483E-3</c:v>
                </c:pt>
                <c:pt idx="11">
                  <c:v>-9.4465428758530989E-3</c:v>
                </c:pt>
                <c:pt idx="12">
                  <c:v>-8.7863414634146344E-3</c:v>
                </c:pt>
                <c:pt idx="13">
                  <c:v>-9.1400359874044077E-3</c:v>
                </c:pt>
                <c:pt idx="14">
                  <c:v>-9.1295668029616542E-3</c:v>
                </c:pt>
                <c:pt idx="15">
                  <c:v>-9.4145443963008467E-3</c:v>
                </c:pt>
                <c:pt idx="16">
                  <c:v>-9.2009209100758389E-3</c:v>
                </c:pt>
                <c:pt idx="17">
                  <c:v>-9.260815694372742E-3</c:v>
                </c:pt>
                <c:pt idx="18">
                  <c:v>-9.6707111588337329E-3</c:v>
                </c:pt>
                <c:pt idx="19">
                  <c:v>-9.7126443564022596E-3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AA_S_pho_den!$A$20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AA_S_pho_den!$B$20:$U$20</c:f>
              <c:numCache>
                <c:formatCode>General</c:formatCode>
                <c:ptCount val="20"/>
                <c:pt idx="0">
                  <c:v>-1.2414541274604054E-2</c:v>
                </c:pt>
                <c:pt idx="1">
                  <c:v>-1.2383895579696515E-2</c:v>
                </c:pt>
                <c:pt idx="2">
                  <c:v>-1.1483068233570841E-2</c:v>
                </c:pt>
                <c:pt idx="3">
                  <c:v>-1.0812323834640303E-2</c:v>
                </c:pt>
                <c:pt idx="4">
                  <c:v>-1.0718960948674028E-2</c:v>
                </c:pt>
                <c:pt idx="5">
                  <c:v>-9.8005210230721913E-3</c:v>
                </c:pt>
                <c:pt idx="6">
                  <c:v>-9.890770137056323E-3</c:v>
                </c:pt>
                <c:pt idx="7">
                  <c:v>-9.8533630287811098E-3</c:v>
                </c:pt>
                <c:pt idx="8">
                  <c:v>-9.4079355210795433E-3</c:v>
                </c:pt>
                <c:pt idx="9">
                  <c:v>-9.0945270718050999E-3</c:v>
                </c:pt>
                <c:pt idx="10">
                  <c:v>-9.7359039569555675E-3</c:v>
                </c:pt>
                <c:pt idx="11">
                  <c:v>-9.993267081535015E-3</c:v>
                </c:pt>
                <c:pt idx="12">
                  <c:v>-9.4658375971195755E-3</c:v>
                </c:pt>
                <c:pt idx="13">
                  <c:v>-9.6501845018450178E-3</c:v>
                </c:pt>
                <c:pt idx="14">
                  <c:v>-9.678728961114335E-3</c:v>
                </c:pt>
                <c:pt idx="15">
                  <c:v>-9.7245431789737165E-3</c:v>
                </c:pt>
                <c:pt idx="16">
                  <c:v>-9.555522614975295E-3</c:v>
                </c:pt>
                <c:pt idx="17">
                  <c:v>-9.931061946902655E-3</c:v>
                </c:pt>
                <c:pt idx="18">
                  <c:v>-1.0138103217158178E-2</c:v>
                </c:pt>
                <c:pt idx="19">
                  <c:v>-1.0299295209206888E-2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AA_S_pho_den!$A$21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AA_S_pho_den!$B$21:$U$21</c:f>
              <c:numCache>
                <c:formatCode>General</c:formatCode>
                <c:ptCount val="20"/>
                <c:pt idx="0">
                  <c:v>-1.2463701117184273E-2</c:v>
                </c:pt>
                <c:pt idx="1">
                  <c:v>-1.2438204617345185E-2</c:v>
                </c:pt>
                <c:pt idx="2">
                  <c:v>-1.1518227632804091E-2</c:v>
                </c:pt>
                <c:pt idx="3">
                  <c:v>-1.0717514759307555E-2</c:v>
                </c:pt>
                <c:pt idx="4">
                  <c:v>-1.0584276993163664E-2</c:v>
                </c:pt>
                <c:pt idx="5">
                  <c:v>-9.8581965702477532E-3</c:v>
                </c:pt>
                <c:pt idx="6">
                  <c:v>-1.0166541655859344E-2</c:v>
                </c:pt>
                <c:pt idx="7">
                  <c:v>-9.7381078244933531E-3</c:v>
                </c:pt>
                <c:pt idx="8">
                  <c:v>-9.7945624784857681E-3</c:v>
                </c:pt>
                <c:pt idx="9">
                  <c:v>-9.2137800760649716E-3</c:v>
                </c:pt>
                <c:pt idx="10">
                  <c:v>-9.9079399661633899E-3</c:v>
                </c:pt>
                <c:pt idx="11">
                  <c:v>-9.9843810769245384E-3</c:v>
                </c:pt>
                <c:pt idx="12">
                  <c:v>-9.5652481260081607E-3</c:v>
                </c:pt>
                <c:pt idx="13">
                  <c:v>-9.6104104055437338E-3</c:v>
                </c:pt>
                <c:pt idx="14">
                  <c:v>-9.8780820328363411E-3</c:v>
                </c:pt>
                <c:pt idx="15">
                  <c:v>-1.0033433794142699E-2</c:v>
                </c:pt>
                <c:pt idx="16">
                  <c:v>-9.6795667365478667E-3</c:v>
                </c:pt>
                <c:pt idx="17">
                  <c:v>-9.8480372381691238E-3</c:v>
                </c:pt>
                <c:pt idx="18">
                  <c:v>-9.9250880724710607E-3</c:v>
                </c:pt>
                <c:pt idx="19">
                  <c:v>-1.0019561227165456E-2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AA_S_pho_den!$A$22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AA_S_pho_den!$B$22:$U$22</c:f>
              <c:numCache>
                <c:formatCode>General</c:formatCode>
                <c:ptCount val="20"/>
                <c:pt idx="0">
                  <c:v>-1.2405385168078332E-2</c:v>
                </c:pt>
                <c:pt idx="1">
                  <c:v>-1.2356500085762374E-2</c:v>
                </c:pt>
                <c:pt idx="2">
                  <c:v>-1.1284030065192073E-2</c:v>
                </c:pt>
                <c:pt idx="3">
                  <c:v>-1.048011053878257E-2</c:v>
                </c:pt>
                <c:pt idx="4">
                  <c:v>-1.039376066374053E-2</c:v>
                </c:pt>
                <c:pt idx="5">
                  <c:v>-9.5902702631127882E-3</c:v>
                </c:pt>
                <c:pt idx="6">
                  <c:v>-9.6369515862612283E-3</c:v>
                </c:pt>
                <c:pt idx="7">
                  <c:v>-9.4608739815850249E-3</c:v>
                </c:pt>
                <c:pt idx="8">
                  <c:v>-9.2913071412418034E-3</c:v>
                </c:pt>
                <c:pt idx="9">
                  <c:v>-8.9567311368725123E-3</c:v>
                </c:pt>
                <c:pt idx="10">
                  <c:v>-9.7689090076994774E-3</c:v>
                </c:pt>
                <c:pt idx="11">
                  <c:v>-9.8390265493930283E-3</c:v>
                </c:pt>
                <c:pt idx="12">
                  <c:v>-9.3614632564173843E-3</c:v>
                </c:pt>
                <c:pt idx="13">
                  <c:v>-9.3157579790138223E-3</c:v>
                </c:pt>
                <c:pt idx="14">
                  <c:v>-9.4193640158715432E-3</c:v>
                </c:pt>
                <c:pt idx="15">
                  <c:v>-9.3765375996015931E-3</c:v>
                </c:pt>
                <c:pt idx="16">
                  <c:v>-9.0701110670368904E-3</c:v>
                </c:pt>
                <c:pt idx="17">
                  <c:v>-9.5222043912758028E-3</c:v>
                </c:pt>
                <c:pt idx="18">
                  <c:v>-9.9130039312418095E-3</c:v>
                </c:pt>
                <c:pt idx="19">
                  <c:v>-9.9555494462336032E-3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AA_S_pho_den!$A$23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AA_S_pho_den!$B$23:$U$23</c:f>
              <c:numCache>
                <c:formatCode>General</c:formatCode>
                <c:ptCount val="20"/>
                <c:pt idx="0">
                  <c:v>-1.2451220117097438E-2</c:v>
                </c:pt>
                <c:pt idx="1">
                  <c:v>-1.2434854309876456E-2</c:v>
                </c:pt>
                <c:pt idx="2">
                  <c:v>-1.1502680017592182E-2</c:v>
                </c:pt>
                <c:pt idx="3">
                  <c:v>-1.0891349912380536E-2</c:v>
                </c:pt>
                <c:pt idx="4">
                  <c:v>-1.0696509452513919E-2</c:v>
                </c:pt>
                <c:pt idx="5">
                  <c:v>-9.8057503228089725E-3</c:v>
                </c:pt>
                <c:pt idx="6">
                  <c:v>-1.005472101050252E-2</c:v>
                </c:pt>
                <c:pt idx="7">
                  <c:v>-9.7413909530917851E-3</c:v>
                </c:pt>
                <c:pt idx="8">
                  <c:v>-9.5618767073540976E-3</c:v>
                </c:pt>
                <c:pt idx="9">
                  <c:v>-9.1988083404504102E-3</c:v>
                </c:pt>
                <c:pt idx="10">
                  <c:v>-9.8196653146464356E-3</c:v>
                </c:pt>
                <c:pt idx="11">
                  <c:v>-9.8740396566537915E-3</c:v>
                </c:pt>
                <c:pt idx="12">
                  <c:v>-9.5406348116169534E-3</c:v>
                </c:pt>
                <c:pt idx="13">
                  <c:v>-9.3100042899201332E-3</c:v>
                </c:pt>
                <c:pt idx="14">
                  <c:v>-9.3859023073957822E-3</c:v>
                </c:pt>
                <c:pt idx="15">
                  <c:v>-1.0001031751314652E-2</c:v>
                </c:pt>
                <c:pt idx="16">
                  <c:v>-9.8168189185207019E-3</c:v>
                </c:pt>
                <c:pt idx="17">
                  <c:v>-1.0194242424242425E-2</c:v>
                </c:pt>
                <c:pt idx="18">
                  <c:v>-1.0137345653086939E-2</c:v>
                </c:pt>
                <c:pt idx="19">
                  <c:v>-1.0138678815489749E-2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AA_S_pho_den!$A$24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AA_S_pho_den!$B$24:$U$24</c:f>
              <c:numCache>
                <c:formatCode>General</c:formatCode>
                <c:ptCount val="20"/>
                <c:pt idx="0">
                  <c:v>-1.2319549080263959E-2</c:v>
                </c:pt>
                <c:pt idx="1">
                  <c:v>-1.2243436692417306E-2</c:v>
                </c:pt>
                <c:pt idx="2">
                  <c:v>-1.1209833833833832E-2</c:v>
                </c:pt>
                <c:pt idx="3">
                  <c:v>-1.0253791362138436E-2</c:v>
                </c:pt>
                <c:pt idx="4">
                  <c:v>-1.0175477926752965E-2</c:v>
                </c:pt>
                <c:pt idx="5">
                  <c:v>-9.3571591458295744E-3</c:v>
                </c:pt>
                <c:pt idx="6">
                  <c:v>-9.2897132454555602E-3</c:v>
                </c:pt>
                <c:pt idx="7">
                  <c:v>-9.447159068406116E-3</c:v>
                </c:pt>
                <c:pt idx="8">
                  <c:v>-9.1001507671514513E-3</c:v>
                </c:pt>
                <c:pt idx="9">
                  <c:v>-9.0403823176515279E-3</c:v>
                </c:pt>
                <c:pt idx="10">
                  <c:v>-9.7918216732855879E-3</c:v>
                </c:pt>
                <c:pt idx="11">
                  <c:v>-1.0107855409146174E-2</c:v>
                </c:pt>
                <c:pt idx="12">
                  <c:v>-9.654766207887298E-3</c:v>
                </c:pt>
                <c:pt idx="13">
                  <c:v>-9.4290713295254267E-3</c:v>
                </c:pt>
                <c:pt idx="14">
                  <c:v>-9.215998895137769E-3</c:v>
                </c:pt>
                <c:pt idx="15">
                  <c:v>-9.4871048000485479E-3</c:v>
                </c:pt>
                <c:pt idx="16">
                  <c:v>-9.208611092921223E-3</c:v>
                </c:pt>
                <c:pt idx="17">
                  <c:v>-9.3801784748512706E-3</c:v>
                </c:pt>
                <c:pt idx="18">
                  <c:v>-9.7976445861719091E-3</c:v>
                </c:pt>
                <c:pt idx="19">
                  <c:v>-9.7988580750407832E-3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AA_S_pho_den!$A$25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AA_S_pho_den!$B$25:$U$25</c:f>
              <c:numCache>
                <c:formatCode>General</c:formatCode>
                <c:ptCount val="20"/>
                <c:pt idx="0">
                  <c:v>-1.2304643564568327E-2</c:v>
                </c:pt>
                <c:pt idx="1">
                  <c:v>-1.2270419187554019E-2</c:v>
                </c:pt>
                <c:pt idx="2">
                  <c:v>-1.1303463884658856E-2</c:v>
                </c:pt>
                <c:pt idx="3">
                  <c:v>-1.0487571848407236E-2</c:v>
                </c:pt>
                <c:pt idx="4">
                  <c:v>-1.034715731418563E-2</c:v>
                </c:pt>
                <c:pt idx="5">
                  <c:v>-9.4845297202463246E-3</c:v>
                </c:pt>
                <c:pt idx="6">
                  <c:v>-9.6532449420191277E-3</c:v>
                </c:pt>
                <c:pt idx="7">
                  <c:v>-9.4562908633577265E-3</c:v>
                </c:pt>
                <c:pt idx="8">
                  <c:v>-9.152753871588766E-3</c:v>
                </c:pt>
                <c:pt idx="9">
                  <c:v>-8.8247037341379359E-3</c:v>
                </c:pt>
                <c:pt idx="10">
                  <c:v>-9.5287755677821769E-3</c:v>
                </c:pt>
                <c:pt idx="11">
                  <c:v>-9.8860229425841543E-3</c:v>
                </c:pt>
                <c:pt idx="12">
                  <c:v>-9.1794895591647344E-3</c:v>
                </c:pt>
                <c:pt idx="13">
                  <c:v>-9.3035540820264936E-3</c:v>
                </c:pt>
                <c:pt idx="14">
                  <c:v>-9.3943872296601439E-3</c:v>
                </c:pt>
                <c:pt idx="15">
                  <c:v>-9.5216110150325925E-3</c:v>
                </c:pt>
                <c:pt idx="16">
                  <c:v>-9.3856324649018649E-3</c:v>
                </c:pt>
                <c:pt idx="17">
                  <c:v>-9.8461000621504029E-3</c:v>
                </c:pt>
                <c:pt idx="18">
                  <c:v>-1.0065523778125774E-2</c:v>
                </c:pt>
                <c:pt idx="19">
                  <c:v>-9.9779849007363228E-3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AA_S_pho_den!$A$26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AA_S_pho_den!$B$26:$U$26</c:f>
              <c:numCache>
                <c:formatCode>General</c:formatCode>
                <c:ptCount val="20"/>
                <c:pt idx="0">
                  <c:v>-1.2781364729712622E-2</c:v>
                </c:pt>
                <c:pt idx="1">
                  <c:v>-1.2941329998165697E-2</c:v>
                </c:pt>
                <c:pt idx="2">
                  <c:v>-1.229935882965051E-2</c:v>
                </c:pt>
                <c:pt idx="3">
                  <c:v>-1.1622192814921528E-2</c:v>
                </c:pt>
                <c:pt idx="4">
                  <c:v>-1.1669628008406256E-2</c:v>
                </c:pt>
                <c:pt idx="5">
                  <c:v>-1.0801913543092052E-2</c:v>
                </c:pt>
                <c:pt idx="6">
                  <c:v>-1.1189772765190696E-2</c:v>
                </c:pt>
                <c:pt idx="7">
                  <c:v>-1.0544753464693128E-2</c:v>
                </c:pt>
                <c:pt idx="8">
                  <c:v>-1.0557517786561265E-2</c:v>
                </c:pt>
                <c:pt idx="9">
                  <c:v>-9.7028312939338706E-3</c:v>
                </c:pt>
                <c:pt idx="10">
                  <c:v>-1.00123279517893E-2</c:v>
                </c:pt>
                <c:pt idx="11">
                  <c:v>-1.0319306594153636E-2</c:v>
                </c:pt>
                <c:pt idx="12">
                  <c:v>-1.0045724544747411E-2</c:v>
                </c:pt>
                <c:pt idx="13">
                  <c:v>-9.8514015748031487E-3</c:v>
                </c:pt>
                <c:pt idx="14">
                  <c:v>-9.2406427519250121E-3</c:v>
                </c:pt>
                <c:pt idx="15">
                  <c:v>-9.3840476883406462E-3</c:v>
                </c:pt>
                <c:pt idx="16">
                  <c:v>-8.9279410561941518E-3</c:v>
                </c:pt>
                <c:pt idx="17">
                  <c:v>-8.6356196119093467E-3</c:v>
                </c:pt>
                <c:pt idx="18">
                  <c:v>-9.0222272255029885E-3</c:v>
                </c:pt>
                <c:pt idx="19">
                  <c:v>-9.1318698503223879E-3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AA_S_pho_den!$A$27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AA_S_pho_den!$B$27:$U$27</c:f>
              <c:numCache>
                <c:formatCode>General</c:formatCode>
                <c:ptCount val="20"/>
                <c:pt idx="0">
                  <c:v>-1.2679215317090875E-2</c:v>
                </c:pt>
                <c:pt idx="1">
                  <c:v>-1.2692944219851694E-2</c:v>
                </c:pt>
                <c:pt idx="2">
                  <c:v>-1.1871885440684217E-2</c:v>
                </c:pt>
                <c:pt idx="3">
                  <c:v>-1.1173151909549543E-2</c:v>
                </c:pt>
                <c:pt idx="4">
                  <c:v>-1.1196224734116597E-2</c:v>
                </c:pt>
                <c:pt idx="5">
                  <c:v>-1.056831562502043E-2</c:v>
                </c:pt>
                <c:pt idx="6">
                  <c:v>-1.0765393646682218E-2</c:v>
                </c:pt>
                <c:pt idx="7">
                  <c:v>-1.0415914533960383E-2</c:v>
                </c:pt>
                <c:pt idx="8">
                  <c:v>-1.0224864122244832E-2</c:v>
                </c:pt>
                <c:pt idx="9">
                  <c:v>-9.8568816336537593E-3</c:v>
                </c:pt>
                <c:pt idx="10">
                  <c:v>-1.034600695135518E-2</c:v>
                </c:pt>
                <c:pt idx="11">
                  <c:v>-1.0105271059821688E-2</c:v>
                </c:pt>
                <c:pt idx="12">
                  <c:v>-9.4717282450930661E-3</c:v>
                </c:pt>
                <c:pt idx="13">
                  <c:v>-9.6210982352251846E-3</c:v>
                </c:pt>
                <c:pt idx="14">
                  <c:v>-9.7801033519199464E-3</c:v>
                </c:pt>
                <c:pt idx="15">
                  <c:v>-9.8834060627218234E-3</c:v>
                </c:pt>
                <c:pt idx="16">
                  <c:v>-9.8514815499291565E-3</c:v>
                </c:pt>
                <c:pt idx="17">
                  <c:v>-9.5691056333025507E-3</c:v>
                </c:pt>
                <c:pt idx="18">
                  <c:v>-9.7772388884794E-3</c:v>
                </c:pt>
                <c:pt idx="19">
                  <c:v>-9.7702653465346536E-3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AA_S_pho_den!$A$28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AA_S_pho_den!$B$28:$U$28</c:f>
              <c:numCache>
                <c:formatCode>General</c:formatCode>
                <c:ptCount val="20"/>
                <c:pt idx="0">
                  <c:v>-1.2713402968556055E-2</c:v>
                </c:pt>
                <c:pt idx="1">
                  <c:v>-1.2755671683406042E-2</c:v>
                </c:pt>
                <c:pt idx="2">
                  <c:v>-1.1921125404193525E-2</c:v>
                </c:pt>
                <c:pt idx="3">
                  <c:v>-1.1199190734442078E-2</c:v>
                </c:pt>
                <c:pt idx="4">
                  <c:v>-1.1072023716446347E-2</c:v>
                </c:pt>
                <c:pt idx="5">
                  <c:v>-1.0461027491304974E-2</c:v>
                </c:pt>
                <c:pt idx="6">
                  <c:v>-1.0401544637943445E-2</c:v>
                </c:pt>
                <c:pt idx="7">
                  <c:v>-1.0474530687199153E-2</c:v>
                </c:pt>
                <c:pt idx="8">
                  <c:v>-1.0292249537001801E-2</c:v>
                </c:pt>
                <c:pt idx="9">
                  <c:v>-9.6146051947474265E-3</c:v>
                </c:pt>
                <c:pt idx="10">
                  <c:v>-9.7671324686016518E-3</c:v>
                </c:pt>
                <c:pt idx="11">
                  <c:v>-9.7273457638769548E-3</c:v>
                </c:pt>
                <c:pt idx="12">
                  <c:v>-9.1820156546464499E-3</c:v>
                </c:pt>
                <c:pt idx="13">
                  <c:v>-9.1521119771767936E-3</c:v>
                </c:pt>
                <c:pt idx="14">
                  <c:v>-9.1708130931757535E-3</c:v>
                </c:pt>
                <c:pt idx="15">
                  <c:v>-9.2327807626785482E-3</c:v>
                </c:pt>
                <c:pt idx="16">
                  <c:v>-9.2408063139931725E-3</c:v>
                </c:pt>
                <c:pt idx="17">
                  <c:v>-9.4121711758974741E-3</c:v>
                </c:pt>
                <c:pt idx="18">
                  <c:v>-9.72587380497132E-3</c:v>
                </c:pt>
                <c:pt idx="19">
                  <c:v>-9.7244187963726296E-3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AA_S_pho_den!$A$29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AA_S_pho_den!$B$29:$U$29</c:f>
              <c:numCache>
                <c:formatCode>General</c:formatCode>
                <c:ptCount val="20"/>
                <c:pt idx="0">
                  <c:v>-1.2565180663692371E-2</c:v>
                </c:pt>
                <c:pt idx="1">
                  <c:v>-1.2681673529856944E-2</c:v>
                </c:pt>
                <c:pt idx="2">
                  <c:v>-1.2559528908982348E-2</c:v>
                </c:pt>
                <c:pt idx="3">
                  <c:v>-1.2448004547077281E-2</c:v>
                </c:pt>
                <c:pt idx="4">
                  <c:v>-1.3081966184143423E-2</c:v>
                </c:pt>
                <c:pt idx="5">
                  <c:v>-1.3201859569877452E-2</c:v>
                </c:pt>
                <c:pt idx="6">
                  <c:v>-1.4200452395894295E-2</c:v>
                </c:pt>
                <c:pt idx="7">
                  <c:v>-1.4722528850781843E-2</c:v>
                </c:pt>
                <c:pt idx="8">
                  <c:v>-1.4974240992464442E-2</c:v>
                </c:pt>
                <c:pt idx="9">
                  <c:v>-1.5754536394762545E-2</c:v>
                </c:pt>
                <c:pt idx="10">
                  <c:v>-1.4931341115374327E-2</c:v>
                </c:pt>
                <c:pt idx="11">
                  <c:v>-1.5023831169772755E-2</c:v>
                </c:pt>
                <c:pt idx="12">
                  <c:v>-1.5339713801356203E-2</c:v>
                </c:pt>
                <c:pt idx="13">
                  <c:v>-1.5291582472788166E-2</c:v>
                </c:pt>
                <c:pt idx="14">
                  <c:v>-1.4954278800755429E-2</c:v>
                </c:pt>
                <c:pt idx="15">
                  <c:v>-1.4956853146853145E-2</c:v>
                </c:pt>
                <c:pt idx="16">
                  <c:v>-1.4427332782824114E-2</c:v>
                </c:pt>
                <c:pt idx="17">
                  <c:v>-1.436923076923077E-2</c:v>
                </c:pt>
                <c:pt idx="18">
                  <c:v>-1.4662357283887031E-2</c:v>
                </c:pt>
                <c:pt idx="19">
                  <c:v>-1.462680903803985E-2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AA_S_pho_den!$A$30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AA_S_pho_den!$B$30:$U$30</c:f>
              <c:numCache>
                <c:formatCode>General</c:formatCode>
                <c:ptCount val="20"/>
                <c:pt idx="0">
                  <c:v>-1.0929068448567869E-2</c:v>
                </c:pt>
                <c:pt idx="1">
                  <c:v>-1.0688566875566836E-2</c:v>
                </c:pt>
                <c:pt idx="2">
                  <c:v>-9.5772122512974341E-3</c:v>
                </c:pt>
                <c:pt idx="3">
                  <c:v>-9.0433952298922538E-3</c:v>
                </c:pt>
                <c:pt idx="4">
                  <c:v>-8.7841531881570484E-3</c:v>
                </c:pt>
                <c:pt idx="5">
                  <c:v>-7.8805239531217867E-3</c:v>
                </c:pt>
                <c:pt idx="6">
                  <c:v>-7.5909606081141674E-3</c:v>
                </c:pt>
                <c:pt idx="7">
                  <c:v>-7.5452872605863072E-3</c:v>
                </c:pt>
                <c:pt idx="8">
                  <c:v>-7.3228412040444741E-3</c:v>
                </c:pt>
                <c:pt idx="9">
                  <c:v>-7.0400557181981302E-3</c:v>
                </c:pt>
                <c:pt idx="10">
                  <c:v>-7.9459993540754396E-3</c:v>
                </c:pt>
                <c:pt idx="11">
                  <c:v>-8.1884734782021861E-3</c:v>
                </c:pt>
                <c:pt idx="12">
                  <c:v>-7.5369548417407364E-3</c:v>
                </c:pt>
                <c:pt idx="13">
                  <c:v>-7.4789018483655658E-3</c:v>
                </c:pt>
                <c:pt idx="14">
                  <c:v>-7.4736428571428575E-3</c:v>
                </c:pt>
                <c:pt idx="15">
                  <c:v>-7.5883801421279158E-3</c:v>
                </c:pt>
                <c:pt idx="16">
                  <c:v>-7.5368450010264831E-3</c:v>
                </c:pt>
                <c:pt idx="17">
                  <c:v>-7.8015545678933318E-3</c:v>
                </c:pt>
                <c:pt idx="18">
                  <c:v>-8.171667129025709E-3</c:v>
                </c:pt>
                <c:pt idx="19">
                  <c:v>-8.1883215608018999E-3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AA_S_pho_den!$A$31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AA_S_pho_den!$B$31:$U$31</c:f>
              <c:numCache>
                <c:formatCode>General</c:formatCode>
                <c:ptCount val="20"/>
                <c:pt idx="0">
                  <c:v>-1.1651529039663872E-2</c:v>
                </c:pt>
                <c:pt idx="1">
                  <c:v>-1.2238958678384643E-2</c:v>
                </c:pt>
                <c:pt idx="2">
                  <c:v>-1.2395426717932432E-2</c:v>
                </c:pt>
                <c:pt idx="3">
                  <c:v>-1.233946006665395E-2</c:v>
                </c:pt>
                <c:pt idx="4">
                  <c:v>-1.2563762764328853E-2</c:v>
                </c:pt>
                <c:pt idx="5">
                  <c:v>-1.2041662201342205E-2</c:v>
                </c:pt>
                <c:pt idx="6">
                  <c:v>-1.2523128934208075E-2</c:v>
                </c:pt>
                <c:pt idx="7">
                  <c:v>-1.2407644788396227E-2</c:v>
                </c:pt>
                <c:pt idx="8">
                  <c:v>-1.2351363675833298E-2</c:v>
                </c:pt>
                <c:pt idx="9">
                  <c:v>-1.2113753201470333E-2</c:v>
                </c:pt>
                <c:pt idx="10">
                  <c:v>-1.2390477290095644E-2</c:v>
                </c:pt>
                <c:pt idx="11">
                  <c:v>-1.2519543167099748E-2</c:v>
                </c:pt>
                <c:pt idx="12">
                  <c:v>-1.2409159141928805E-2</c:v>
                </c:pt>
                <c:pt idx="13">
                  <c:v>-1.2671533733161443E-2</c:v>
                </c:pt>
                <c:pt idx="14">
                  <c:v>-1.2522084038785892E-2</c:v>
                </c:pt>
                <c:pt idx="15">
                  <c:v>-1.2751658637590563E-2</c:v>
                </c:pt>
                <c:pt idx="16">
                  <c:v>-1.2317781475197182E-2</c:v>
                </c:pt>
                <c:pt idx="17">
                  <c:v>-1.2424120230783845E-2</c:v>
                </c:pt>
                <c:pt idx="18">
                  <c:v>-1.2456276956030916E-2</c:v>
                </c:pt>
                <c:pt idx="19">
                  <c:v>-1.2807022704923635E-2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AA_S_pho_den!$A$32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AA_S_pho_den!$B$32:$U$32</c:f>
              <c:numCache>
                <c:formatCode>General</c:formatCode>
                <c:ptCount val="20"/>
                <c:pt idx="0">
                  <c:v>-1.1416338336572903E-2</c:v>
                </c:pt>
                <c:pt idx="1">
                  <c:v>-1.1313844167912059E-2</c:v>
                </c:pt>
                <c:pt idx="2">
                  <c:v>-9.9357910062890572E-3</c:v>
                </c:pt>
                <c:pt idx="3">
                  <c:v>-8.6513065113934026E-3</c:v>
                </c:pt>
                <c:pt idx="4">
                  <c:v>-8.5298569094201301E-3</c:v>
                </c:pt>
                <c:pt idx="5">
                  <c:v>-8.218002679650992E-3</c:v>
                </c:pt>
                <c:pt idx="6">
                  <c:v>-8.048159775888717E-3</c:v>
                </c:pt>
                <c:pt idx="7">
                  <c:v>-7.7863195473528218E-3</c:v>
                </c:pt>
                <c:pt idx="8">
                  <c:v>-7.406970662196144E-3</c:v>
                </c:pt>
                <c:pt idx="9">
                  <c:v>-6.619347993855002E-3</c:v>
                </c:pt>
                <c:pt idx="10">
                  <c:v>-6.6629272659623779E-3</c:v>
                </c:pt>
                <c:pt idx="11">
                  <c:v>-6.9209255894858903E-3</c:v>
                </c:pt>
                <c:pt idx="12">
                  <c:v>-6.0495726261666953E-3</c:v>
                </c:pt>
                <c:pt idx="13">
                  <c:v>-6.5970556411298949E-3</c:v>
                </c:pt>
                <c:pt idx="14">
                  <c:v>-6.360074726134585E-3</c:v>
                </c:pt>
                <c:pt idx="15">
                  <c:v>-7.0562967269595179E-3</c:v>
                </c:pt>
                <c:pt idx="16">
                  <c:v>-7.0328865598027115E-3</c:v>
                </c:pt>
                <c:pt idx="17">
                  <c:v>-7.2954508956145766E-3</c:v>
                </c:pt>
                <c:pt idx="18">
                  <c:v>-7.6389116738727614E-3</c:v>
                </c:pt>
                <c:pt idx="19">
                  <c:v>-7.6389121670266376E-3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AA_S_pho_den!$A$33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AA_S_pho_den!$B$33:$U$33</c:f>
              <c:numCache>
                <c:formatCode>General</c:formatCode>
                <c:ptCount val="20"/>
                <c:pt idx="0">
                  <c:v>-1.1458450368254202E-2</c:v>
                </c:pt>
                <c:pt idx="1">
                  <c:v>-1.1012635390763562E-2</c:v>
                </c:pt>
                <c:pt idx="2">
                  <c:v>-1.0114131737720331E-2</c:v>
                </c:pt>
                <c:pt idx="3">
                  <c:v>-9.4153146746246454E-3</c:v>
                </c:pt>
                <c:pt idx="4">
                  <c:v>-9.5699699380435519E-3</c:v>
                </c:pt>
                <c:pt idx="5">
                  <c:v>-9.2289215244616644E-3</c:v>
                </c:pt>
                <c:pt idx="6">
                  <c:v>-9.6522974087158622E-3</c:v>
                </c:pt>
                <c:pt idx="7">
                  <c:v>-9.4185769616984653E-3</c:v>
                </c:pt>
                <c:pt idx="8">
                  <c:v>-9.2220824636600838E-3</c:v>
                </c:pt>
                <c:pt idx="9">
                  <c:v>-9.4561575477083281E-3</c:v>
                </c:pt>
                <c:pt idx="10">
                  <c:v>-1.0677114297793593E-2</c:v>
                </c:pt>
                <c:pt idx="11">
                  <c:v>-1.0561789741067206E-2</c:v>
                </c:pt>
                <c:pt idx="12">
                  <c:v>-1.0189578002244669E-2</c:v>
                </c:pt>
                <c:pt idx="13">
                  <c:v>-1.1031349482013524E-2</c:v>
                </c:pt>
                <c:pt idx="14">
                  <c:v>-1.150315909090909E-2</c:v>
                </c:pt>
                <c:pt idx="15">
                  <c:v>-1.0491031189083821E-2</c:v>
                </c:pt>
                <c:pt idx="16">
                  <c:v>-1.0597066179630426E-2</c:v>
                </c:pt>
                <c:pt idx="17">
                  <c:v>-1.0869906626506025E-2</c:v>
                </c:pt>
                <c:pt idx="18">
                  <c:v>-1.1119551635111876E-2</c:v>
                </c:pt>
                <c:pt idx="19">
                  <c:v>-1.1117325441239776E-2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AA_S_pho_den!$A$34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AA_S_pho_den!$B$34:$U$34</c:f>
              <c:numCache>
                <c:formatCode>General</c:formatCode>
                <c:ptCount val="20"/>
                <c:pt idx="0">
                  <c:v>-1.147271890164423E-2</c:v>
                </c:pt>
                <c:pt idx="1">
                  <c:v>-1.1016161113167553E-2</c:v>
                </c:pt>
                <c:pt idx="2">
                  <c:v>-1.0106312833443024E-2</c:v>
                </c:pt>
                <c:pt idx="3">
                  <c:v>-9.3739252598111986E-3</c:v>
                </c:pt>
                <c:pt idx="4">
                  <c:v>-9.7898994877949463E-3</c:v>
                </c:pt>
                <c:pt idx="5">
                  <c:v>-9.4271858514670247E-3</c:v>
                </c:pt>
                <c:pt idx="6">
                  <c:v>-9.6456547310967856E-3</c:v>
                </c:pt>
                <c:pt idx="7">
                  <c:v>-9.8145348016377247E-3</c:v>
                </c:pt>
                <c:pt idx="8">
                  <c:v>-9.5980857366311477E-3</c:v>
                </c:pt>
                <c:pt idx="9">
                  <c:v>-9.6525938025799219E-3</c:v>
                </c:pt>
                <c:pt idx="10">
                  <c:v>-9.2037361250250464E-3</c:v>
                </c:pt>
                <c:pt idx="11">
                  <c:v>-9.6949747191011227E-3</c:v>
                </c:pt>
                <c:pt idx="12">
                  <c:v>-9.8363671616355612E-3</c:v>
                </c:pt>
                <c:pt idx="13">
                  <c:v>-9.6551714507370056E-3</c:v>
                </c:pt>
                <c:pt idx="14">
                  <c:v>-9.5303374854028809E-3</c:v>
                </c:pt>
                <c:pt idx="15">
                  <c:v>-9.8995765109301317E-3</c:v>
                </c:pt>
                <c:pt idx="16">
                  <c:v>-1.0015074391988555E-2</c:v>
                </c:pt>
                <c:pt idx="17">
                  <c:v>-9.5594796137339049E-3</c:v>
                </c:pt>
                <c:pt idx="18">
                  <c:v>-1.0150078995713411E-2</c:v>
                </c:pt>
                <c:pt idx="19">
                  <c:v>-1.0150078995713411E-2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AA_S_pho_den!$A$35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AA_S_pho_den!$B$35:$U$35</c:f>
              <c:numCache>
                <c:formatCode>General</c:formatCode>
                <c:ptCount val="20"/>
                <c:pt idx="0">
                  <c:v>-1.0339213825223653E-2</c:v>
                </c:pt>
                <c:pt idx="1">
                  <c:v>-1.0364563684032073E-2</c:v>
                </c:pt>
                <c:pt idx="2">
                  <c:v>-1.0238956626649122E-2</c:v>
                </c:pt>
                <c:pt idx="3">
                  <c:v>-9.9146136912066224E-3</c:v>
                </c:pt>
                <c:pt idx="4">
                  <c:v>-9.8608603276534937E-3</c:v>
                </c:pt>
                <c:pt idx="5">
                  <c:v>-9.3029670938372579E-3</c:v>
                </c:pt>
                <c:pt idx="6">
                  <c:v>-9.3118060832774689E-3</c:v>
                </c:pt>
                <c:pt idx="7">
                  <c:v>-9.1554511046536662E-3</c:v>
                </c:pt>
                <c:pt idx="8">
                  <c:v>-8.966196936381279E-3</c:v>
                </c:pt>
                <c:pt idx="9">
                  <c:v>-8.3551910106464591E-3</c:v>
                </c:pt>
                <c:pt idx="10">
                  <c:v>-8.7468701165675945E-3</c:v>
                </c:pt>
                <c:pt idx="11">
                  <c:v>-8.7061155321531535E-3</c:v>
                </c:pt>
                <c:pt idx="12">
                  <c:v>-8.3420584356577489E-3</c:v>
                </c:pt>
                <c:pt idx="13">
                  <c:v>-8.1113853041147373E-3</c:v>
                </c:pt>
                <c:pt idx="14">
                  <c:v>-7.919375210704814E-3</c:v>
                </c:pt>
                <c:pt idx="15">
                  <c:v>-7.8903507716159109E-3</c:v>
                </c:pt>
                <c:pt idx="16">
                  <c:v>-7.7311612789461442E-3</c:v>
                </c:pt>
                <c:pt idx="17">
                  <c:v>-7.7692553676471637E-3</c:v>
                </c:pt>
                <c:pt idx="18">
                  <c:v>-7.7281673891137232E-3</c:v>
                </c:pt>
                <c:pt idx="19">
                  <c:v>-7.5907502452465976E-3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AA_S_pho_den!$A$36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AA_S_pho_den!$B$36:$U$36</c:f>
              <c:numCache>
                <c:formatCode>General</c:formatCode>
                <c:ptCount val="20"/>
                <c:pt idx="0">
                  <c:v>-1.1378784052035757E-2</c:v>
                </c:pt>
                <c:pt idx="1">
                  <c:v>-1.1702787187622124E-2</c:v>
                </c:pt>
                <c:pt idx="2">
                  <c:v>-1.175547625857808E-2</c:v>
                </c:pt>
                <c:pt idx="3">
                  <c:v>-1.1415786291918252E-2</c:v>
                </c:pt>
                <c:pt idx="4">
                  <c:v>-1.1538137757786449E-2</c:v>
                </c:pt>
                <c:pt idx="5">
                  <c:v>-1.099813038389778E-2</c:v>
                </c:pt>
                <c:pt idx="6">
                  <c:v>-1.1111628452731889E-2</c:v>
                </c:pt>
                <c:pt idx="7">
                  <c:v>-1.0841734478312345E-2</c:v>
                </c:pt>
                <c:pt idx="8">
                  <c:v>-1.0632282579187999E-2</c:v>
                </c:pt>
                <c:pt idx="9">
                  <c:v>-1.0278431642575043E-2</c:v>
                </c:pt>
                <c:pt idx="10">
                  <c:v>-1.0383030708282023E-2</c:v>
                </c:pt>
                <c:pt idx="11">
                  <c:v>-1.0522241131246786E-2</c:v>
                </c:pt>
                <c:pt idx="12">
                  <c:v>-1.0437848839922012E-2</c:v>
                </c:pt>
                <c:pt idx="13">
                  <c:v>-1.032936770492953E-2</c:v>
                </c:pt>
                <c:pt idx="14">
                  <c:v>-1.0085376530331808E-2</c:v>
                </c:pt>
                <c:pt idx="15">
                  <c:v>-1.0138724567111167E-2</c:v>
                </c:pt>
                <c:pt idx="16">
                  <c:v>-1.0053067149212667E-2</c:v>
                </c:pt>
                <c:pt idx="17">
                  <c:v>-1.0076989769820971E-2</c:v>
                </c:pt>
                <c:pt idx="18">
                  <c:v>-9.97013586093763E-3</c:v>
                </c:pt>
                <c:pt idx="19">
                  <c:v>-9.9913351131821603E-3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AA_S_pho_den!$A$37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AA_S_pho_den!$B$2:$U$2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AA_S_pho_den!$B$37:$U$37</c:f>
              <c:numCache>
                <c:formatCode>General</c:formatCode>
                <c:ptCount val="20"/>
                <c:pt idx="0">
                  <c:v>-1.1336166723413078E-2</c:v>
                </c:pt>
                <c:pt idx="1">
                  <c:v>-1.1463603569009063E-2</c:v>
                </c:pt>
                <c:pt idx="2">
                  <c:v>-1.1250518358384488E-2</c:v>
                </c:pt>
                <c:pt idx="3">
                  <c:v>-1.0903538248273177E-2</c:v>
                </c:pt>
                <c:pt idx="4">
                  <c:v>-1.1120064691510024E-2</c:v>
                </c:pt>
                <c:pt idx="5">
                  <c:v>-1.0876989320195365E-2</c:v>
                </c:pt>
                <c:pt idx="6">
                  <c:v>-1.1491334785121762E-2</c:v>
                </c:pt>
                <c:pt idx="7">
                  <c:v>-1.1575110032954144E-2</c:v>
                </c:pt>
                <c:pt idx="8">
                  <c:v>-1.1832454696818069E-2</c:v>
                </c:pt>
                <c:pt idx="9">
                  <c:v>-1.1908036791740828E-2</c:v>
                </c:pt>
                <c:pt idx="10">
                  <c:v>-1.201686542150193E-2</c:v>
                </c:pt>
                <c:pt idx="11">
                  <c:v>-1.2266308575343172E-2</c:v>
                </c:pt>
                <c:pt idx="12">
                  <c:v>-1.2649842997529187E-2</c:v>
                </c:pt>
                <c:pt idx="13">
                  <c:v>-1.2663753387975584E-2</c:v>
                </c:pt>
                <c:pt idx="14">
                  <c:v>-1.2423826625806959E-2</c:v>
                </c:pt>
                <c:pt idx="15">
                  <c:v>-1.2589142858370076E-2</c:v>
                </c:pt>
                <c:pt idx="16">
                  <c:v>-1.2428985980805392E-2</c:v>
                </c:pt>
                <c:pt idx="17">
                  <c:v>-1.2661766901619322E-2</c:v>
                </c:pt>
                <c:pt idx="18">
                  <c:v>-1.2872033029247762E-2</c:v>
                </c:pt>
                <c:pt idx="19">
                  <c:v>-1.2961389510945186E-2</c:v>
                </c:pt>
              </c:numCache>
            </c:numRef>
          </c:yVal>
          <c:smooth val="1"/>
        </c:ser>
        <c:axId val="96771072"/>
        <c:axId val="96781440"/>
      </c:scatterChart>
      <c:valAx>
        <c:axId val="96771072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781440"/>
        <c:crosses val="autoZero"/>
        <c:crossBetween val="midCat"/>
      </c:valAx>
      <c:valAx>
        <c:axId val="96781440"/>
        <c:scaling>
          <c:orientation val="minMax"/>
        </c:scaling>
        <c:axPos val="l"/>
        <c:numFmt formatCode="General" sourceLinked="1"/>
        <c:tickLblPos val="nextTo"/>
        <c:crossAx val="967710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148920698896801"/>
          <c:y val="7.9861475648877231E-2"/>
          <c:w val="0.2276939313984169"/>
          <c:h val="0.86590167849130595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AA_T_phi_ty!$B$3:$U$3</c:f>
              <c:numCache>
                <c:formatCode>General</c:formatCode>
                <c:ptCount val="20"/>
                <c:pt idx="0">
                  <c:v>41.159370000000003</c:v>
                </c:pt>
                <c:pt idx="1">
                  <c:v>29.024480000000001</c:v>
                </c:pt>
                <c:pt idx="2">
                  <c:v>18.561720000000001</c:v>
                </c:pt>
                <c:pt idx="3">
                  <c:v>13.12407</c:v>
                </c:pt>
                <c:pt idx="4">
                  <c:v>10.01754</c:v>
                </c:pt>
                <c:pt idx="5">
                  <c:v>8.1396519999999999</c:v>
                </c:pt>
                <c:pt idx="6">
                  <c:v>6.9629539999999999</c:v>
                </c:pt>
                <c:pt idx="7">
                  <c:v>6.1457660000000001</c:v>
                </c:pt>
                <c:pt idx="8">
                  <c:v>5.4474629999999999</c:v>
                </c:pt>
                <c:pt idx="9">
                  <c:v>4.7663000000000002</c:v>
                </c:pt>
                <c:pt idx="10">
                  <c:v>4.6380350000000004</c:v>
                </c:pt>
                <c:pt idx="11">
                  <c:v>4.282953</c:v>
                </c:pt>
                <c:pt idx="12">
                  <c:v>3.9841890000000002</c:v>
                </c:pt>
                <c:pt idx="13">
                  <c:v>3.6391119999999999</c:v>
                </c:pt>
                <c:pt idx="14">
                  <c:v>3.376261</c:v>
                </c:pt>
                <c:pt idx="15">
                  <c:v>3.1789160000000001</c:v>
                </c:pt>
                <c:pt idx="16">
                  <c:v>2.9069500000000001</c:v>
                </c:pt>
                <c:pt idx="17">
                  <c:v>2.8683610000000002</c:v>
                </c:pt>
                <c:pt idx="18">
                  <c:v>2.7519149999999999</c:v>
                </c:pt>
                <c:pt idx="19">
                  <c:v>2.7006860000000001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AA_T_phi_ty!$B$21:$U$21</c:f>
              <c:numCache>
                <c:formatCode>General</c:formatCode>
                <c:ptCount val="20"/>
                <c:pt idx="0">
                  <c:v>156.80529999999999</c:v>
                </c:pt>
                <c:pt idx="1">
                  <c:v>108.33459999999999</c:v>
                </c:pt>
                <c:pt idx="2">
                  <c:v>65.801680000000005</c:v>
                </c:pt>
                <c:pt idx="3">
                  <c:v>43.464379999999998</c:v>
                </c:pt>
                <c:pt idx="4">
                  <c:v>32.391979999999997</c:v>
                </c:pt>
                <c:pt idx="5">
                  <c:v>25.362210000000001</c:v>
                </c:pt>
                <c:pt idx="6">
                  <c:v>20.941569999999999</c:v>
                </c:pt>
                <c:pt idx="7">
                  <c:v>17.68066</c:v>
                </c:pt>
                <c:pt idx="8">
                  <c:v>15.590669999999999</c:v>
                </c:pt>
                <c:pt idx="9">
                  <c:v>13.431520000000001</c:v>
                </c:pt>
                <c:pt idx="10">
                  <c:v>12.88153</c:v>
                </c:pt>
                <c:pt idx="11">
                  <c:v>11.73793</c:v>
                </c:pt>
                <c:pt idx="12">
                  <c:v>10.641299999999999</c:v>
                </c:pt>
                <c:pt idx="13">
                  <c:v>9.7990370000000002</c:v>
                </c:pt>
                <c:pt idx="14">
                  <c:v>9.1953320000000005</c:v>
                </c:pt>
                <c:pt idx="15">
                  <c:v>8.5720089999999995</c:v>
                </c:pt>
                <c:pt idx="16">
                  <c:v>7.8355480000000002</c:v>
                </c:pt>
                <c:pt idx="17">
                  <c:v>7.5104439999999997</c:v>
                </c:pt>
                <c:pt idx="18">
                  <c:v>6.9471910000000001</c:v>
                </c:pt>
                <c:pt idx="19">
                  <c:v>6.5177370000000003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AA_T_phi_ty!$B$37:$U$37</c:f>
              <c:numCache>
                <c:formatCode>General</c:formatCode>
                <c:ptCount val="20"/>
                <c:pt idx="0">
                  <c:v>320.5693</c:v>
                </c:pt>
                <c:pt idx="1">
                  <c:v>221.62960000000001</c:v>
                </c:pt>
                <c:pt idx="2">
                  <c:v>134.54390000000001</c:v>
                </c:pt>
                <c:pt idx="3">
                  <c:v>90.087900000000005</c:v>
                </c:pt>
                <c:pt idx="4">
                  <c:v>66.995050000000006</c:v>
                </c:pt>
                <c:pt idx="5">
                  <c:v>51.914830000000002</c:v>
                </c:pt>
                <c:pt idx="6">
                  <c:v>42.139690000000002</c:v>
                </c:pt>
                <c:pt idx="7">
                  <c:v>35.006729999999997</c:v>
                </c:pt>
                <c:pt idx="8">
                  <c:v>29.962140000000002</c:v>
                </c:pt>
                <c:pt idx="9">
                  <c:v>25.472020000000001</c:v>
                </c:pt>
                <c:pt idx="10">
                  <c:v>24.401520000000001</c:v>
                </c:pt>
                <c:pt idx="11">
                  <c:v>21.69012</c:v>
                </c:pt>
                <c:pt idx="12">
                  <c:v>19.328749999999999</c:v>
                </c:pt>
                <c:pt idx="13">
                  <c:v>17.275030000000001</c:v>
                </c:pt>
                <c:pt idx="14">
                  <c:v>15.720610000000001</c:v>
                </c:pt>
                <c:pt idx="15">
                  <c:v>14.36265</c:v>
                </c:pt>
                <c:pt idx="16">
                  <c:v>12.94528</c:v>
                </c:pt>
                <c:pt idx="17">
                  <c:v>12.138949999999999</c:v>
                </c:pt>
                <c:pt idx="18">
                  <c:v>11.67778</c:v>
                </c:pt>
                <c:pt idx="19">
                  <c:v>10.96791</c:v>
                </c:pt>
              </c:numCache>
            </c:numRef>
          </c:yVal>
          <c:smooth val="1"/>
        </c:ser>
        <c:axId val="80669312"/>
        <c:axId val="97018624"/>
      </c:scatterChart>
      <c:valAx>
        <c:axId val="80669312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018624"/>
        <c:crosses val="autoZero"/>
        <c:crossBetween val="midCat"/>
      </c:valAx>
      <c:valAx>
        <c:axId val="97018624"/>
        <c:scaling>
          <c:orientation val="minMax"/>
        </c:scaling>
        <c:axPos val="l"/>
        <c:numFmt formatCode="General" sourceLinked="1"/>
        <c:tickLblPos val="nextTo"/>
        <c:crossAx val="80669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568272765586336E-2"/>
          <c:y val="3.5670745976030108E-2"/>
          <c:w val="0.81150332361078081"/>
          <c:h val="0.88384201372418814"/>
        </c:manualLayout>
      </c:layout>
      <c:scatterChart>
        <c:scatterStyle val="smoothMarker"/>
        <c:ser>
          <c:idx val="0"/>
          <c:order val="0"/>
          <c:tx>
            <c:strRef>
              <c:f>AA_T_phi_ty!$A$3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AA_T_phi_ty!$B$3:$U$3</c:f>
              <c:numCache>
                <c:formatCode>General</c:formatCode>
                <c:ptCount val="20"/>
                <c:pt idx="0">
                  <c:v>41.159370000000003</c:v>
                </c:pt>
                <c:pt idx="1">
                  <c:v>29.024480000000001</c:v>
                </c:pt>
                <c:pt idx="2">
                  <c:v>18.561720000000001</c:v>
                </c:pt>
                <c:pt idx="3">
                  <c:v>13.12407</c:v>
                </c:pt>
                <c:pt idx="4">
                  <c:v>10.01754</c:v>
                </c:pt>
                <c:pt idx="5">
                  <c:v>8.1396519999999999</c:v>
                </c:pt>
                <c:pt idx="6">
                  <c:v>6.9629539999999999</c:v>
                </c:pt>
                <c:pt idx="7">
                  <c:v>6.1457660000000001</c:v>
                </c:pt>
                <c:pt idx="8">
                  <c:v>5.4474629999999999</c:v>
                </c:pt>
                <c:pt idx="9">
                  <c:v>4.7663000000000002</c:v>
                </c:pt>
                <c:pt idx="10">
                  <c:v>4.6380350000000004</c:v>
                </c:pt>
                <c:pt idx="11">
                  <c:v>4.282953</c:v>
                </c:pt>
                <c:pt idx="12">
                  <c:v>3.9841890000000002</c:v>
                </c:pt>
                <c:pt idx="13">
                  <c:v>3.6391119999999999</c:v>
                </c:pt>
                <c:pt idx="14">
                  <c:v>3.376261</c:v>
                </c:pt>
                <c:pt idx="15">
                  <c:v>3.1789160000000001</c:v>
                </c:pt>
                <c:pt idx="16">
                  <c:v>2.9069500000000001</c:v>
                </c:pt>
                <c:pt idx="17">
                  <c:v>2.8683610000000002</c:v>
                </c:pt>
                <c:pt idx="18">
                  <c:v>2.7519149999999999</c:v>
                </c:pt>
                <c:pt idx="19">
                  <c:v>2.7006860000000001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AA_T_phi_ty!$A$4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AA_T_phi_ty!$B$4:$U$4</c:f>
              <c:numCache>
                <c:formatCode>General</c:formatCode>
                <c:ptCount val="20"/>
                <c:pt idx="0">
                  <c:v>48.649590000000003</c:v>
                </c:pt>
                <c:pt idx="1">
                  <c:v>34.059489999999997</c:v>
                </c:pt>
                <c:pt idx="2">
                  <c:v>20.94744</c:v>
                </c:pt>
                <c:pt idx="3">
                  <c:v>14.4306</c:v>
                </c:pt>
                <c:pt idx="4">
                  <c:v>10.77915</c:v>
                </c:pt>
                <c:pt idx="5">
                  <c:v>8.4772169999999996</c:v>
                </c:pt>
                <c:pt idx="6">
                  <c:v>7.2882619999999996</c:v>
                </c:pt>
                <c:pt idx="7">
                  <c:v>6.2921709999999997</c:v>
                </c:pt>
                <c:pt idx="8">
                  <c:v>5.5454540000000003</c:v>
                </c:pt>
                <c:pt idx="9">
                  <c:v>4.8341079999999996</c:v>
                </c:pt>
                <c:pt idx="10">
                  <c:v>4.6525860000000003</c:v>
                </c:pt>
                <c:pt idx="11">
                  <c:v>4.1464150000000002</c:v>
                </c:pt>
                <c:pt idx="12">
                  <c:v>3.7948710000000001</c:v>
                </c:pt>
                <c:pt idx="13">
                  <c:v>3.507199</c:v>
                </c:pt>
                <c:pt idx="14">
                  <c:v>3.2600280000000001</c:v>
                </c:pt>
                <c:pt idx="15">
                  <c:v>3.0997180000000002</c:v>
                </c:pt>
                <c:pt idx="16">
                  <c:v>2.8584420000000001</c:v>
                </c:pt>
                <c:pt idx="17">
                  <c:v>2.7034259999999999</c:v>
                </c:pt>
                <c:pt idx="18">
                  <c:v>2.5772430000000002</c:v>
                </c:pt>
                <c:pt idx="19">
                  <c:v>2.4829180000000002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AA_T_phi_ty!$A$5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AA_T_phi_ty!$B$5:$U$5</c:f>
              <c:numCache>
                <c:formatCode>General</c:formatCode>
                <c:ptCount val="20"/>
                <c:pt idx="0">
                  <c:v>94.921959999999999</c:v>
                </c:pt>
                <c:pt idx="1">
                  <c:v>68.241669999999999</c:v>
                </c:pt>
                <c:pt idx="2">
                  <c:v>43.99485</c:v>
                </c:pt>
                <c:pt idx="3">
                  <c:v>31.182079999999999</c:v>
                </c:pt>
                <c:pt idx="4">
                  <c:v>24.083259999999999</c:v>
                </c:pt>
                <c:pt idx="5">
                  <c:v>19.33512</c:v>
                </c:pt>
                <c:pt idx="6">
                  <c:v>16.136009999999999</c:v>
                </c:pt>
                <c:pt idx="7">
                  <c:v>14.021509999999999</c:v>
                </c:pt>
                <c:pt idx="8">
                  <c:v>12.567030000000001</c:v>
                </c:pt>
                <c:pt idx="9">
                  <c:v>10.88622</c:v>
                </c:pt>
                <c:pt idx="10">
                  <c:v>10.70988</c:v>
                </c:pt>
                <c:pt idx="11">
                  <c:v>9.7767189999999999</c:v>
                </c:pt>
                <c:pt idx="12">
                  <c:v>9.0117720000000006</c:v>
                </c:pt>
                <c:pt idx="13">
                  <c:v>8.4093049999999998</c:v>
                </c:pt>
                <c:pt idx="14">
                  <c:v>7.9316509999999996</c:v>
                </c:pt>
                <c:pt idx="15">
                  <c:v>7.4201790000000001</c:v>
                </c:pt>
                <c:pt idx="16">
                  <c:v>6.7421199999999999</c:v>
                </c:pt>
                <c:pt idx="17">
                  <c:v>6.4440080000000002</c:v>
                </c:pt>
                <c:pt idx="18">
                  <c:v>6.1727270000000001</c:v>
                </c:pt>
                <c:pt idx="19">
                  <c:v>5.9440299999999997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AA_T_phi_ty!$A$6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AA_T_phi_ty!$B$6:$U$6</c:f>
              <c:numCache>
                <c:formatCode>General</c:formatCode>
                <c:ptCount val="20"/>
                <c:pt idx="0">
                  <c:v>23.721769999999999</c:v>
                </c:pt>
                <c:pt idx="1">
                  <c:v>15.082000000000001</c:v>
                </c:pt>
                <c:pt idx="2">
                  <c:v>8.6094469999999994</c:v>
                </c:pt>
                <c:pt idx="3">
                  <c:v>5.9888830000000004</c:v>
                </c:pt>
                <c:pt idx="4">
                  <c:v>4.4327920000000001</c:v>
                </c:pt>
                <c:pt idx="5">
                  <c:v>3.531339</c:v>
                </c:pt>
                <c:pt idx="6">
                  <c:v>2.8994849999999999</c:v>
                </c:pt>
                <c:pt idx="7">
                  <c:v>2.4133749999999998</c:v>
                </c:pt>
                <c:pt idx="8">
                  <c:v>2.1853799999999999</c:v>
                </c:pt>
                <c:pt idx="9">
                  <c:v>1.9268860000000001</c:v>
                </c:pt>
                <c:pt idx="10">
                  <c:v>1.867197</c:v>
                </c:pt>
                <c:pt idx="11">
                  <c:v>1.7074180000000001</c:v>
                </c:pt>
                <c:pt idx="12">
                  <c:v>1.5817000000000001</c:v>
                </c:pt>
                <c:pt idx="13">
                  <c:v>1.4316409999999999</c:v>
                </c:pt>
                <c:pt idx="14">
                  <c:v>1.3306420000000001</c:v>
                </c:pt>
                <c:pt idx="15">
                  <c:v>1.214156</c:v>
                </c:pt>
                <c:pt idx="16">
                  <c:v>1.16445</c:v>
                </c:pt>
                <c:pt idx="17">
                  <c:v>1.1102780000000001</c:v>
                </c:pt>
                <c:pt idx="18">
                  <c:v>1.0512630000000001</c:v>
                </c:pt>
                <c:pt idx="19">
                  <c:v>1.010705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AA_T_phi_ty!$A$7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AA_T_phi_ty!$B$7:$U$7</c:f>
              <c:numCache>
                <c:formatCode>General</c:formatCode>
                <c:ptCount val="20"/>
                <c:pt idx="0">
                  <c:v>24.226089999999999</c:v>
                </c:pt>
                <c:pt idx="1">
                  <c:v>15.26432</c:v>
                </c:pt>
                <c:pt idx="2">
                  <c:v>8.8853209999999994</c:v>
                </c:pt>
                <c:pt idx="3">
                  <c:v>6.1345720000000004</c:v>
                </c:pt>
                <c:pt idx="4">
                  <c:v>4.7079389999999997</c:v>
                </c:pt>
                <c:pt idx="5">
                  <c:v>3.7167919999999999</c:v>
                </c:pt>
                <c:pt idx="6">
                  <c:v>3.0635759999999999</c:v>
                </c:pt>
                <c:pt idx="7">
                  <c:v>2.6370010000000002</c:v>
                </c:pt>
                <c:pt idx="8">
                  <c:v>2.4226390000000002</c:v>
                </c:pt>
                <c:pt idx="9">
                  <c:v>2.127005</c:v>
                </c:pt>
                <c:pt idx="10">
                  <c:v>2.0785960000000001</c:v>
                </c:pt>
                <c:pt idx="11">
                  <c:v>1.901975</c:v>
                </c:pt>
                <c:pt idx="12">
                  <c:v>1.7034879999999999</c:v>
                </c:pt>
                <c:pt idx="13">
                  <c:v>1.53243</c:v>
                </c:pt>
                <c:pt idx="14">
                  <c:v>1.391394</c:v>
                </c:pt>
                <c:pt idx="15">
                  <c:v>1.309291</c:v>
                </c:pt>
                <c:pt idx="16">
                  <c:v>1.2325870000000001</c:v>
                </c:pt>
                <c:pt idx="17">
                  <c:v>1.1539360000000001</c:v>
                </c:pt>
                <c:pt idx="18">
                  <c:v>1.110412</c:v>
                </c:pt>
                <c:pt idx="19">
                  <c:v>1.078033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AA_T_phi_ty!$A$8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AA_T_phi_ty!$B$8:$U$8</c:f>
              <c:numCache>
                <c:formatCode>General</c:formatCode>
                <c:ptCount val="20"/>
                <c:pt idx="0">
                  <c:v>24.57207</c:v>
                </c:pt>
                <c:pt idx="1">
                  <c:v>15.8888</c:v>
                </c:pt>
                <c:pt idx="2">
                  <c:v>9.0188790000000001</c:v>
                </c:pt>
                <c:pt idx="3">
                  <c:v>6.2378010000000002</c:v>
                </c:pt>
                <c:pt idx="4">
                  <c:v>4.719862</c:v>
                </c:pt>
                <c:pt idx="5">
                  <c:v>3.7076690000000001</c:v>
                </c:pt>
                <c:pt idx="6">
                  <c:v>3.0425239999999998</c:v>
                </c:pt>
                <c:pt idx="7">
                  <c:v>2.5075430000000001</c:v>
                </c:pt>
                <c:pt idx="8">
                  <c:v>2.290883</c:v>
                </c:pt>
                <c:pt idx="9">
                  <c:v>2.0032909999999999</c:v>
                </c:pt>
                <c:pt idx="10">
                  <c:v>1.983479</c:v>
                </c:pt>
                <c:pt idx="11">
                  <c:v>1.8475029999999999</c:v>
                </c:pt>
                <c:pt idx="12">
                  <c:v>1.6750240000000001</c:v>
                </c:pt>
                <c:pt idx="13">
                  <c:v>1.517117</c:v>
                </c:pt>
                <c:pt idx="14">
                  <c:v>1.3732960000000001</c:v>
                </c:pt>
                <c:pt idx="15">
                  <c:v>1.2891680000000001</c:v>
                </c:pt>
                <c:pt idx="16">
                  <c:v>1.2240599999999999</c:v>
                </c:pt>
                <c:pt idx="17">
                  <c:v>1.1367229999999999</c:v>
                </c:pt>
                <c:pt idx="18">
                  <c:v>1.091394</c:v>
                </c:pt>
                <c:pt idx="19">
                  <c:v>1.0483960000000001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AA_T_phi_ty!$A$9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AA_T_phi_ty!$B$9:$U$9</c:f>
              <c:numCache>
                <c:formatCode>General</c:formatCode>
                <c:ptCount val="20"/>
                <c:pt idx="0">
                  <c:v>24.168839999999999</c:v>
                </c:pt>
                <c:pt idx="1">
                  <c:v>15.446</c:v>
                </c:pt>
                <c:pt idx="2">
                  <c:v>8.8970369999999992</c:v>
                </c:pt>
                <c:pt idx="3">
                  <c:v>6.201759</c:v>
                </c:pt>
                <c:pt idx="4">
                  <c:v>4.6491670000000003</c:v>
                </c:pt>
                <c:pt idx="5">
                  <c:v>3.5761129999999999</c:v>
                </c:pt>
                <c:pt idx="6">
                  <c:v>2.9955440000000002</c:v>
                </c:pt>
                <c:pt idx="7">
                  <c:v>2.5611839999999999</c:v>
                </c:pt>
                <c:pt idx="8">
                  <c:v>2.3016390000000002</c:v>
                </c:pt>
                <c:pt idx="9">
                  <c:v>1.982235</c:v>
                </c:pt>
                <c:pt idx="10">
                  <c:v>1.938442</c:v>
                </c:pt>
                <c:pt idx="11">
                  <c:v>1.7995019999999999</c:v>
                </c:pt>
                <c:pt idx="12">
                  <c:v>1.6499969999999999</c:v>
                </c:pt>
                <c:pt idx="13">
                  <c:v>1.4989030000000001</c:v>
                </c:pt>
                <c:pt idx="14">
                  <c:v>1.4037710000000001</c:v>
                </c:pt>
                <c:pt idx="15">
                  <c:v>1.2896110000000001</c:v>
                </c:pt>
                <c:pt idx="16">
                  <c:v>1.1943859999999999</c:v>
                </c:pt>
                <c:pt idx="17">
                  <c:v>1.1308469999999999</c:v>
                </c:pt>
                <c:pt idx="18">
                  <c:v>1.060608</c:v>
                </c:pt>
                <c:pt idx="19">
                  <c:v>1.021118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AA_T_phi_ty!$A$10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AA_T_phi_ty!$B$10:$U$10</c:f>
              <c:numCache>
                <c:formatCode>General</c:formatCode>
                <c:ptCount val="20"/>
                <c:pt idx="0">
                  <c:v>35.635440000000003</c:v>
                </c:pt>
                <c:pt idx="1">
                  <c:v>21.955729999999999</c:v>
                </c:pt>
                <c:pt idx="2">
                  <c:v>12.3667</c:v>
                </c:pt>
                <c:pt idx="3">
                  <c:v>8.4618269999999995</c:v>
                </c:pt>
                <c:pt idx="4">
                  <c:v>6.3143770000000004</c:v>
                </c:pt>
                <c:pt idx="5">
                  <c:v>4.9848059999999998</c:v>
                </c:pt>
                <c:pt idx="6">
                  <c:v>4.1238789999999996</c:v>
                </c:pt>
                <c:pt idx="7">
                  <c:v>3.4970119999999998</c:v>
                </c:pt>
                <c:pt idx="8">
                  <c:v>3.1583070000000002</c:v>
                </c:pt>
                <c:pt idx="9">
                  <c:v>2.8294890000000001</c:v>
                </c:pt>
                <c:pt idx="10">
                  <c:v>2.8193410000000001</c:v>
                </c:pt>
                <c:pt idx="11">
                  <c:v>2.5489839999999999</c:v>
                </c:pt>
                <c:pt idx="12">
                  <c:v>2.3228330000000001</c:v>
                </c:pt>
                <c:pt idx="13">
                  <c:v>2.059739</c:v>
                </c:pt>
                <c:pt idx="14">
                  <c:v>1.946002</c:v>
                </c:pt>
                <c:pt idx="15">
                  <c:v>1.8426720000000001</c:v>
                </c:pt>
                <c:pt idx="16">
                  <c:v>1.6842919999999999</c:v>
                </c:pt>
                <c:pt idx="17">
                  <c:v>1.614009</c:v>
                </c:pt>
                <c:pt idx="18">
                  <c:v>1.523949</c:v>
                </c:pt>
                <c:pt idx="19">
                  <c:v>1.4417500000000001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AA_T_phi_ty!$A$11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AA_T_phi_ty!$B$11:$U$11</c:f>
              <c:numCache>
                <c:formatCode>General</c:formatCode>
                <c:ptCount val="20"/>
                <c:pt idx="0">
                  <c:v>35.60116</c:v>
                </c:pt>
                <c:pt idx="1">
                  <c:v>22.16037</c:v>
                </c:pt>
                <c:pt idx="2">
                  <c:v>12.63715</c:v>
                </c:pt>
                <c:pt idx="3">
                  <c:v>8.4957840000000004</c:v>
                </c:pt>
                <c:pt idx="4">
                  <c:v>6.4800129999999996</c:v>
                </c:pt>
                <c:pt idx="5">
                  <c:v>5.2072419999999999</c:v>
                </c:pt>
                <c:pt idx="6">
                  <c:v>4.3553249999999997</c:v>
                </c:pt>
                <c:pt idx="7">
                  <c:v>3.6841370000000002</c:v>
                </c:pt>
                <c:pt idx="8">
                  <c:v>3.220269</c:v>
                </c:pt>
                <c:pt idx="9">
                  <c:v>2.7516820000000002</c:v>
                </c:pt>
                <c:pt idx="10">
                  <c:v>2.7669109999999999</c:v>
                </c:pt>
                <c:pt idx="11">
                  <c:v>2.5029970000000001</c:v>
                </c:pt>
                <c:pt idx="12">
                  <c:v>2.2836569999999998</c:v>
                </c:pt>
                <c:pt idx="13">
                  <c:v>2.0669409999999999</c:v>
                </c:pt>
                <c:pt idx="14">
                  <c:v>1.958402</c:v>
                </c:pt>
                <c:pt idx="15">
                  <c:v>1.789498</c:v>
                </c:pt>
                <c:pt idx="16">
                  <c:v>1.6710959999999999</c:v>
                </c:pt>
                <c:pt idx="17">
                  <c:v>1.606341</c:v>
                </c:pt>
                <c:pt idx="18">
                  <c:v>1.553585</c:v>
                </c:pt>
                <c:pt idx="19">
                  <c:v>1.4974510000000001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AA_T_phi_ty!$A$12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AA_T_phi_ty!$B$12:$U$12</c:f>
              <c:numCache>
                <c:formatCode>General</c:formatCode>
                <c:ptCount val="20"/>
                <c:pt idx="0">
                  <c:v>24.475280000000001</c:v>
                </c:pt>
                <c:pt idx="1">
                  <c:v>15.34684</c:v>
                </c:pt>
                <c:pt idx="2">
                  <c:v>9.0821079999999998</c:v>
                </c:pt>
                <c:pt idx="3">
                  <c:v>6.1131869999999999</c:v>
                </c:pt>
                <c:pt idx="4">
                  <c:v>4.4616040000000003</c:v>
                </c:pt>
                <c:pt idx="5">
                  <c:v>3.566789</c:v>
                </c:pt>
                <c:pt idx="6">
                  <c:v>2.9804210000000002</c:v>
                </c:pt>
                <c:pt idx="7">
                  <c:v>2.5148779999999999</c:v>
                </c:pt>
                <c:pt idx="8">
                  <c:v>2.1932649999999998</c:v>
                </c:pt>
                <c:pt idx="9">
                  <c:v>1.9886010000000001</c:v>
                </c:pt>
                <c:pt idx="10">
                  <c:v>1.9276439999999999</c:v>
                </c:pt>
                <c:pt idx="11">
                  <c:v>1.8588709999999999</c:v>
                </c:pt>
                <c:pt idx="12">
                  <c:v>1.6585259999999999</c:v>
                </c:pt>
                <c:pt idx="13">
                  <c:v>1.5065980000000001</c:v>
                </c:pt>
                <c:pt idx="14">
                  <c:v>1.3819269999999999</c:v>
                </c:pt>
                <c:pt idx="15">
                  <c:v>1.2877670000000001</c:v>
                </c:pt>
                <c:pt idx="16">
                  <c:v>1.1854739999999999</c:v>
                </c:pt>
                <c:pt idx="17">
                  <c:v>1.160177</c:v>
                </c:pt>
                <c:pt idx="18">
                  <c:v>1.0890850000000001</c:v>
                </c:pt>
                <c:pt idx="19">
                  <c:v>1.023657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AA_T_phi_ty!$A$13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AA_T_phi_ty!$B$13:$U$13</c:f>
              <c:numCache>
                <c:formatCode>General</c:formatCode>
                <c:ptCount val="20"/>
                <c:pt idx="0">
                  <c:v>23.49701</c:v>
                </c:pt>
                <c:pt idx="1">
                  <c:v>14.83146</c:v>
                </c:pt>
                <c:pt idx="2">
                  <c:v>8.7907790000000006</c:v>
                </c:pt>
                <c:pt idx="3">
                  <c:v>6.000578</c:v>
                </c:pt>
                <c:pt idx="4">
                  <c:v>4.6361650000000001</c:v>
                </c:pt>
                <c:pt idx="5">
                  <c:v>3.5692689999999998</c:v>
                </c:pt>
                <c:pt idx="6">
                  <c:v>3.0025569999999999</c:v>
                </c:pt>
                <c:pt idx="7">
                  <c:v>2.52075</c:v>
                </c:pt>
                <c:pt idx="8">
                  <c:v>2.176936</c:v>
                </c:pt>
                <c:pt idx="9">
                  <c:v>1.9034329999999999</c:v>
                </c:pt>
                <c:pt idx="10">
                  <c:v>1.864052</c:v>
                </c:pt>
                <c:pt idx="11">
                  <c:v>1.7190430000000001</c:v>
                </c:pt>
                <c:pt idx="12">
                  <c:v>1.584419</c:v>
                </c:pt>
                <c:pt idx="13">
                  <c:v>1.4701740000000001</c:v>
                </c:pt>
                <c:pt idx="14">
                  <c:v>1.3241419999999999</c:v>
                </c:pt>
                <c:pt idx="15">
                  <c:v>1.2801800000000001</c:v>
                </c:pt>
                <c:pt idx="16">
                  <c:v>1.139737</c:v>
                </c:pt>
                <c:pt idx="17">
                  <c:v>1.089545</c:v>
                </c:pt>
                <c:pt idx="18">
                  <c:v>1.0364789999999999</c:v>
                </c:pt>
                <c:pt idx="19">
                  <c:v>0.99519329999999995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AA_T_phi_ty!$A$14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AA_T_phi_ty!$B$14:$U$14</c:f>
              <c:numCache>
                <c:formatCode>General</c:formatCode>
                <c:ptCount val="20"/>
                <c:pt idx="0">
                  <c:v>24.400320000000001</c:v>
                </c:pt>
                <c:pt idx="1">
                  <c:v>15.6426</c:v>
                </c:pt>
                <c:pt idx="2">
                  <c:v>9.1639619999999997</c:v>
                </c:pt>
                <c:pt idx="3">
                  <c:v>6.3774179999999996</c:v>
                </c:pt>
                <c:pt idx="4">
                  <c:v>4.7877270000000003</c:v>
                </c:pt>
                <c:pt idx="5">
                  <c:v>3.8190050000000002</c:v>
                </c:pt>
                <c:pt idx="6">
                  <c:v>3.1922290000000002</c:v>
                </c:pt>
                <c:pt idx="7">
                  <c:v>2.6678980000000001</c:v>
                </c:pt>
                <c:pt idx="8">
                  <c:v>2.341602</c:v>
                </c:pt>
                <c:pt idx="9">
                  <c:v>2.0331090000000001</c:v>
                </c:pt>
                <c:pt idx="10">
                  <c:v>2.0356320000000001</c:v>
                </c:pt>
                <c:pt idx="11">
                  <c:v>1.911637</c:v>
                </c:pt>
                <c:pt idx="12">
                  <c:v>1.7791669999999999</c:v>
                </c:pt>
                <c:pt idx="13">
                  <c:v>1.6628069999999999</c:v>
                </c:pt>
                <c:pt idx="14">
                  <c:v>1.5663180000000001</c:v>
                </c:pt>
                <c:pt idx="15">
                  <c:v>1.4773019999999999</c:v>
                </c:pt>
                <c:pt idx="16">
                  <c:v>1.317434</c:v>
                </c:pt>
                <c:pt idx="17">
                  <c:v>1.2331179999999999</c:v>
                </c:pt>
                <c:pt idx="18">
                  <c:v>1.161797</c:v>
                </c:pt>
                <c:pt idx="19">
                  <c:v>1.139931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AA_T_phi_ty!$A$15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AA_T_phi_ty!$B$15:$U$15</c:f>
              <c:numCache>
                <c:formatCode>General</c:formatCode>
                <c:ptCount val="20"/>
                <c:pt idx="0">
                  <c:v>61.847110000000001</c:v>
                </c:pt>
                <c:pt idx="1">
                  <c:v>44.682040000000001</c:v>
                </c:pt>
                <c:pt idx="2">
                  <c:v>28.383859999999999</c:v>
                </c:pt>
                <c:pt idx="3">
                  <c:v>19.27599</c:v>
                </c:pt>
                <c:pt idx="4">
                  <c:v>14.60788</c:v>
                </c:pt>
                <c:pt idx="5">
                  <c:v>11.59206</c:v>
                </c:pt>
                <c:pt idx="6">
                  <c:v>9.6477970000000006</c:v>
                </c:pt>
                <c:pt idx="7">
                  <c:v>8.3652300000000004</c:v>
                </c:pt>
                <c:pt idx="8">
                  <c:v>7.3527519999999997</c:v>
                </c:pt>
                <c:pt idx="9">
                  <c:v>6.4749699999999999</c:v>
                </c:pt>
                <c:pt idx="10">
                  <c:v>6.4353290000000003</c:v>
                </c:pt>
                <c:pt idx="11">
                  <c:v>6.0510380000000001</c:v>
                </c:pt>
                <c:pt idx="12">
                  <c:v>5.572864</c:v>
                </c:pt>
                <c:pt idx="13">
                  <c:v>5.079987</c:v>
                </c:pt>
                <c:pt idx="14">
                  <c:v>4.8815189999999999</c:v>
                </c:pt>
                <c:pt idx="15">
                  <c:v>4.5891690000000001</c:v>
                </c:pt>
                <c:pt idx="16">
                  <c:v>4.091075</c:v>
                </c:pt>
                <c:pt idx="17">
                  <c:v>3.8938190000000001</c:v>
                </c:pt>
                <c:pt idx="18">
                  <c:v>3.7018840000000002</c:v>
                </c:pt>
                <c:pt idx="19">
                  <c:v>3.5249299999999999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AA_T_phi_ty!$A$16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AA_T_phi_ty!$B$16:$U$16</c:f>
              <c:numCache>
                <c:formatCode>General</c:formatCode>
                <c:ptCount val="20"/>
                <c:pt idx="0">
                  <c:v>65.110029999999995</c:v>
                </c:pt>
                <c:pt idx="1">
                  <c:v>41.618969999999997</c:v>
                </c:pt>
                <c:pt idx="2">
                  <c:v>24.093910000000001</c:v>
                </c:pt>
                <c:pt idx="3">
                  <c:v>16.463100000000001</c:v>
                </c:pt>
                <c:pt idx="4">
                  <c:v>12.432169999999999</c:v>
                </c:pt>
                <c:pt idx="5">
                  <c:v>9.7934699999999992</c:v>
                </c:pt>
                <c:pt idx="6">
                  <c:v>8.2396469999999997</c:v>
                </c:pt>
                <c:pt idx="7">
                  <c:v>7.0697770000000002</c:v>
                </c:pt>
                <c:pt idx="8">
                  <c:v>6.3210430000000004</c:v>
                </c:pt>
                <c:pt idx="9">
                  <c:v>5.393319</c:v>
                </c:pt>
                <c:pt idx="10">
                  <c:v>5.2459230000000003</c:v>
                </c:pt>
                <c:pt idx="11">
                  <c:v>4.888871</c:v>
                </c:pt>
                <c:pt idx="12">
                  <c:v>4.5102270000000004</c:v>
                </c:pt>
                <c:pt idx="13">
                  <c:v>4.0805090000000002</c:v>
                </c:pt>
                <c:pt idx="14">
                  <c:v>3.8063929999999999</c:v>
                </c:pt>
                <c:pt idx="15">
                  <c:v>3.584657</c:v>
                </c:pt>
                <c:pt idx="16">
                  <c:v>3.2994129999999999</c:v>
                </c:pt>
                <c:pt idx="17">
                  <c:v>3.1293980000000001</c:v>
                </c:pt>
                <c:pt idx="18">
                  <c:v>3.0003959999999998</c:v>
                </c:pt>
                <c:pt idx="19">
                  <c:v>2.8857940000000002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AA_T_phi_ty!$A$17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AA_T_phi_ty!$B$17:$U$17</c:f>
              <c:numCache>
                <c:formatCode>General</c:formatCode>
                <c:ptCount val="20"/>
                <c:pt idx="0">
                  <c:v>67.519040000000004</c:v>
                </c:pt>
                <c:pt idx="1">
                  <c:v>42.741419999999998</c:v>
                </c:pt>
                <c:pt idx="2">
                  <c:v>24.30621</c:v>
                </c:pt>
                <c:pt idx="3">
                  <c:v>16.403929999999999</c:v>
                </c:pt>
                <c:pt idx="4">
                  <c:v>12.49803</c:v>
                </c:pt>
                <c:pt idx="5">
                  <c:v>9.8883430000000008</c:v>
                </c:pt>
                <c:pt idx="6">
                  <c:v>8.2316870000000009</c:v>
                </c:pt>
                <c:pt idx="7">
                  <c:v>7.0850520000000001</c:v>
                </c:pt>
                <c:pt idx="8">
                  <c:v>6.225746</c:v>
                </c:pt>
                <c:pt idx="9">
                  <c:v>5.5171900000000003</c:v>
                </c:pt>
                <c:pt idx="10">
                  <c:v>5.2951759999999997</c:v>
                </c:pt>
                <c:pt idx="11">
                  <c:v>4.8076829999999999</c:v>
                </c:pt>
                <c:pt idx="12">
                  <c:v>4.4663029999999999</c:v>
                </c:pt>
                <c:pt idx="13">
                  <c:v>4.0861020000000003</c:v>
                </c:pt>
                <c:pt idx="14">
                  <c:v>3.8518919999999999</c:v>
                </c:pt>
                <c:pt idx="15">
                  <c:v>3.65238</c:v>
                </c:pt>
                <c:pt idx="16">
                  <c:v>3.3658380000000001</c:v>
                </c:pt>
                <c:pt idx="17">
                  <c:v>3.1844760000000001</c:v>
                </c:pt>
                <c:pt idx="18">
                  <c:v>3.0350739999999998</c:v>
                </c:pt>
                <c:pt idx="19">
                  <c:v>2.8376169999999998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AA_T_phi_ty!$A$18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AA_T_phi_ty!$B$18:$U$18</c:f>
              <c:numCache>
                <c:formatCode>General</c:formatCode>
                <c:ptCount val="20"/>
                <c:pt idx="0">
                  <c:v>68.731359999999995</c:v>
                </c:pt>
                <c:pt idx="1">
                  <c:v>43.32235</c:v>
                </c:pt>
                <c:pt idx="2">
                  <c:v>25.022300000000001</c:v>
                </c:pt>
                <c:pt idx="3">
                  <c:v>17.12435</c:v>
                </c:pt>
                <c:pt idx="4">
                  <c:v>12.66295</c:v>
                </c:pt>
                <c:pt idx="5">
                  <c:v>9.8976410000000001</c:v>
                </c:pt>
                <c:pt idx="6">
                  <c:v>8.3779649999999997</c:v>
                </c:pt>
                <c:pt idx="7">
                  <c:v>7.2782920000000004</c:v>
                </c:pt>
                <c:pt idx="8">
                  <c:v>6.367191</c:v>
                </c:pt>
                <c:pt idx="9">
                  <c:v>5.626379</c:v>
                </c:pt>
                <c:pt idx="10">
                  <c:v>5.423044</c:v>
                </c:pt>
                <c:pt idx="11">
                  <c:v>4.9625469999999998</c:v>
                </c:pt>
                <c:pt idx="12">
                  <c:v>4.5945309999999999</c:v>
                </c:pt>
                <c:pt idx="13">
                  <c:v>4.1213220000000002</c:v>
                </c:pt>
                <c:pt idx="14">
                  <c:v>3.8111350000000002</c:v>
                </c:pt>
                <c:pt idx="15">
                  <c:v>3.624876</c:v>
                </c:pt>
                <c:pt idx="16">
                  <c:v>3.3114910000000002</c:v>
                </c:pt>
                <c:pt idx="17">
                  <c:v>3.1627529999999999</c:v>
                </c:pt>
                <c:pt idx="18">
                  <c:v>3.0451199999999998</c:v>
                </c:pt>
                <c:pt idx="19">
                  <c:v>2.9037380000000002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AA_T_phi_ty!$A$19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AA_T_phi_ty!$B$19:$U$19</c:f>
              <c:numCache>
                <c:formatCode>General</c:formatCode>
                <c:ptCount val="20"/>
                <c:pt idx="0">
                  <c:v>153.40190000000001</c:v>
                </c:pt>
                <c:pt idx="1">
                  <c:v>106.39149999999999</c:v>
                </c:pt>
                <c:pt idx="2">
                  <c:v>64.706739999999996</c:v>
                </c:pt>
                <c:pt idx="3">
                  <c:v>43.746220000000001</c:v>
                </c:pt>
                <c:pt idx="4">
                  <c:v>32.580460000000002</c:v>
                </c:pt>
                <c:pt idx="5">
                  <c:v>25.754570000000001</c:v>
                </c:pt>
                <c:pt idx="6">
                  <c:v>21.193210000000001</c:v>
                </c:pt>
                <c:pt idx="7">
                  <c:v>17.90062</c:v>
                </c:pt>
                <c:pt idx="8">
                  <c:v>15.72246</c:v>
                </c:pt>
                <c:pt idx="9">
                  <c:v>13.35933</c:v>
                </c:pt>
                <c:pt idx="10">
                  <c:v>12.91314</c:v>
                </c:pt>
                <c:pt idx="11">
                  <c:v>11.813800000000001</c:v>
                </c:pt>
                <c:pt idx="12">
                  <c:v>10.60136</c:v>
                </c:pt>
                <c:pt idx="13">
                  <c:v>9.6440660000000005</c:v>
                </c:pt>
                <c:pt idx="14">
                  <c:v>9.0357380000000003</c:v>
                </c:pt>
                <c:pt idx="15">
                  <c:v>8.5745349999999991</c:v>
                </c:pt>
                <c:pt idx="16">
                  <c:v>7.7918589999999996</c:v>
                </c:pt>
                <c:pt idx="17">
                  <c:v>7.2831739999999998</c:v>
                </c:pt>
                <c:pt idx="18">
                  <c:v>6.8167419999999996</c:v>
                </c:pt>
                <c:pt idx="19">
                  <c:v>6.55152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AA_T_phi_ty!$A$20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AA_T_phi_ty!$B$20:$U$20</c:f>
              <c:numCache>
                <c:formatCode>General</c:formatCode>
                <c:ptCount val="20"/>
                <c:pt idx="0">
                  <c:v>157.01820000000001</c:v>
                </c:pt>
                <c:pt idx="1">
                  <c:v>108.8715</c:v>
                </c:pt>
                <c:pt idx="2">
                  <c:v>65.812330000000003</c:v>
                </c:pt>
                <c:pt idx="3">
                  <c:v>43.626269999999998</c:v>
                </c:pt>
                <c:pt idx="4">
                  <c:v>32.41977</c:v>
                </c:pt>
                <c:pt idx="5">
                  <c:v>25.374269999999999</c:v>
                </c:pt>
                <c:pt idx="6">
                  <c:v>21.030290000000001</c:v>
                </c:pt>
                <c:pt idx="7">
                  <c:v>17.749220000000001</c:v>
                </c:pt>
                <c:pt idx="8">
                  <c:v>15.519920000000001</c:v>
                </c:pt>
                <c:pt idx="9">
                  <c:v>13.5501</c:v>
                </c:pt>
                <c:pt idx="10">
                  <c:v>13.13171</c:v>
                </c:pt>
                <c:pt idx="11">
                  <c:v>11.76146</c:v>
                </c:pt>
                <c:pt idx="12">
                  <c:v>10.60998</c:v>
                </c:pt>
                <c:pt idx="13">
                  <c:v>9.6711869999999998</c:v>
                </c:pt>
                <c:pt idx="14">
                  <c:v>8.9391780000000001</c:v>
                </c:pt>
                <c:pt idx="15">
                  <c:v>8.3248549999999994</c:v>
                </c:pt>
                <c:pt idx="16">
                  <c:v>7.6839979999999999</c:v>
                </c:pt>
                <c:pt idx="17">
                  <c:v>7.2643069999999996</c:v>
                </c:pt>
                <c:pt idx="18">
                  <c:v>6.7552199999999996</c:v>
                </c:pt>
                <c:pt idx="19">
                  <c:v>6.478307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AA_T_phi_ty!$A$21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AA_T_phi_ty!$B$21:$U$21</c:f>
              <c:numCache>
                <c:formatCode>General</c:formatCode>
                <c:ptCount val="20"/>
                <c:pt idx="0">
                  <c:v>156.80529999999999</c:v>
                </c:pt>
                <c:pt idx="1">
                  <c:v>108.33459999999999</c:v>
                </c:pt>
                <c:pt idx="2">
                  <c:v>65.801680000000005</c:v>
                </c:pt>
                <c:pt idx="3">
                  <c:v>43.464379999999998</c:v>
                </c:pt>
                <c:pt idx="4">
                  <c:v>32.391979999999997</c:v>
                </c:pt>
                <c:pt idx="5">
                  <c:v>25.362210000000001</c:v>
                </c:pt>
                <c:pt idx="6">
                  <c:v>20.941569999999999</c:v>
                </c:pt>
                <c:pt idx="7">
                  <c:v>17.68066</c:v>
                </c:pt>
                <c:pt idx="8">
                  <c:v>15.590669999999999</c:v>
                </c:pt>
                <c:pt idx="9">
                  <c:v>13.431520000000001</c:v>
                </c:pt>
                <c:pt idx="10">
                  <c:v>12.88153</c:v>
                </c:pt>
                <c:pt idx="11">
                  <c:v>11.73793</c:v>
                </c:pt>
                <c:pt idx="12">
                  <c:v>10.641299999999999</c:v>
                </c:pt>
                <c:pt idx="13">
                  <c:v>9.7990370000000002</c:v>
                </c:pt>
                <c:pt idx="14">
                  <c:v>9.1953320000000005</c:v>
                </c:pt>
                <c:pt idx="15">
                  <c:v>8.5720089999999995</c:v>
                </c:pt>
                <c:pt idx="16">
                  <c:v>7.8355480000000002</c:v>
                </c:pt>
                <c:pt idx="17">
                  <c:v>7.5104439999999997</c:v>
                </c:pt>
                <c:pt idx="18">
                  <c:v>6.9471910000000001</c:v>
                </c:pt>
                <c:pt idx="19">
                  <c:v>6.5177370000000003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AA_T_phi_ty!$A$22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AA_T_phi_ty!$B$22:$U$22</c:f>
              <c:numCache>
                <c:formatCode>General</c:formatCode>
                <c:ptCount val="20"/>
                <c:pt idx="0">
                  <c:v>152.84440000000001</c:v>
                </c:pt>
                <c:pt idx="1">
                  <c:v>106.4525</c:v>
                </c:pt>
                <c:pt idx="2">
                  <c:v>65.428340000000006</c:v>
                </c:pt>
                <c:pt idx="3">
                  <c:v>43.419800000000002</c:v>
                </c:pt>
                <c:pt idx="4">
                  <c:v>32.131010000000003</c:v>
                </c:pt>
                <c:pt idx="5">
                  <c:v>25.587710000000001</c:v>
                </c:pt>
                <c:pt idx="6">
                  <c:v>21.223780000000001</c:v>
                </c:pt>
                <c:pt idx="7">
                  <c:v>17.9542</c:v>
                </c:pt>
                <c:pt idx="8">
                  <c:v>15.67746</c:v>
                </c:pt>
                <c:pt idx="9">
                  <c:v>13.41635</c:v>
                </c:pt>
                <c:pt idx="10">
                  <c:v>12.82507</c:v>
                </c:pt>
                <c:pt idx="11">
                  <c:v>11.76887</c:v>
                </c:pt>
                <c:pt idx="12">
                  <c:v>10.581440000000001</c:v>
                </c:pt>
                <c:pt idx="13">
                  <c:v>9.6511340000000008</c:v>
                </c:pt>
                <c:pt idx="14">
                  <c:v>9.0497700000000005</c:v>
                </c:pt>
                <c:pt idx="15">
                  <c:v>8.533334</c:v>
                </c:pt>
                <c:pt idx="16">
                  <c:v>7.7421110000000004</c:v>
                </c:pt>
                <c:pt idx="17">
                  <c:v>7.3147339999999996</c:v>
                </c:pt>
                <c:pt idx="18">
                  <c:v>6.9368280000000002</c:v>
                </c:pt>
                <c:pt idx="19">
                  <c:v>6.5508290000000002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AA_T_phi_ty!$A$23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AA_T_phi_ty!$B$23:$U$23</c:f>
              <c:numCache>
                <c:formatCode>General</c:formatCode>
                <c:ptCount val="20"/>
                <c:pt idx="0">
                  <c:v>158.0994</c:v>
                </c:pt>
                <c:pt idx="1">
                  <c:v>110.0076</c:v>
                </c:pt>
                <c:pt idx="2">
                  <c:v>66.582629999999995</c:v>
                </c:pt>
                <c:pt idx="3">
                  <c:v>43.954149999999998</c:v>
                </c:pt>
                <c:pt idx="4">
                  <c:v>32.629339999999999</c:v>
                </c:pt>
                <c:pt idx="5">
                  <c:v>25.602170000000001</c:v>
                </c:pt>
                <c:pt idx="6">
                  <c:v>21.071999999999999</c:v>
                </c:pt>
                <c:pt idx="7">
                  <c:v>18.082740000000001</c:v>
                </c:pt>
                <c:pt idx="8">
                  <c:v>15.78384</c:v>
                </c:pt>
                <c:pt idx="9">
                  <c:v>13.546620000000001</c:v>
                </c:pt>
                <c:pt idx="10">
                  <c:v>13.02186</c:v>
                </c:pt>
                <c:pt idx="11">
                  <c:v>11.81442</c:v>
                </c:pt>
                <c:pt idx="12">
                  <c:v>10.697329999999999</c:v>
                </c:pt>
                <c:pt idx="13">
                  <c:v>9.6882719999999996</c:v>
                </c:pt>
                <c:pt idx="14">
                  <c:v>9.0199770000000008</c:v>
                </c:pt>
                <c:pt idx="15">
                  <c:v>8.4389570000000003</c:v>
                </c:pt>
                <c:pt idx="16">
                  <c:v>7.5531810000000004</c:v>
                </c:pt>
                <c:pt idx="17">
                  <c:v>7.2177129999999998</c:v>
                </c:pt>
                <c:pt idx="18">
                  <c:v>6.7616699999999996</c:v>
                </c:pt>
                <c:pt idx="19">
                  <c:v>6.4344640000000002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AA_T_phi_ty!$A$24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AA_T_phi_ty!$B$24:$U$24</c:f>
              <c:numCache>
                <c:formatCode>General</c:formatCode>
                <c:ptCount val="20"/>
                <c:pt idx="0">
                  <c:v>152.89529999999999</c:v>
                </c:pt>
                <c:pt idx="1">
                  <c:v>106.5745</c:v>
                </c:pt>
                <c:pt idx="2">
                  <c:v>64.657970000000006</c:v>
                </c:pt>
                <c:pt idx="3">
                  <c:v>43.633690000000001</c:v>
                </c:pt>
                <c:pt idx="4">
                  <c:v>32.648969999999998</c:v>
                </c:pt>
                <c:pt idx="5">
                  <c:v>25.547049999999999</c:v>
                </c:pt>
                <c:pt idx="6">
                  <c:v>20.8721</c:v>
                </c:pt>
                <c:pt idx="7">
                  <c:v>17.745439999999999</c:v>
                </c:pt>
                <c:pt idx="8">
                  <c:v>15.56338</c:v>
                </c:pt>
                <c:pt idx="9">
                  <c:v>13.398580000000001</c:v>
                </c:pt>
                <c:pt idx="10">
                  <c:v>12.95858</c:v>
                </c:pt>
                <c:pt idx="11">
                  <c:v>11.82727</c:v>
                </c:pt>
                <c:pt idx="12">
                  <c:v>10.66229</c:v>
                </c:pt>
                <c:pt idx="13">
                  <c:v>9.7466369999999998</c:v>
                </c:pt>
                <c:pt idx="14">
                  <c:v>9.1476209999999991</c:v>
                </c:pt>
                <c:pt idx="15">
                  <c:v>8.6306580000000004</c:v>
                </c:pt>
                <c:pt idx="16">
                  <c:v>7.7574240000000003</c:v>
                </c:pt>
                <c:pt idx="17">
                  <c:v>7.4095789999999999</c:v>
                </c:pt>
                <c:pt idx="18">
                  <c:v>6.8900189999999997</c:v>
                </c:pt>
                <c:pt idx="19">
                  <c:v>6.545661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AA_T_phi_ty!$A$25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AA_T_phi_ty!$B$25:$U$25</c:f>
              <c:numCache>
                <c:formatCode>General</c:formatCode>
                <c:ptCount val="20"/>
                <c:pt idx="0">
                  <c:v>156.42019999999999</c:v>
                </c:pt>
                <c:pt idx="1">
                  <c:v>108.6229</c:v>
                </c:pt>
                <c:pt idx="2">
                  <c:v>65.782859999999999</c:v>
                </c:pt>
                <c:pt idx="3">
                  <c:v>43.677959999999999</c:v>
                </c:pt>
                <c:pt idx="4">
                  <c:v>32.505719999999997</c:v>
                </c:pt>
                <c:pt idx="5">
                  <c:v>25.597989999999999</c:v>
                </c:pt>
                <c:pt idx="6">
                  <c:v>21.091159999999999</c:v>
                </c:pt>
                <c:pt idx="7">
                  <c:v>17.913029999999999</c:v>
                </c:pt>
                <c:pt idx="8">
                  <c:v>15.709989999999999</c:v>
                </c:pt>
                <c:pt idx="9">
                  <c:v>13.48218</c:v>
                </c:pt>
                <c:pt idx="10">
                  <c:v>12.906129999999999</c:v>
                </c:pt>
                <c:pt idx="11">
                  <c:v>11.65039</c:v>
                </c:pt>
                <c:pt idx="12">
                  <c:v>10.53487</c:v>
                </c:pt>
                <c:pt idx="13">
                  <c:v>9.7432009999999991</c:v>
                </c:pt>
                <c:pt idx="14">
                  <c:v>9.0328029999999995</c:v>
                </c:pt>
                <c:pt idx="15">
                  <c:v>8.4386840000000003</c:v>
                </c:pt>
                <c:pt idx="16">
                  <c:v>7.690448</c:v>
                </c:pt>
                <c:pt idx="17">
                  <c:v>7.2156209999999996</c:v>
                </c:pt>
                <c:pt idx="18">
                  <c:v>6.7066629999999998</c:v>
                </c:pt>
                <c:pt idx="19">
                  <c:v>6.4046719999999997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AA_T_phi_ty!$A$26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AA_T_phi_ty!$B$26:$U$26</c:f>
              <c:numCache>
                <c:formatCode>General</c:formatCode>
                <c:ptCount val="20"/>
                <c:pt idx="0">
                  <c:v>123.50700000000001</c:v>
                </c:pt>
                <c:pt idx="1">
                  <c:v>76.416210000000007</c:v>
                </c:pt>
                <c:pt idx="2">
                  <c:v>43.709389999999999</c:v>
                </c:pt>
                <c:pt idx="3">
                  <c:v>28.34985</c:v>
                </c:pt>
                <c:pt idx="4">
                  <c:v>20.47129</c:v>
                </c:pt>
                <c:pt idx="5">
                  <c:v>15.90973</c:v>
                </c:pt>
                <c:pt idx="6">
                  <c:v>13.081860000000001</c:v>
                </c:pt>
                <c:pt idx="7">
                  <c:v>10.90864</c:v>
                </c:pt>
                <c:pt idx="8">
                  <c:v>9.3740600000000001</c:v>
                </c:pt>
                <c:pt idx="9">
                  <c:v>8.1212769999999992</c:v>
                </c:pt>
                <c:pt idx="10">
                  <c:v>7.7018310000000003</c:v>
                </c:pt>
                <c:pt idx="11">
                  <c:v>7.0519059999999998</c:v>
                </c:pt>
                <c:pt idx="12">
                  <c:v>6.5092869999999996</c:v>
                </c:pt>
                <c:pt idx="13">
                  <c:v>5.815747</c:v>
                </c:pt>
                <c:pt idx="14">
                  <c:v>5.4485289999999997</c:v>
                </c:pt>
                <c:pt idx="15">
                  <c:v>5.055701</c:v>
                </c:pt>
                <c:pt idx="16">
                  <c:v>4.5347379999999999</c:v>
                </c:pt>
                <c:pt idx="17">
                  <c:v>4.2788079999999997</c:v>
                </c:pt>
                <c:pt idx="18">
                  <c:v>4.0050600000000003</c:v>
                </c:pt>
                <c:pt idx="19">
                  <c:v>3.8155420000000002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AA_T_phi_ty!$A$27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AA_T_phi_ty!$B$27:$U$27</c:f>
              <c:numCache>
                <c:formatCode>General</c:formatCode>
                <c:ptCount val="20"/>
                <c:pt idx="0">
                  <c:v>151.00899999999999</c:v>
                </c:pt>
                <c:pt idx="1">
                  <c:v>105.4072</c:v>
                </c:pt>
                <c:pt idx="2">
                  <c:v>63.885579999999997</c:v>
                </c:pt>
                <c:pt idx="3">
                  <c:v>43.08867</c:v>
                </c:pt>
                <c:pt idx="4">
                  <c:v>31.902229999999999</c:v>
                </c:pt>
                <c:pt idx="5">
                  <c:v>25.28884</c:v>
                </c:pt>
                <c:pt idx="6">
                  <c:v>20.850090000000002</c:v>
                </c:pt>
                <c:pt idx="7">
                  <c:v>17.565000000000001</c:v>
                </c:pt>
                <c:pt idx="8">
                  <c:v>15.504379999999999</c:v>
                </c:pt>
                <c:pt idx="9">
                  <c:v>13.32236</c:v>
                </c:pt>
                <c:pt idx="10">
                  <c:v>13.044180000000001</c:v>
                </c:pt>
                <c:pt idx="11">
                  <c:v>11.680899999999999</c:v>
                </c:pt>
                <c:pt idx="12">
                  <c:v>10.529</c:v>
                </c:pt>
                <c:pt idx="13">
                  <c:v>9.5490189999999995</c:v>
                </c:pt>
                <c:pt idx="14">
                  <c:v>8.8644569999999998</c:v>
                </c:pt>
                <c:pt idx="15">
                  <c:v>8.4339110000000002</c:v>
                </c:pt>
                <c:pt idx="16">
                  <c:v>7.713387</c:v>
                </c:pt>
                <c:pt idx="17">
                  <c:v>7.2510630000000003</c:v>
                </c:pt>
                <c:pt idx="18">
                  <c:v>6.8033039999999998</c:v>
                </c:pt>
                <c:pt idx="19">
                  <c:v>6.5209289999999998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AA_T_phi_ty!$A$28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AA_T_phi_ty!$B$28:$U$28</c:f>
              <c:numCache>
                <c:formatCode>General</c:formatCode>
                <c:ptCount val="20"/>
                <c:pt idx="0">
                  <c:v>153.03450000000001</c:v>
                </c:pt>
                <c:pt idx="1">
                  <c:v>106.3798</c:v>
                </c:pt>
                <c:pt idx="2">
                  <c:v>64.978449999999995</c:v>
                </c:pt>
                <c:pt idx="3">
                  <c:v>43.315040000000003</c:v>
                </c:pt>
                <c:pt idx="4">
                  <c:v>32.461869999999998</c:v>
                </c:pt>
                <c:pt idx="5">
                  <c:v>25.526340000000001</c:v>
                </c:pt>
                <c:pt idx="6">
                  <c:v>20.948399999999999</c:v>
                </c:pt>
                <c:pt idx="7">
                  <c:v>17.688790000000001</c:v>
                </c:pt>
                <c:pt idx="8">
                  <c:v>15.72189</c:v>
                </c:pt>
                <c:pt idx="9">
                  <c:v>13.55147</c:v>
                </c:pt>
                <c:pt idx="10">
                  <c:v>13.122479999999999</c:v>
                </c:pt>
                <c:pt idx="11">
                  <c:v>11.843830000000001</c:v>
                </c:pt>
                <c:pt idx="12">
                  <c:v>10.73837</c:v>
                </c:pt>
                <c:pt idx="13">
                  <c:v>9.7883619999999993</c:v>
                </c:pt>
                <c:pt idx="14">
                  <c:v>9.0879189999999994</c:v>
                </c:pt>
                <c:pt idx="15">
                  <c:v>8.4434909999999999</c:v>
                </c:pt>
                <c:pt idx="16">
                  <c:v>7.7391059999999996</c:v>
                </c:pt>
                <c:pt idx="17">
                  <c:v>7.3263379999999998</c:v>
                </c:pt>
                <c:pt idx="18">
                  <c:v>6.855721</c:v>
                </c:pt>
                <c:pt idx="19">
                  <c:v>6.4570249999999998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AA_T_phi_ty!$A$29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AA_T_phi_ty!$B$29:$U$29</c:f>
              <c:numCache>
                <c:formatCode>General</c:formatCode>
                <c:ptCount val="20"/>
                <c:pt idx="0">
                  <c:v>164.77789999999999</c:v>
                </c:pt>
                <c:pt idx="1">
                  <c:v>114.4093</c:v>
                </c:pt>
                <c:pt idx="2">
                  <c:v>70.964500000000001</c:v>
                </c:pt>
                <c:pt idx="3">
                  <c:v>48.529870000000003</c:v>
                </c:pt>
                <c:pt idx="4">
                  <c:v>35.913200000000003</c:v>
                </c:pt>
                <c:pt idx="5">
                  <c:v>28.137530000000002</c:v>
                </c:pt>
                <c:pt idx="6">
                  <c:v>23.121469999999999</c:v>
                </c:pt>
                <c:pt idx="7">
                  <c:v>19.208010000000002</c:v>
                </c:pt>
                <c:pt idx="8">
                  <c:v>16.722190000000001</c:v>
                </c:pt>
                <c:pt idx="9">
                  <c:v>14.59465</c:v>
                </c:pt>
                <c:pt idx="10">
                  <c:v>14.0381</c:v>
                </c:pt>
                <c:pt idx="11">
                  <c:v>12.94603</c:v>
                </c:pt>
                <c:pt idx="12">
                  <c:v>11.673400000000001</c:v>
                </c:pt>
                <c:pt idx="13">
                  <c:v>10.611269999999999</c:v>
                </c:pt>
                <c:pt idx="14">
                  <c:v>9.7972549999999998</c:v>
                </c:pt>
                <c:pt idx="15">
                  <c:v>9.2305720000000004</c:v>
                </c:pt>
                <c:pt idx="16">
                  <c:v>8.4777629999999995</c:v>
                </c:pt>
                <c:pt idx="17">
                  <c:v>8.1014689999999998</c:v>
                </c:pt>
                <c:pt idx="18">
                  <c:v>7.6813409999999998</c:v>
                </c:pt>
                <c:pt idx="19">
                  <c:v>7.3059589999999996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AA_T_phi_ty!$A$30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AA_T_phi_ty!$B$30:$U$30</c:f>
              <c:numCache>
                <c:formatCode>General</c:formatCode>
                <c:ptCount val="20"/>
                <c:pt idx="0">
                  <c:v>180.32409999999999</c:v>
                </c:pt>
                <c:pt idx="1">
                  <c:v>121.4821</c:v>
                </c:pt>
                <c:pt idx="2">
                  <c:v>70.833309999999997</c:v>
                </c:pt>
                <c:pt idx="3">
                  <c:v>47.73751</c:v>
                </c:pt>
                <c:pt idx="4">
                  <c:v>35.296419999999998</c:v>
                </c:pt>
                <c:pt idx="5">
                  <c:v>27.090530000000001</c:v>
                </c:pt>
                <c:pt idx="6">
                  <c:v>22.519739999999999</c:v>
                </c:pt>
                <c:pt idx="7">
                  <c:v>19.18506</c:v>
                </c:pt>
                <c:pt idx="8">
                  <c:v>16.444479999999999</c:v>
                </c:pt>
                <c:pt idx="9">
                  <c:v>14.15616</c:v>
                </c:pt>
                <c:pt idx="10">
                  <c:v>13.424480000000001</c:v>
                </c:pt>
                <c:pt idx="11">
                  <c:v>11.93328</c:v>
                </c:pt>
                <c:pt idx="12">
                  <c:v>10.84446</c:v>
                </c:pt>
                <c:pt idx="13">
                  <c:v>9.7733030000000003</c:v>
                </c:pt>
                <c:pt idx="14">
                  <c:v>8.8736929999999994</c:v>
                </c:pt>
                <c:pt idx="15">
                  <c:v>8.3699060000000003</c:v>
                </c:pt>
                <c:pt idx="16">
                  <c:v>7.7219530000000001</c:v>
                </c:pt>
                <c:pt idx="17">
                  <c:v>7.2703470000000001</c:v>
                </c:pt>
                <c:pt idx="18">
                  <c:v>6.8526490000000004</c:v>
                </c:pt>
                <c:pt idx="19">
                  <c:v>6.457865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AA_T_phi_ty!$A$31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AA_T_phi_ty!$B$31:$U$31</c:f>
              <c:numCache>
                <c:formatCode>General</c:formatCode>
                <c:ptCount val="20"/>
                <c:pt idx="0">
                  <c:v>174.31780000000001</c:v>
                </c:pt>
                <c:pt idx="1">
                  <c:v>111.9682</c:v>
                </c:pt>
                <c:pt idx="2">
                  <c:v>64.275019999999998</c:v>
                </c:pt>
                <c:pt idx="3">
                  <c:v>42.631279999999997</c:v>
                </c:pt>
                <c:pt idx="4">
                  <c:v>31.127739999999999</c:v>
                </c:pt>
                <c:pt idx="5">
                  <c:v>23.773150000000001</c:v>
                </c:pt>
                <c:pt idx="6">
                  <c:v>19.471319999999999</c:v>
                </c:pt>
                <c:pt idx="7">
                  <c:v>16.31157</c:v>
                </c:pt>
                <c:pt idx="8">
                  <c:v>13.855219999999999</c:v>
                </c:pt>
                <c:pt idx="9">
                  <c:v>11.92027</c:v>
                </c:pt>
                <c:pt idx="10">
                  <c:v>11.33343</c:v>
                </c:pt>
                <c:pt idx="11">
                  <c:v>10.10821</c:v>
                </c:pt>
                <c:pt idx="12">
                  <c:v>9.0287649999999999</c:v>
                </c:pt>
                <c:pt idx="13">
                  <c:v>8.2259069999999994</c:v>
                </c:pt>
                <c:pt idx="14">
                  <c:v>7.5175090000000004</c:v>
                </c:pt>
                <c:pt idx="15">
                  <c:v>6.961659</c:v>
                </c:pt>
                <c:pt idx="16">
                  <c:v>6.3246099999999998</c:v>
                </c:pt>
                <c:pt idx="17">
                  <c:v>5.9615970000000003</c:v>
                </c:pt>
                <c:pt idx="18">
                  <c:v>5.5657779999999999</c:v>
                </c:pt>
                <c:pt idx="19">
                  <c:v>5.2862710000000002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AA_T_phi_ty!$A$32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AA_T_phi_ty!$B$32:$U$32</c:f>
              <c:numCache>
                <c:formatCode>General</c:formatCode>
                <c:ptCount val="20"/>
                <c:pt idx="0">
                  <c:v>157.36850000000001</c:v>
                </c:pt>
                <c:pt idx="1">
                  <c:v>96.397450000000006</c:v>
                </c:pt>
                <c:pt idx="2">
                  <c:v>51.520530000000001</c:v>
                </c:pt>
                <c:pt idx="3">
                  <c:v>33.230809999999998</c:v>
                </c:pt>
                <c:pt idx="4">
                  <c:v>23.82921</c:v>
                </c:pt>
                <c:pt idx="5">
                  <c:v>18.399229999999999</c:v>
                </c:pt>
                <c:pt idx="6">
                  <c:v>15.15418</c:v>
                </c:pt>
                <c:pt idx="7">
                  <c:v>12.58874</c:v>
                </c:pt>
                <c:pt idx="8">
                  <c:v>10.672409999999999</c:v>
                </c:pt>
                <c:pt idx="9">
                  <c:v>9.068289</c:v>
                </c:pt>
                <c:pt idx="10">
                  <c:v>8.6232100000000003</c:v>
                </c:pt>
                <c:pt idx="11">
                  <c:v>7.7111530000000004</c:v>
                </c:pt>
                <c:pt idx="12">
                  <c:v>7.0388380000000002</c:v>
                </c:pt>
                <c:pt idx="13">
                  <c:v>6.3998559999999998</c:v>
                </c:pt>
                <c:pt idx="14">
                  <c:v>5.7698900000000002</c:v>
                </c:pt>
                <c:pt idx="15">
                  <c:v>5.4317570000000002</c:v>
                </c:pt>
                <c:pt idx="16">
                  <c:v>4.9403579999999998</c:v>
                </c:pt>
                <c:pt idx="17">
                  <c:v>4.5864010000000004</c:v>
                </c:pt>
                <c:pt idx="18">
                  <c:v>4.2555569999999996</c:v>
                </c:pt>
                <c:pt idx="19">
                  <c:v>3.9477690000000001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AA_T_phi_ty!$A$33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AA_T_phi_ty!$B$33:$U$33</c:f>
              <c:numCache>
                <c:formatCode>General</c:formatCode>
                <c:ptCount val="20"/>
                <c:pt idx="0">
                  <c:v>158.4171</c:v>
                </c:pt>
                <c:pt idx="1">
                  <c:v>94.045140000000004</c:v>
                </c:pt>
                <c:pt idx="2">
                  <c:v>49.726950000000002</c:v>
                </c:pt>
                <c:pt idx="3">
                  <c:v>32.009239999999998</c:v>
                </c:pt>
                <c:pt idx="4">
                  <c:v>23.61693</c:v>
                </c:pt>
                <c:pt idx="5">
                  <c:v>18.291419999999999</c:v>
                </c:pt>
                <c:pt idx="6">
                  <c:v>14.943910000000001</c:v>
                </c:pt>
                <c:pt idx="7">
                  <c:v>12.47945</c:v>
                </c:pt>
                <c:pt idx="8">
                  <c:v>10.842560000000001</c:v>
                </c:pt>
                <c:pt idx="9">
                  <c:v>9.2403739999999992</c:v>
                </c:pt>
                <c:pt idx="10">
                  <c:v>8.7471630000000005</c:v>
                </c:pt>
                <c:pt idx="11">
                  <c:v>7.6290110000000002</c:v>
                </c:pt>
                <c:pt idx="12">
                  <c:v>7.0404970000000002</c:v>
                </c:pt>
                <c:pt idx="13">
                  <c:v>6.2820549999999997</c:v>
                </c:pt>
                <c:pt idx="14">
                  <c:v>5.6985070000000002</c:v>
                </c:pt>
                <c:pt idx="15">
                  <c:v>5.360239</c:v>
                </c:pt>
                <c:pt idx="16">
                  <c:v>4.852023</c:v>
                </c:pt>
                <c:pt idx="17">
                  <c:v>4.5686159999999996</c:v>
                </c:pt>
                <c:pt idx="18">
                  <c:v>4.23292</c:v>
                </c:pt>
                <c:pt idx="19">
                  <c:v>3.9798049999999998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AA_T_phi_ty!$A$34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AA_T_phi_ty!$B$34:$U$34</c:f>
              <c:numCache>
                <c:formatCode>General</c:formatCode>
                <c:ptCount val="20"/>
                <c:pt idx="0">
                  <c:v>156.84729999999999</c:v>
                </c:pt>
                <c:pt idx="1">
                  <c:v>93.075590000000005</c:v>
                </c:pt>
                <c:pt idx="2">
                  <c:v>49.426009999999998</c:v>
                </c:pt>
                <c:pt idx="3">
                  <c:v>32.269599999999997</c:v>
                </c:pt>
                <c:pt idx="4">
                  <c:v>23.398150000000001</c:v>
                </c:pt>
                <c:pt idx="5">
                  <c:v>18.085750000000001</c:v>
                </c:pt>
                <c:pt idx="6">
                  <c:v>14.96556</c:v>
                </c:pt>
                <c:pt idx="7">
                  <c:v>12.72128</c:v>
                </c:pt>
                <c:pt idx="8">
                  <c:v>10.914479999999999</c:v>
                </c:pt>
                <c:pt idx="9">
                  <c:v>9.2443819999999999</c:v>
                </c:pt>
                <c:pt idx="10">
                  <c:v>8.6597220000000004</c:v>
                </c:pt>
                <c:pt idx="11">
                  <c:v>7.6458950000000003</c:v>
                </c:pt>
                <c:pt idx="12">
                  <c:v>6.9958070000000001</c:v>
                </c:pt>
                <c:pt idx="13">
                  <c:v>6.2924680000000004</c:v>
                </c:pt>
                <c:pt idx="14">
                  <c:v>5.8290990000000003</c:v>
                </c:pt>
                <c:pt idx="15">
                  <c:v>5.456639</c:v>
                </c:pt>
                <c:pt idx="16">
                  <c:v>4.9028309999999999</c:v>
                </c:pt>
                <c:pt idx="17">
                  <c:v>4.6256539999999999</c:v>
                </c:pt>
                <c:pt idx="18">
                  <c:v>4.3430660000000003</c:v>
                </c:pt>
                <c:pt idx="19">
                  <c:v>4.0949030000000004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AA_T_phi_ty!$A$35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AA_T_phi_ty!$B$35:$U$35</c:f>
              <c:numCache>
                <c:formatCode>General</c:formatCode>
                <c:ptCount val="20"/>
                <c:pt idx="0">
                  <c:v>294.9316</c:v>
                </c:pt>
                <c:pt idx="1">
                  <c:v>203.63319999999999</c:v>
                </c:pt>
                <c:pt idx="2">
                  <c:v>123.3501</c:v>
                </c:pt>
                <c:pt idx="3">
                  <c:v>83.197180000000003</c:v>
                </c:pt>
                <c:pt idx="4">
                  <c:v>61.953580000000002</c:v>
                </c:pt>
                <c:pt idx="5">
                  <c:v>47.69041</c:v>
                </c:pt>
                <c:pt idx="6">
                  <c:v>39.120730000000002</c:v>
                </c:pt>
                <c:pt idx="7">
                  <c:v>32.173479999999998</c:v>
                </c:pt>
                <c:pt idx="8">
                  <c:v>26.926970000000001</c:v>
                </c:pt>
                <c:pt idx="9">
                  <c:v>22.65465</c:v>
                </c:pt>
                <c:pt idx="10">
                  <c:v>21.612670000000001</c:v>
                </c:pt>
                <c:pt idx="11">
                  <c:v>19.43552</c:v>
                </c:pt>
                <c:pt idx="12">
                  <c:v>17.30753</c:v>
                </c:pt>
                <c:pt idx="13">
                  <c:v>15.33825</c:v>
                </c:pt>
                <c:pt idx="14">
                  <c:v>13.93948</c:v>
                </c:pt>
                <c:pt idx="15">
                  <c:v>12.857710000000001</c:v>
                </c:pt>
                <c:pt idx="16">
                  <c:v>11.546580000000001</c:v>
                </c:pt>
                <c:pt idx="17">
                  <c:v>10.843719999999999</c:v>
                </c:pt>
                <c:pt idx="18">
                  <c:v>10.013030000000001</c:v>
                </c:pt>
                <c:pt idx="19">
                  <c:v>9.4950869999999998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AA_T_phi_ty!$A$36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AA_T_phi_ty!$B$36:$U$36</c:f>
              <c:numCache>
                <c:formatCode>General</c:formatCode>
                <c:ptCount val="20"/>
                <c:pt idx="0">
                  <c:v>308.00220000000002</c:v>
                </c:pt>
                <c:pt idx="1">
                  <c:v>212.14160000000001</c:v>
                </c:pt>
                <c:pt idx="2">
                  <c:v>128.91829999999999</c:v>
                </c:pt>
                <c:pt idx="3">
                  <c:v>87.37979</c:v>
                </c:pt>
                <c:pt idx="4">
                  <c:v>65.19032</c:v>
                </c:pt>
                <c:pt idx="5">
                  <c:v>50.702469999999998</c:v>
                </c:pt>
                <c:pt idx="6">
                  <c:v>41.373489999999997</c:v>
                </c:pt>
                <c:pt idx="7">
                  <c:v>34.404049999999998</c:v>
                </c:pt>
                <c:pt idx="8">
                  <c:v>29.73931</c:v>
                </c:pt>
                <c:pt idx="9">
                  <c:v>25.297640000000001</c:v>
                </c:pt>
                <c:pt idx="10">
                  <c:v>24.196370000000002</c:v>
                </c:pt>
                <c:pt idx="11">
                  <c:v>21.896979999999999</c:v>
                </c:pt>
                <c:pt idx="12">
                  <c:v>19.658829999999998</c:v>
                </c:pt>
                <c:pt idx="13">
                  <c:v>17.4924</c:v>
                </c:pt>
                <c:pt idx="14">
                  <c:v>16.155930000000001</c:v>
                </c:pt>
                <c:pt idx="15">
                  <c:v>15.04077</c:v>
                </c:pt>
                <c:pt idx="16">
                  <c:v>13.504519999999999</c:v>
                </c:pt>
                <c:pt idx="17">
                  <c:v>12.752700000000001</c:v>
                </c:pt>
                <c:pt idx="18">
                  <c:v>11.86736</c:v>
                </c:pt>
                <c:pt idx="19">
                  <c:v>11.042870000000001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AA_T_phi_ty!$A$37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AA_T_phi_ty!$B$2:$U$2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AA_T_phi_ty!$B$37:$U$37</c:f>
              <c:numCache>
                <c:formatCode>General</c:formatCode>
                <c:ptCount val="20"/>
                <c:pt idx="0">
                  <c:v>320.5693</c:v>
                </c:pt>
                <c:pt idx="1">
                  <c:v>221.62960000000001</c:v>
                </c:pt>
                <c:pt idx="2">
                  <c:v>134.54390000000001</c:v>
                </c:pt>
                <c:pt idx="3">
                  <c:v>90.087900000000005</c:v>
                </c:pt>
                <c:pt idx="4">
                  <c:v>66.995050000000006</c:v>
                </c:pt>
                <c:pt idx="5">
                  <c:v>51.914830000000002</c:v>
                </c:pt>
                <c:pt idx="6">
                  <c:v>42.139690000000002</c:v>
                </c:pt>
                <c:pt idx="7">
                  <c:v>35.006729999999997</c:v>
                </c:pt>
                <c:pt idx="8">
                  <c:v>29.962140000000002</c:v>
                </c:pt>
                <c:pt idx="9">
                  <c:v>25.472020000000001</c:v>
                </c:pt>
                <c:pt idx="10">
                  <c:v>24.401520000000001</c:v>
                </c:pt>
                <c:pt idx="11">
                  <c:v>21.69012</c:v>
                </c:pt>
                <c:pt idx="12">
                  <c:v>19.328749999999999</c:v>
                </c:pt>
                <c:pt idx="13">
                  <c:v>17.275030000000001</c:v>
                </c:pt>
                <c:pt idx="14">
                  <c:v>15.720610000000001</c:v>
                </c:pt>
                <c:pt idx="15">
                  <c:v>14.36265</c:v>
                </c:pt>
                <c:pt idx="16">
                  <c:v>12.94528</c:v>
                </c:pt>
                <c:pt idx="17">
                  <c:v>12.138949999999999</c:v>
                </c:pt>
                <c:pt idx="18">
                  <c:v>11.67778</c:v>
                </c:pt>
                <c:pt idx="19">
                  <c:v>10.96791</c:v>
                </c:pt>
              </c:numCache>
            </c:numRef>
          </c:yVal>
          <c:smooth val="1"/>
        </c:ser>
        <c:axId val="97093888"/>
        <c:axId val="97104256"/>
      </c:scatterChart>
      <c:valAx>
        <c:axId val="9709388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104256"/>
        <c:crosses val="autoZero"/>
        <c:crossBetween val="midCat"/>
      </c:valAx>
      <c:valAx>
        <c:axId val="97104256"/>
        <c:scaling>
          <c:orientation val="minMax"/>
        </c:scaling>
        <c:axPos val="l"/>
        <c:numFmt formatCode="General" sourceLinked="1"/>
        <c:tickLblPos val="nextTo"/>
        <c:crossAx val="97093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014942687013102"/>
          <c:y val="3.1668595642412173E-2"/>
          <c:w val="0.30686295373650635"/>
          <c:h val="0.79757012301173191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AA_phi_A!$B$3:$U$3</c:f>
              <c:numCache>
                <c:formatCode>General</c:formatCode>
                <c:ptCount val="20"/>
                <c:pt idx="0">
                  <c:v>1511.5930000000001</c:v>
                </c:pt>
                <c:pt idx="1">
                  <c:v>1051.8920000000001</c:v>
                </c:pt>
                <c:pt idx="2">
                  <c:v>685.04650000000004</c:v>
                </c:pt>
                <c:pt idx="3">
                  <c:v>490.23899999999998</c:v>
                </c:pt>
                <c:pt idx="4">
                  <c:v>372.50389999999999</c:v>
                </c:pt>
                <c:pt idx="5">
                  <c:v>305.57679999999999</c:v>
                </c:pt>
                <c:pt idx="6">
                  <c:v>258.29750000000001</c:v>
                </c:pt>
                <c:pt idx="7">
                  <c:v>225.82149999999999</c:v>
                </c:pt>
                <c:pt idx="8">
                  <c:v>200.136</c:v>
                </c:pt>
                <c:pt idx="9">
                  <c:v>177.61590000000001</c:v>
                </c:pt>
                <c:pt idx="10">
                  <c:v>158.84780000000001</c:v>
                </c:pt>
                <c:pt idx="11">
                  <c:v>146.63669999999999</c:v>
                </c:pt>
                <c:pt idx="12">
                  <c:v>136.5008</c:v>
                </c:pt>
                <c:pt idx="13">
                  <c:v>127.271</c:v>
                </c:pt>
                <c:pt idx="14">
                  <c:v>118.017</c:v>
                </c:pt>
                <c:pt idx="15">
                  <c:v>111.3429</c:v>
                </c:pt>
                <c:pt idx="16">
                  <c:v>104.4199</c:v>
                </c:pt>
                <c:pt idx="17">
                  <c:v>100.3879</c:v>
                </c:pt>
                <c:pt idx="18">
                  <c:v>97.876959999999997</c:v>
                </c:pt>
                <c:pt idx="19">
                  <c:v>96.677980000000005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AA_phi_A!$B$21:$U$21</c:f>
              <c:numCache>
                <c:formatCode>General</c:formatCode>
                <c:ptCount val="20"/>
                <c:pt idx="0">
                  <c:v>6954.3739999999998</c:v>
                </c:pt>
                <c:pt idx="1">
                  <c:v>4749.9629999999997</c:v>
                </c:pt>
                <c:pt idx="2">
                  <c:v>2945.703</c:v>
                </c:pt>
                <c:pt idx="3">
                  <c:v>1997.6579999999999</c:v>
                </c:pt>
                <c:pt idx="4">
                  <c:v>1485.867</c:v>
                </c:pt>
                <c:pt idx="5">
                  <c:v>1178.4090000000001</c:v>
                </c:pt>
                <c:pt idx="6">
                  <c:v>957.53179999999998</c:v>
                </c:pt>
                <c:pt idx="7">
                  <c:v>810.92439999999999</c:v>
                </c:pt>
                <c:pt idx="8">
                  <c:v>705.07569999999998</c:v>
                </c:pt>
                <c:pt idx="9">
                  <c:v>621.83280000000002</c:v>
                </c:pt>
                <c:pt idx="10">
                  <c:v>553.64390000000003</c:v>
                </c:pt>
                <c:pt idx="11">
                  <c:v>499.66419999999999</c:v>
                </c:pt>
                <c:pt idx="12">
                  <c:v>455.58370000000002</c:v>
                </c:pt>
                <c:pt idx="13">
                  <c:v>422.65429999999998</c:v>
                </c:pt>
                <c:pt idx="14">
                  <c:v>394.4821</c:v>
                </c:pt>
                <c:pt idx="15">
                  <c:v>367.84570000000002</c:v>
                </c:pt>
                <c:pt idx="16">
                  <c:v>345.89929999999998</c:v>
                </c:pt>
                <c:pt idx="17">
                  <c:v>328.33629999999999</c:v>
                </c:pt>
                <c:pt idx="18">
                  <c:v>304.72370000000001</c:v>
                </c:pt>
                <c:pt idx="19">
                  <c:v>288.92590000000001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AA_phi_A!$B$37:$U$37</c:f>
              <c:numCache>
                <c:formatCode>General</c:formatCode>
                <c:ptCount val="20"/>
                <c:pt idx="0">
                  <c:v>16823.900000000001</c:v>
                </c:pt>
                <c:pt idx="1">
                  <c:v>11443.07</c:v>
                </c:pt>
                <c:pt idx="2">
                  <c:v>7074.5330000000004</c:v>
                </c:pt>
                <c:pt idx="3">
                  <c:v>4829.3519999999999</c:v>
                </c:pt>
                <c:pt idx="4">
                  <c:v>3581.2220000000002</c:v>
                </c:pt>
                <c:pt idx="5">
                  <c:v>2784.739</c:v>
                </c:pt>
                <c:pt idx="6">
                  <c:v>2248.9279999999999</c:v>
                </c:pt>
                <c:pt idx="7">
                  <c:v>1877.3969999999999</c:v>
                </c:pt>
                <c:pt idx="8">
                  <c:v>1594.136</c:v>
                </c:pt>
                <c:pt idx="9">
                  <c:v>1379.4490000000001</c:v>
                </c:pt>
                <c:pt idx="10">
                  <c:v>1218.864</c:v>
                </c:pt>
                <c:pt idx="11">
                  <c:v>1081.019</c:v>
                </c:pt>
                <c:pt idx="12">
                  <c:v>962.86810000000003</c:v>
                </c:pt>
                <c:pt idx="13">
                  <c:v>873.39570000000003</c:v>
                </c:pt>
                <c:pt idx="14">
                  <c:v>800.79240000000004</c:v>
                </c:pt>
                <c:pt idx="15">
                  <c:v>737.08669999999995</c:v>
                </c:pt>
                <c:pt idx="16">
                  <c:v>674.24570000000006</c:v>
                </c:pt>
                <c:pt idx="17">
                  <c:v>620.93020000000001</c:v>
                </c:pt>
                <c:pt idx="18">
                  <c:v>602.09010000000001</c:v>
                </c:pt>
                <c:pt idx="19">
                  <c:v>566.45899999999995</c:v>
                </c:pt>
              </c:numCache>
            </c:numRef>
          </c:yVal>
          <c:smooth val="1"/>
        </c:ser>
        <c:axId val="90261376"/>
        <c:axId val="90271744"/>
      </c:scatterChart>
      <c:valAx>
        <c:axId val="9026137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71744"/>
        <c:crosses val="autoZero"/>
        <c:crossBetween val="midCat"/>
      </c:valAx>
      <c:valAx>
        <c:axId val="90271744"/>
        <c:scaling>
          <c:orientation val="minMax"/>
        </c:scaling>
        <c:axPos val="l"/>
        <c:numFmt formatCode="General" sourceLinked="1"/>
        <c:tickLblPos val="nextTo"/>
        <c:crossAx val="902613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750174978127723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AA_phi_A!$A$3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AA_phi_A!$B$3:$U$3</c:f>
              <c:numCache>
                <c:formatCode>General</c:formatCode>
                <c:ptCount val="20"/>
                <c:pt idx="0">
                  <c:v>1511.5930000000001</c:v>
                </c:pt>
                <c:pt idx="1">
                  <c:v>1051.8920000000001</c:v>
                </c:pt>
                <c:pt idx="2">
                  <c:v>685.04650000000004</c:v>
                </c:pt>
                <c:pt idx="3">
                  <c:v>490.23899999999998</c:v>
                </c:pt>
                <c:pt idx="4">
                  <c:v>372.50389999999999</c:v>
                </c:pt>
                <c:pt idx="5">
                  <c:v>305.57679999999999</c:v>
                </c:pt>
                <c:pt idx="6">
                  <c:v>258.29750000000001</c:v>
                </c:pt>
                <c:pt idx="7">
                  <c:v>225.82149999999999</c:v>
                </c:pt>
                <c:pt idx="8">
                  <c:v>200.136</c:v>
                </c:pt>
                <c:pt idx="9">
                  <c:v>177.61590000000001</c:v>
                </c:pt>
                <c:pt idx="10">
                  <c:v>158.84780000000001</c:v>
                </c:pt>
                <c:pt idx="11">
                  <c:v>146.63669999999999</c:v>
                </c:pt>
                <c:pt idx="12">
                  <c:v>136.5008</c:v>
                </c:pt>
                <c:pt idx="13">
                  <c:v>127.271</c:v>
                </c:pt>
                <c:pt idx="14">
                  <c:v>118.017</c:v>
                </c:pt>
                <c:pt idx="15">
                  <c:v>111.3429</c:v>
                </c:pt>
                <c:pt idx="16">
                  <c:v>104.4199</c:v>
                </c:pt>
                <c:pt idx="17">
                  <c:v>100.3879</c:v>
                </c:pt>
                <c:pt idx="18">
                  <c:v>97.876959999999997</c:v>
                </c:pt>
                <c:pt idx="19">
                  <c:v>96.677980000000005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AA_phi_A!$A$4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AA_phi_A!$B$4:$U$4</c:f>
              <c:numCache>
                <c:formatCode>General</c:formatCode>
                <c:ptCount val="20"/>
                <c:pt idx="0">
                  <c:v>1990.0550000000001</c:v>
                </c:pt>
                <c:pt idx="1">
                  <c:v>1357.6179999999999</c:v>
                </c:pt>
                <c:pt idx="2">
                  <c:v>834.99270000000001</c:v>
                </c:pt>
                <c:pt idx="3">
                  <c:v>576.39859999999999</c:v>
                </c:pt>
                <c:pt idx="4">
                  <c:v>427.8322</c:v>
                </c:pt>
                <c:pt idx="5">
                  <c:v>341.76029999999997</c:v>
                </c:pt>
                <c:pt idx="6">
                  <c:v>287.98680000000002</c:v>
                </c:pt>
                <c:pt idx="7">
                  <c:v>242.74639999999999</c:v>
                </c:pt>
                <c:pt idx="8">
                  <c:v>209.54220000000001</c:v>
                </c:pt>
                <c:pt idx="9">
                  <c:v>185.19309999999999</c:v>
                </c:pt>
                <c:pt idx="10">
                  <c:v>165.30099999999999</c:v>
                </c:pt>
                <c:pt idx="11">
                  <c:v>145.71799999999999</c:v>
                </c:pt>
                <c:pt idx="12">
                  <c:v>134.1549</c:v>
                </c:pt>
                <c:pt idx="13">
                  <c:v>125.5879</c:v>
                </c:pt>
                <c:pt idx="14">
                  <c:v>116.0669</c:v>
                </c:pt>
                <c:pt idx="15">
                  <c:v>108.9349</c:v>
                </c:pt>
                <c:pt idx="16">
                  <c:v>101.1459</c:v>
                </c:pt>
                <c:pt idx="17">
                  <c:v>95.348969999999994</c:v>
                </c:pt>
                <c:pt idx="18">
                  <c:v>92.620990000000006</c:v>
                </c:pt>
                <c:pt idx="19">
                  <c:v>88.993989999999997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AA_phi_A!$A$5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AA_phi_A!$B$5:$U$5</c:f>
              <c:numCache>
                <c:formatCode>General</c:formatCode>
                <c:ptCount val="20"/>
                <c:pt idx="0">
                  <c:v>3840.5819999999999</c:v>
                </c:pt>
                <c:pt idx="1">
                  <c:v>2684.404</c:v>
                </c:pt>
                <c:pt idx="2">
                  <c:v>1736.671</c:v>
                </c:pt>
                <c:pt idx="3">
                  <c:v>1237.5139999999999</c:v>
                </c:pt>
                <c:pt idx="4">
                  <c:v>946.14940000000001</c:v>
                </c:pt>
                <c:pt idx="5">
                  <c:v>756.55889999999999</c:v>
                </c:pt>
                <c:pt idx="6">
                  <c:v>624.69349999999997</c:v>
                </c:pt>
                <c:pt idx="7">
                  <c:v>536.84640000000002</c:v>
                </c:pt>
                <c:pt idx="8">
                  <c:v>475.4357</c:v>
                </c:pt>
                <c:pt idx="9">
                  <c:v>415.952</c:v>
                </c:pt>
                <c:pt idx="10">
                  <c:v>378.20740000000001</c:v>
                </c:pt>
                <c:pt idx="11">
                  <c:v>342.89510000000001</c:v>
                </c:pt>
                <c:pt idx="12">
                  <c:v>313.46409999999997</c:v>
                </c:pt>
                <c:pt idx="13">
                  <c:v>293.2167</c:v>
                </c:pt>
                <c:pt idx="14">
                  <c:v>272.53190000000001</c:v>
                </c:pt>
                <c:pt idx="15">
                  <c:v>253.00880000000001</c:v>
                </c:pt>
                <c:pt idx="16">
                  <c:v>237.87379999999999</c:v>
                </c:pt>
                <c:pt idx="17">
                  <c:v>224.23390000000001</c:v>
                </c:pt>
                <c:pt idx="18">
                  <c:v>216.59469999999999</c:v>
                </c:pt>
                <c:pt idx="19">
                  <c:v>208.64179999999999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AA_phi_A!$A$6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AA_phi_A!$B$6:$U$6</c:f>
              <c:numCache>
                <c:formatCode>General</c:formatCode>
                <c:ptCount val="20"/>
                <c:pt idx="0">
                  <c:v>1235.306</c:v>
                </c:pt>
                <c:pt idx="1">
                  <c:v>775.14620000000002</c:v>
                </c:pt>
                <c:pt idx="2">
                  <c:v>461.3057</c:v>
                </c:pt>
                <c:pt idx="3">
                  <c:v>324.48809999999997</c:v>
                </c:pt>
                <c:pt idx="4">
                  <c:v>242.68979999999999</c:v>
                </c:pt>
                <c:pt idx="5">
                  <c:v>197.625</c:v>
                </c:pt>
                <c:pt idx="6">
                  <c:v>164.7056</c:v>
                </c:pt>
                <c:pt idx="7">
                  <c:v>139.39109999999999</c:v>
                </c:pt>
                <c:pt idx="8">
                  <c:v>122.1862</c:v>
                </c:pt>
                <c:pt idx="9">
                  <c:v>108.9983</c:v>
                </c:pt>
                <c:pt idx="10">
                  <c:v>97.864189999999994</c:v>
                </c:pt>
                <c:pt idx="11">
                  <c:v>89.677090000000007</c:v>
                </c:pt>
                <c:pt idx="12">
                  <c:v>83.609080000000006</c:v>
                </c:pt>
                <c:pt idx="13">
                  <c:v>77.370090000000005</c:v>
                </c:pt>
                <c:pt idx="14">
                  <c:v>72.626080000000002</c:v>
                </c:pt>
                <c:pt idx="15">
                  <c:v>66.926050000000004</c:v>
                </c:pt>
                <c:pt idx="16">
                  <c:v>64.296019999999999</c:v>
                </c:pt>
                <c:pt idx="17">
                  <c:v>60.96602</c:v>
                </c:pt>
                <c:pt idx="18">
                  <c:v>57.65699</c:v>
                </c:pt>
                <c:pt idx="19">
                  <c:v>55.25797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AA_phi_A!$A$7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AA_phi_A!$B$7:$U$7</c:f>
              <c:numCache>
                <c:formatCode>General</c:formatCode>
                <c:ptCount val="20"/>
                <c:pt idx="0">
                  <c:v>1222.981</c:v>
                </c:pt>
                <c:pt idx="1">
                  <c:v>752.73829999999998</c:v>
                </c:pt>
                <c:pt idx="2">
                  <c:v>452.73880000000003</c:v>
                </c:pt>
                <c:pt idx="3">
                  <c:v>319.71120000000002</c:v>
                </c:pt>
                <c:pt idx="4">
                  <c:v>247.81700000000001</c:v>
                </c:pt>
                <c:pt idx="5">
                  <c:v>200.8289</c:v>
                </c:pt>
                <c:pt idx="6">
                  <c:v>167.5377</c:v>
                </c:pt>
                <c:pt idx="7">
                  <c:v>144.017</c:v>
                </c:pt>
                <c:pt idx="8">
                  <c:v>128.01609999999999</c:v>
                </c:pt>
                <c:pt idx="9">
                  <c:v>113.42619999999999</c:v>
                </c:pt>
                <c:pt idx="10">
                  <c:v>101.58320000000001</c:v>
                </c:pt>
                <c:pt idx="11">
                  <c:v>91.510170000000002</c:v>
                </c:pt>
                <c:pt idx="12">
                  <c:v>81.957130000000006</c:v>
                </c:pt>
                <c:pt idx="13">
                  <c:v>75.034099999999995</c:v>
                </c:pt>
                <c:pt idx="14">
                  <c:v>68.811070000000001</c:v>
                </c:pt>
                <c:pt idx="15">
                  <c:v>64.993049999999997</c:v>
                </c:pt>
                <c:pt idx="16">
                  <c:v>60.919040000000003</c:v>
                </c:pt>
                <c:pt idx="17">
                  <c:v>56.638019999999997</c:v>
                </c:pt>
                <c:pt idx="18">
                  <c:v>54.505009999999999</c:v>
                </c:pt>
                <c:pt idx="19">
                  <c:v>52.822980000000001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AA_phi_A!$A$8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AA_phi_A!$B$8:$U$8</c:f>
              <c:numCache>
                <c:formatCode>General</c:formatCode>
                <c:ptCount val="20"/>
                <c:pt idx="0">
                  <c:v>1275.01</c:v>
                </c:pt>
                <c:pt idx="1">
                  <c:v>802.47590000000002</c:v>
                </c:pt>
                <c:pt idx="2">
                  <c:v>476.3741</c:v>
                </c:pt>
                <c:pt idx="3">
                  <c:v>344.8152</c:v>
                </c:pt>
                <c:pt idx="4">
                  <c:v>261.12619999999998</c:v>
                </c:pt>
                <c:pt idx="5">
                  <c:v>209.18389999999999</c:v>
                </c:pt>
                <c:pt idx="6">
                  <c:v>174.30170000000001</c:v>
                </c:pt>
                <c:pt idx="7">
                  <c:v>147.6431</c:v>
                </c:pt>
                <c:pt idx="8">
                  <c:v>131.84809999999999</c:v>
                </c:pt>
                <c:pt idx="9">
                  <c:v>114.0872</c:v>
                </c:pt>
                <c:pt idx="10">
                  <c:v>103.44119999999999</c:v>
                </c:pt>
                <c:pt idx="11">
                  <c:v>96.613169999999997</c:v>
                </c:pt>
                <c:pt idx="12">
                  <c:v>88.675160000000005</c:v>
                </c:pt>
                <c:pt idx="13">
                  <c:v>81.69614</c:v>
                </c:pt>
                <c:pt idx="14">
                  <c:v>75.679119999999998</c:v>
                </c:pt>
                <c:pt idx="15">
                  <c:v>71.857119999999995</c:v>
                </c:pt>
                <c:pt idx="16">
                  <c:v>68.265079999999998</c:v>
                </c:pt>
                <c:pt idx="17">
                  <c:v>63.723050000000001</c:v>
                </c:pt>
                <c:pt idx="18">
                  <c:v>60.42398</c:v>
                </c:pt>
                <c:pt idx="19">
                  <c:v>57.824939999999998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AA_phi_A!$A$9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AA_phi_A!$B$9:$U$9</c:f>
              <c:numCache>
                <c:formatCode>General</c:formatCode>
                <c:ptCount val="20"/>
                <c:pt idx="0">
                  <c:v>1250.4690000000001</c:v>
                </c:pt>
                <c:pt idx="1">
                  <c:v>774.51649999999995</c:v>
                </c:pt>
                <c:pt idx="2">
                  <c:v>460.13529999999997</c:v>
                </c:pt>
                <c:pt idx="3">
                  <c:v>332.49259999999998</c:v>
                </c:pt>
                <c:pt idx="4">
                  <c:v>251.37799999999999</c:v>
                </c:pt>
                <c:pt idx="5">
                  <c:v>197.56899999999999</c:v>
                </c:pt>
                <c:pt idx="6">
                  <c:v>167.94370000000001</c:v>
                </c:pt>
                <c:pt idx="7">
                  <c:v>146.13210000000001</c:v>
                </c:pt>
                <c:pt idx="8">
                  <c:v>128.20509999999999</c:v>
                </c:pt>
                <c:pt idx="9">
                  <c:v>112.8702</c:v>
                </c:pt>
                <c:pt idx="10">
                  <c:v>101.9683</c:v>
                </c:pt>
                <c:pt idx="11">
                  <c:v>92.584159999999997</c:v>
                </c:pt>
                <c:pt idx="12">
                  <c:v>85.815150000000003</c:v>
                </c:pt>
                <c:pt idx="13">
                  <c:v>80.252120000000005</c:v>
                </c:pt>
                <c:pt idx="14">
                  <c:v>75.640110000000007</c:v>
                </c:pt>
                <c:pt idx="15">
                  <c:v>70.649090000000001</c:v>
                </c:pt>
                <c:pt idx="16">
                  <c:v>66.123040000000003</c:v>
                </c:pt>
                <c:pt idx="17">
                  <c:v>62.555010000000003</c:v>
                </c:pt>
                <c:pt idx="18">
                  <c:v>59.02</c:v>
                </c:pt>
                <c:pt idx="19">
                  <c:v>56.872970000000002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AA_phi_A!$A$10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AA_phi_A!$B$10:$U$10</c:f>
              <c:numCache>
                <c:formatCode>General</c:formatCode>
                <c:ptCount val="20"/>
                <c:pt idx="0">
                  <c:v>1628.633</c:v>
                </c:pt>
                <c:pt idx="1">
                  <c:v>988.58240000000001</c:v>
                </c:pt>
                <c:pt idx="2">
                  <c:v>570.79219999999998</c:v>
                </c:pt>
                <c:pt idx="3">
                  <c:v>396.34460000000001</c:v>
                </c:pt>
                <c:pt idx="4">
                  <c:v>294.8107</c:v>
                </c:pt>
                <c:pt idx="5">
                  <c:v>233.61490000000001</c:v>
                </c:pt>
                <c:pt idx="6">
                  <c:v>190.1285</c:v>
                </c:pt>
                <c:pt idx="7">
                  <c:v>163.3416</c:v>
                </c:pt>
                <c:pt idx="8">
                  <c:v>144.374</c:v>
                </c:pt>
                <c:pt idx="9">
                  <c:v>129.39320000000001</c:v>
                </c:pt>
                <c:pt idx="10">
                  <c:v>116.5393</c:v>
                </c:pt>
                <c:pt idx="11">
                  <c:v>105.7753</c:v>
                </c:pt>
                <c:pt idx="12">
                  <c:v>96.848240000000004</c:v>
                </c:pt>
                <c:pt idx="13">
                  <c:v>88.270179999999996</c:v>
                </c:pt>
                <c:pt idx="14">
                  <c:v>82.495189999999994</c:v>
                </c:pt>
                <c:pt idx="15">
                  <c:v>78.694159999999997</c:v>
                </c:pt>
                <c:pt idx="16">
                  <c:v>74.376140000000007</c:v>
                </c:pt>
                <c:pt idx="17">
                  <c:v>70.791079999999994</c:v>
                </c:pt>
                <c:pt idx="18">
                  <c:v>67.012</c:v>
                </c:pt>
                <c:pt idx="19">
                  <c:v>62.100960000000001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AA_phi_A!$A$11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AA_phi_A!$B$11:$U$11</c:f>
              <c:numCache>
                <c:formatCode>General</c:formatCode>
                <c:ptCount val="20"/>
                <c:pt idx="0">
                  <c:v>1621.5129999999999</c:v>
                </c:pt>
                <c:pt idx="1">
                  <c:v>993.81100000000004</c:v>
                </c:pt>
                <c:pt idx="2">
                  <c:v>579.93759999999997</c:v>
                </c:pt>
                <c:pt idx="3">
                  <c:v>396.22199999999998</c:v>
                </c:pt>
                <c:pt idx="4">
                  <c:v>301.90109999999999</c:v>
                </c:pt>
                <c:pt idx="5">
                  <c:v>242.51589999999999</c:v>
                </c:pt>
                <c:pt idx="6">
                  <c:v>200.6217</c:v>
                </c:pt>
                <c:pt idx="7">
                  <c:v>173.7817</c:v>
                </c:pt>
                <c:pt idx="8">
                  <c:v>150.71510000000001</c:v>
                </c:pt>
                <c:pt idx="9">
                  <c:v>131.00319999999999</c:v>
                </c:pt>
                <c:pt idx="10">
                  <c:v>119.8323</c:v>
                </c:pt>
                <c:pt idx="11">
                  <c:v>107.3484</c:v>
                </c:pt>
                <c:pt idx="12">
                  <c:v>97.482249999999993</c:v>
                </c:pt>
                <c:pt idx="13">
                  <c:v>90.025199999999998</c:v>
                </c:pt>
                <c:pt idx="14">
                  <c:v>84.739220000000003</c:v>
                </c:pt>
                <c:pt idx="15">
                  <c:v>78.333179999999999</c:v>
                </c:pt>
                <c:pt idx="16">
                  <c:v>74.461039999999997</c:v>
                </c:pt>
                <c:pt idx="17">
                  <c:v>70.869010000000003</c:v>
                </c:pt>
                <c:pt idx="18">
                  <c:v>67.589960000000005</c:v>
                </c:pt>
                <c:pt idx="19">
                  <c:v>65.455960000000005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AA_phi_A!$A$12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AA_phi_A!$B$12:$U$12</c:f>
              <c:numCache>
                <c:formatCode>General</c:formatCode>
                <c:ptCount val="20"/>
                <c:pt idx="0">
                  <c:v>1330.546</c:v>
                </c:pt>
                <c:pt idx="1">
                  <c:v>817.78139999999996</c:v>
                </c:pt>
                <c:pt idx="2">
                  <c:v>489.97559999999999</c:v>
                </c:pt>
                <c:pt idx="3">
                  <c:v>340.77800000000002</c:v>
                </c:pt>
                <c:pt idx="4">
                  <c:v>252.041</c:v>
                </c:pt>
                <c:pt idx="5">
                  <c:v>197.6918</c:v>
                </c:pt>
                <c:pt idx="6">
                  <c:v>165.48769999999999</c:v>
                </c:pt>
                <c:pt idx="7">
                  <c:v>140.92179999999999</c:v>
                </c:pt>
                <c:pt idx="8">
                  <c:v>121.2651</c:v>
                </c:pt>
                <c:pt idx="9">
                  <c:v>111.4012</c:v>
                </c:pt>
                <c:pt idx="10">
                  <c:v>99.99924</c:v>
                </c:pt>
                <c:pt idx="11">
                  <c:v>94.583240000000004</c:v>
                </c:pt>
                <c:pt idx="12">
                  <c:v>86.165149999999997</c:v>
                </c:pt>
                <c:pt idx="13">
                  <c:v>79.013080000000002</c:v>
                </c:pt>
                <c:pt idx="14">
                  <c:v>71.87406</c:v>
                </c:pt>
                <c:pt idx="15">
                  <c:v>67.156040000000004</c:v>
                </c:pt>
                <c:pt idx="16">
                  <c:v>64.000020000000006</c:v>
                </c:pt>
                <c:pt idx="17">
                  <c:v>60.899990000000003</c:v>
                </c:pt>
                <c:pt idx="18">
                  <c:v>57.164009999999998</c:v>
                </c:pt>
                <c:pt idx="19">
                  <c:v>54.11298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AA_phi_A!$A$13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AA_phi_A!$B$13:$U$13</c:f>
              <c:numCache>
                <c:formatCode>General</c:formatCode>
                <c:ptCount val="20"/>
                <c:pt idx="0">
                  <c:v>1279.377</c:v>
                </c:pt>
                <c:pt idx="1">
                  <c:v>798.41459999999995</c:v>
                </c:pt>
                <c:pt idx="2">
                  <c:v>481.08479999999997</c:v>
                </c:pt>
                <c:pt idx="3">
                  <c:v>336.1952</c:v>
                </c:pt>
                <c:pt idx="4">
                  <c:v>257.4769</c:v>
                </c:pt>
                <c:pt idx="5">
                  <c:v>200.77359999999999</c:v>
                </c:pt>
                <c:pt idx="6">
                  <c:v>167.9597</c:v>
                </c:pt>
                <c:pt idx="7">
                  <c:v>142.9888</c:v>
                </c:pt>
                <c:pt idx="8">
                  <c:v>122.99809999999999</c:v>
                </c:pt>
                <c:pt idx="9">
                  <c:v>108.1721</c:v>
                </c:pt>
                <c:pt idx="10">
                  <c:v>98.129199999999997</c:v>
                </c:pt>
                <c:pt idx="11">
                  <c:v>89.224209999999999</c:v>
                </c:pt>
                <c:pt idx="12">
                  <c:v>83.184139999999999</c:v>
                </c:pt>
                <c:pt idx="13">
                  <c:v>77.428089999999997</c:v>
                </c:pt>
                <c:pt idx="14">
                  <c:v>70.742059999999995</c:v>
                </c:pt>
                <c:pt idx="15">
                  <c:v>67.160030000000006</c:v>
                </c:pt>
                <c:pt idx="16">
                  <c:v>62.372030000000002</c:v>
                </c:pt>
                <c:pt idx="17">
                  <c:v>59.274990000000003</c:v>
                </c:pt>
                <c:pt idx="18">
                  <c:v>55.537999999999997</c:v>
                </c:pt>
                <c:pt idx="19">
                  <c:v>53.19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AA_phi_A!$A$14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AA_phi_A!$B$14:$U$14</c:f>
              <c:numCache>
                <c:formatCode>General</c:formatCode>
                <c:ptCount val="20"/>
                <c:pt idx="0">
                  <c:v>1325.4680000000001</c:v>
                </c:pt>
                <c:pt idx="1">
                  <c:v>829.60839999999996</c:v>
                </c:pt>
                <c:pt idx="2">
                  <c:v>497.31630000000001</c:v>
                </c:pt>
                <c:pt idx="3">
                  <c:v>348.90649999999999</c:v>
                </c:pt>
                <c:pt idx="4">
                  <c:v>261.91410000000002</c:v>
                </c:pt>
                <c:pt idx="5">
                  <c:v>209.11359999999999</c:v>
                </c:pt>
                <c:pt idx="6">
                  <c:v>173.3415</c:v>
                </c:pt>
                <c:pt idx="7">
                  <c:v>145.18389999999999</c:v>
                </c:pt>
                <c:pt idx="8">
                  <c:v>127.0441</c:v>
                </c:pt>
                <c:pt idx="9">
                  <c:v>112.3532</c:v>
                </c:pt>
                <c:pt idx="10">
                  <c:v>103.3152</c:v>
                </c:pt>
                <c:pt idx="11">
                  <c:v>96.258210000000005</c:v>
                </c:pt>
                <c:pt idx="12">
                  <c:v>89.679169999999999</c:v>
                </c:pt>
                <c:pt idx="13">
                  <c:v>82.768119999999996</c:v>
                </c:pt>
                <c:pt idx="14">
                  <c:v>76.100089999999994</c:v>
                </c:pt>
                <c:pt idx="15">
                  <c:v>71.799090000000007</c:v>
                </c:pt>
                <c:pt idx="16">
                  <c:v>66.811059999999998</c:v>
                </c:pt>
                <c:pt idx="17">
                  <c:v>61.850029999999997</c:v>
                </c:pt>
                <c:pt idx="18">
                  <c:v>58.538980000000002</c:v>
                </c:pt>
                <c:pt idx="19">
                  <c:v>56.879989999999999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AA_phi_A!$A$15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AA_phi_A!$B$15:$U$15</c:f>
              <c:numCache>
                <c:formatCode>General</c:formatCode>
                <c:ptCount val="20"/>
                <c:pt idx="0">
                  <c:v>3428.384</c:v>
                </c:pt>
                <c:pt idx="1">
                  <c:v>2425.8980000000001</c:v>
                </c:pt>
                <c:pt idx="2">
                  <c:v>1576.0609999999999</c:v>
                </c:pt>
                <c:pt idx="3">
                  <c:v>1108.672</c:v>
                </c:pt>
                <c:pt idx="4">
                  <c:v>853.93619999999999</c:v>
                </c:pt>
                <c:pt idx="5">
                  <c:v>683.94399999999996</c:v>
                </c:pt>
                <c:pt idx="6">
                  <c:v>567.08690000000001</c:v>
                </c:pt>
                <c:pt idx="7">
                  <c:v>491.26159999999999</c:v>
                </c:pt>
                <c:pt idx="8">
                  <c:v>428.41120000000001</c:v>
                </c:pt>
                <c:pt idx="9">
                  <c:v>380.00689999999997</c:v>
                </c:pt>
                <c:pt idx="10">
                  <c:v>346.15550000000002</c:v>
                </c:pt>
                <c:pt idx="11">
                  <c:v>318.01420000000002</c:v>
                </c:pt>
                <c:pt idx="12">
                  <c:v>293.03980000000001</c:v>
                </c:pt>
                <c:pt idx="13">
                  <c:v>270.68860000000001</c:v>
                </c:pt>
                <c:pt idx="14">
                  <c:v>252.5325</c:v>
                </c:pt>
                <c:pt idx="15">
                  <c:v>237.23269999999999</c:v>
                </c:pt>
                <c:pt idx="16">
                  <c:v>217.69489999999999</c:v>
                </c:pt>
                <c:pt idx="17">
                  <c:v>205.828</c:v>
                </c:pt>
                <c:pt idx="18">
                  <c:v>197.70169999999999</c:v>
                </c:pt>
                <c:pt idx="19">
                  <c:v>189.5539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AA_phi_A!$A$16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AA_phi_A!$B$16:$U$16</c:f>
              <c:numCache>
                <c:formatCode>General</c:formatCode>
                <c:ptCount val="20"/>
                <c:pt idx="0">
                  <c:v>2814.123</c:v>
                </c:pt>
                <c:pt idx="1">
                  <c:v>1762.9760000000001</c:v>
                </c:pt>
                <c:pt idx="2">
                  <c:v>1039.8130000000001</c:v>
                </c:pt>
                <c:pt idx="3">
                  <c:v>723.32230000000004</c:v>
                </c:pt>
                <c:pt idx="4">
                  <c:v>547.26459999999997</c:v>
                </c:pt>
                <c:pt idx="5">
                  <c:v>432.80669999999998</c:v>
                </c:pt>
                <c:pt idx="6">
                  <c:v>356.74</c:v>
                </c:pt>
                <c:pt idx="7">
                  <c:v>305.38650000000001</c:v>
                </c:pt>
                <c:pt idx="8">
                  <c:v>269.2842</c:v>
                </c:pt>
                <c:pt idx="9">
                  <c:v>236.87139999999999</c:v>
                </c:pt>
                <c:pt idx="10">
                  <c:v>210.76990000000001</c:v>
                </c:pt>
                <c:pt idx="11">
                  <c:v>194.7979</c:v>
                </c:pt>
                <c:pt idx="12">
                  <c:v>180.47489999999999</c:v>
                </c:pt>
                <c:pt idx="13">
                  <c:v>166.36709999999999</c:v>
                </c:pt>
                <c:pt idx="14">
                  <c:v>152.78649999999999</c:v>
                </c:pt>
                <c:pt idx="15">
                  <c:v>143.3126</c:v>
                </c:pt>
                <c:pt idx="16">
                  <c:v>134.44839999999999</c:v>
                </c:pt>
                <c:pt idx="17">
                  <c:v>126.5814</c:v>
                </c:pt>
                <c:pt idx="18">
                  <c:v>121.1631</c:v>
                </c:pt>
                <c:pt idx="19">
                  <c:v>116.453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AA_phi_A!$A$17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AA_phi_A!$B$17:$U$17</c:f>
              <c:numCache>
                <c:formatCode>General</c:formatCode>
                <c:ptCount val="20"/>
                <c:pt idx="0">
                  <c:v>2928.6509999999998</c:v>
                </c:pt>
                <c:pt idx="1">
                  <c:v>1815.73</c:v>
                </c:pt>
                <c:pt idx="2">
                  <c:v>1049.856</c:v>
                </c:pt>
                <c:pt idx="3">
                  <c:v>720.4443</c:v>
                </c:pt>
                <c:pt idx="4">
                  <c:v>546.34649999999999</c:v>
                </c:pt>
                <c:pt idx="5">
                  <c:v>433.99489999999997</c:v>
                </c:pt>
                <c:pt idx="6">
                  <c:v>358.17140000000001</c:v>
                </c:pt>
                <c:pt idx="7">
                  <c:v>306.97359999999998</c:v>
                </c:pt>
                <c:pt idx="8">
                  <c:v>264.75200000000001</c:v>
                </c:pt>
                <c:pt idx="9">
                  <c:v>238.51820000000001</c:v>
                </c:pt>
                <c:pt idx="10">
                  <c:v>211.40260000000001</c:v>
                </c:pt>
                <c:pt idx="11">
                  <c:v>192.44800000000001</c:v>
                </c:pt>
                <c:pt idx="12">
                  <c:v>180.02</c:v>
                </c:pt>
                <c:pt idx="13">
                  <c:v>166.82910000000001</c:v>
                </c:pt>
                <c:pt idx="14">
                  <c:v>155.9975</c:v>
                </c:pt>
                <c:pt idx="15">
                  <c:v>145.30459999999999</c:v>
                </c:pt>
                <c:pt idx="16">
                  <c:v>136.50640000000001</c:v>
                </c:pt>
                <c:pt idx="17">
                  <c:v>129.07640000000001</c:v>
                </c:pt>
                <c:pt idx="18">
                  <c:v>122.7171</c:v>
                </c:pt>
                <c:pt idx="19">
                  <c:v>116.3849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AA_phi_A!$A$18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AA_phi_A!$B$18:$U$18</c:f>
              <c:numCache>
                <c:formatCode>General</c:formatCode>
                <c:ptCount val="20"/>
                <c:pt idx="0">
                  <c:v>2893.9270000000001</c:v>
                </c:pt>
                <c:pt idx="1">
                  <c:v>1785.817</c:v>
                </c:pt>
                <c:pt idx="2">
                  <c:v>1052.4469999999999</c:v>
                </c:pt>
                <c:pt idx="3">
                  <c:v>729.10550000000001</c:v>
                </c:pt>
                <c:pt idx="4">
                  <c:v>537.90470000000005</c:v>
                </c:pt>
                <c:pt idx="5">
                  <c:v>426.27910000000003</c:v>
                </c:pt>
                <c:pt idx="6">
                  <c:v>355.93180000000001</c:v>
                </c:pt>
                <c:pt idx="7">
                  <c:v>307.78039999999999</c:v>
                </c:pt>
                <c:pt idx="8">
                  <c:v>264.05020000000002</c:v>
                </c:pt>
                <c:pt idx="9">
                  <c:v>236.85640000000001</c:v>
                </c:pt>
                <c:pt idx="10">
                  <c:v>210.7714</c:v>
                </c:pt>
                <c:pt idx="11">
                  <c:v>192.75200000000001</c:v>
                </c:pt>
                <c:pt idx="12">
                  <c:v>178.69399999999999</c:v>
                </c:pt>
                <c:pt idx="13">
                  <c:v>162.47720000000001</c:v>
                </c:pt>
                <c:pt idx="14">
                  <c:v>150.2346</c:v>
                </c:pt>
                <c:pt idx="15">
                  <c:v>142.64760000000001</c:v>
                </c:pt>
                <c:pt idx="16">
                  <c:v>133.7483</c:v>
                </c:pt>
                <c:pt idx="17">
                  <c:v>126.1412</c:v>
                </c:pt>
                <c:pt idx="18">
                  <c:v>120.9361</c:v>
                </c:pt>
                <c:pt idx="19">
                  <c:v>115.0719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AA_phi_A!$A$19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AA_phi_A!$B$19:$U$19</c:f>
              <c:numCache>
                <c:formatCode>General</c:formatCode>
                <c:ptCount val="20"/>
                <c:pt idx="0">
                  <c:v>6813.942</c:v>
                </c:pt>
                <c:pt idx="1">
                  <c:v>4638.34</c:v>
                </c:pt>
                <c:pt idx="2">
                  <c:v>2867.9749999999999</c:v>
                </c:pt>
                <c:pt idx="3">
                  <c:v>1984.502</c:v>
                </c:pt>
                <c:pt idx="4">
                  <c:v>1479.6130000000001</c:v>
                </c:pt>
                <c:pt idx="5">
                  <c:v>1176.095</c:v>
                </c:pt>
                <c:pt idx="6">
                  <c:v>962.67309999999998</c:v>
                </c:pt>
                <c:pt idx="7">
                  <c:v>812.62559999999996</c:v>
                </c:pt>
                <c:pt idx="8">
                  <c:v>704.89110000000005</c:v>
                </c:pt>
                <c:pt idx="9">
                  <c:v>614.29020000000003</c:v>
                </c:pt>
                <c:pt idx="10">
                  <c:v>549.08500000000004</c:v>
                </c:pt>
                <c:pt idx="11">
                  <c:v>494.52499999999998</c:v>
                </c:pt>
                <c:pt idx="12">
                  <c:v>446.17219999999998</c:v>
                </c:pt>
                <c:pt idx="13">
                  <c:v>410.83010000000002</c:v>
                </c:pt>
                <c:pt idx="14">
                  <c:v>383.66329999999999</c:v>
                </c:pt>
                <c:pt idx="15">
                  <c:v>359.79320000000001</c:v>
                </c:pt>
                <c:pt idx="16">
                  <c:v>335.48160000000001</c:v>
                </c:pt>
                <c:pt idx="17">
                  <c:v>313.01</c:v>
                </c:pt>
                <c:pt idx="18">
                  <c:v>292.47230000000002</c:v>
                </c:pt>
                <c:pt idx="19">
                  <c:v>283.01560000000001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AA_phi_A!$A$20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AA_phi_A!$B$20:$U$20</c:f>
              <c:numCache>
                <c:formatCode>General</c:formatCode>
                <c:ptCount val="20"/>
                <c:pt idx="0">
                  <c:v>6937.0249999999996</c:v>
                </c:pt>
                <c:pt idx="1">
                  <c:v>4748.7110000000002</c:v>
                </c:pt>
                <c:pt idx="2">
                  <c:v>2935.6489999999999</c:v>
                </c:pt>
                <c:pt idx="3">
                  <c:v>1999.634</c:v>
                </c:pt>
                <c:pt idx="4">
                  <c:v>1487.46</c:v>
                </c:pt>
                <c:pt idx="5">
                  <c:v>1176.712</c:v>
                </c:pt>
                <c:pt idx="6">
                  <c:v>961.05650000000003</c:v>
                </c:pt>
                <c:pt idx="7">
                  <c:v>810.93010000000004</c:v>
                </c:pt>
                <c:pt idx="8">
                  <c:v>701.06870000000004</c:v>
                </c:pt>
                <c:pt idx="9">
                  <c:v>621.52319999999997</c:v>
                </c:pt>
                <c:pt idx="10">
                  <c:v>556.97270000000003</c:v>
                </c:pt>
                <c:pt idx="11">
                  <c:v>500.38729999999998</c:v>
                </c:pt>
                <c:pt idx="12">
                  <c:v>454.7672</c:v>
                </c:pt>
                <c:pt idx="13">
                  <c:v>419.55360000000002</c:v>
                </c:pt>
                <c:pt idx="14">
                  <c:v>383.8449</c:v>
                </c:pt>
                <c:pt idx="15">
                  <c:v>358.4289</c:v>
                </c:pt>
                <c:pt idx="16">
                  <c:v>340.09789999999998</c:v>
                </c:pt>
                <c:pt idx="17">
                  <c:v>320.04399999999998</c:v>
                </c:pt>
                <c:pt idx="18">
                  <c:v>300.37639999999999</c:v>
                </c:pt>
                <c:pt idx="19">
                  <c:v>288.76769999999999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AA_phi_A!$A$21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AA_phi_A!$B$21:$U$21</c:f>
              <c:numCache>
                <c:formatCode>General</c:formatCode>
                <c:ptCount val="20"/>
                <c:pt idx="0">
                  <c:v>6954.3739999999998</c:v>
                </c:pt>
                <c:pt idx="1">
                  <c:v>4749.9629999999997</c:v>
                </c:pt>
                <c:pt idx="2">
                  <c:v>2945.703</c:v>
                </c:pt>
                <c:pt idx="3">
                  <c:v>1997.6579999999999</c:v>
                </c:pt>
                <c:pt idx="4">
                  <c:v>1485.867</c:v>
                </c:pt>
                <c:pt idx="5">
                  <c:v>1178.4090000000001</c:v>
                </c:pt>
                <c:pt idx="6">
                  <c:v>957.53179999999998</c:v>
                </c:pt>
                <c:pt idx="7">
                  <c:v>810.92439999999999</c:v>
                </c:pt>
                <c:pt idx="8">
                  <c:v>705.07569999999998</c:v>
                </c:pt>
                <c:pt idx="9">
                  <c:v>621.83280000000002</c:v>
                </c:pt>
                <c:pt idx="10">
                  <c:v>553.64390000000003</c:v>
                </c:pt>
                <c:pt idx="11">
                  <c:v>499.66419999999999</c:v>
                </c:pt>
                <c:pt idx="12">
                  <c:v>455.58370000000002</c:v>
                </c:pt>
                <c:pt idx="13">
                  <c:v>422.65429999999998</c:v>
                </c:pt>
                <c:pt idx="14">
                  <c:v>394.4821</c:v>
                </c:pt>
                <c:pt idx="15">
                  <c:v>367.84570000000002</c:v>
                </c:pt>
                <c:pt idx="16">
                  <c:v>345.89929999999998</c:v>
                </c:pt>
                <c:pt idx="17">
                  <c:v>328.33629999999999</c:v>
                </c:pt>
                <c:pt idx="18">
                  <c:v>304.72370000000001</c:v>
                </c:pt>
                <c:pt idx="19">
                  <c:v>288.92590000000001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AA_phi_A!$A$22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AA_phi_A!$B$22:$U$22</c:f>
              <c:numCache>
                <c:formatCode>General</c:formatCode>
                <c:ptCount val="20"/>
                <c:pt idx="0">
                  <c:v>6831.4449999999997</c:v>
                </c:pt>
                <c:pt idx="1">
                  <c:v>4688.7370000000001</c:v>
                </c:pt>
                <c:pt idx="2">
                  <c:v>2937.6779999999999</c:v>
                </c:pt>
                <c:pt idx="3">
                  <c:v>2004.278</c:v>
                </c:pt>
                <c:pt idx="4">
                  <c:v>1493.0229999999999</c:v>
                </c:pt>
                <c:pt idx="5">
                  <c:v>1188.6110000000001</c:v>
                </c:pt>
                <c:pt idx="6">
                  <c:v>978.04610000000002</c:v>
                </c:pt>
                <c:pt idx="7">
                  <c:v>823.13900000000001</c:v>
                </c:pt>
                <c:pt idx="8">
                  <c:v>711.96860000000004</c:v>
                </c:pt>
                <c:pt idx="9">
                  <c:v>620.1318</c:v>
                </c:pt>
                <c:pt idx="10">
                  <c:v>548.03790000000004</c:v>
                </c:pt>
                <c:pt idx="11">
                  <c:v>499.74849999999998</c:v>
                </c:pt>
                <c:pt idx="12">
                  <c:v>455.15100000000001</c:v>
                </c:pt>
                <c:pt idx="13">
                  <c:v>418.10199999999998</c:v>
                </c:pt>
                <c:pt idx="14">
                  <c:v>390.57170000000002</c:v>
                </c:pt>
                <c:pt idx="15">
                  <c:v>366.90679999999998</c:v>
                </c:pt>
                <c:pt idx="16">
                  <c:v>341.06400000000002</c:v>
                </c:pt>
                <c:pt idx="17">
                  <c:v>321.3519</c:v>
                </c:pt>
                <c:pt idx="18">
                  <c:v>303.53570000000002</c:v>
                </c:pt>
                <c:pt idx="19">
                  <c:v>288.02170000000001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AA_phi_A!$A$23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AA_phi_A!$B$23:$U$23</c:f>
              <c:numCache>
                <c:formatCode>General</c:formatCode>
                <c:ptCount val="20"/>
                <c:pt idx="0">
                  <c:v>6961.9430000000002</c:v>
                </c:pt>
                <c:pt idx="1">
                  <c:v>4776.9179999999997</c:v>
                </c:pt>
                <c:pt idx="2">
                  <c:v>2949.8449999999998</c:v>
                </c:pt>
                <c:pt idx="3">
                  <c:v>2001.61</c:v>
                </c:pt>
                <c:pt idx="4">
                  <c:v>1495.4</c:v>
                </c:pt>
                <c:pt idx="5">
                  <c:v>1180.175</c:v>
                </c:pt>
                <c:pt idx="6">
                  <c:v>960.13599999999997</c:v>
                </c:pt>
                <c:pt idx="7">
                  <c:v>817.31269999999995</c:v>
                </c:pt>
                <c:pt idx="8">
                  <c:v>706.93020000000001</c:v>
                </c:pt>
                <c:pt idx="9">
                  <c:v>621.81489999999997</c:v>
                </c:pt>
                <c:pt idx="10">
                  <c:v>556.86289999999997</c:v>
                </c:pt>
                <c:pt idx="11">
                  <c:v>500.80840000000001</c:v>
                </c:pt>
                <c:pt idx="12">
                  <c:v>456.3023</c:v>
                </c:pt>
                <c:pt idx="13">
                  <c:v>416.67360000000002</c:v>
                </c:pt>
                <c:pt idx="14">
                  <c:v>387.16379999999998</c:v>
                </c:pt>
                <c:pt idx="15">
                  <c:v>361.12700000000001</c:v>
                </c:pt>
                <c:pt idx="16">
                  <c:v>336.30410000000001</c:v>
                </c:pt>
                <c:pt idx="17">
                  <c:v>319.11200000000002</c:v>
                </c:pt>
                <c:pt idx="18">
                  <c:v>298.32080000000002</c:v>
                </c:pt>
                <c:pt idx="19">
                  <c:v>287.03100000000001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AA_phi_A!$A$24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AA_phi_A!$B$24:$U$24</c:f>
              <c:numCache>
                <c:formatCode>General</c:formatCode>
                <c:ptCount val="20"/>
                <c:pt idx="0">
                  <c:v>6790.4179999999997</c:v>
                </c:pt>
                <c:pt idx="1">
                  <c:v>4676.9660000000003</c:v>
                </c:pt>
                <c:pt idx="2">
                  <c:v>2896.15</c:v>
                </c:pt>
                <c:pt idx="3">
                  <c:v>2003.46</c:v>
                </c:pt>
                <c:pt idx="4">
                  <c:v>1499.587</c:v>
                </c:pt>
                <c:pt idx="5">
                  <c:v>1179.4269999999999</c:v>
                </c:pt>
                <c:pt idx="6">
                  <c:v>961.36109999999996</c:v>
                </c:pt>
                <c:pt idx="7">
                  <c:v>816.04060000000004</c:v>
                </c:pt>
                <c:pt idx="8">
                  <c:v>708.35590000000002</c:v>
                </c:pt>
                <c:pt idx="9">
                  <c:v>623.71190000000001</c:v>
                </c:pt>
                <c:pt idx="10">
                  <c:v>555.46619999999996</c:v>
                </c:pt>
                <c:pt idx="11">
                  <c:v>502.67320000000001</c:v>
                </c:pt>
                <c:pt idx="12">
                  <c:v>460.52030000000002</c:v>
                </c:pt>
                <c:pt idx="13">
                  <c:v>424.87759999999997</c:v>
                </c:pt>
                <c:pt idx="14">
                  <c:v>394.78949999999998</c:v>
                </c:pt>
                <c:pt idx="15">
                  <c:v>369.5179</c:v>
                </c:pt>
                <c:pt idx="16">
                  <c:v>344.08690000000001</c:v>
                </c:pt>
                <c:pt idx="17">
                  <c:v>324.25490000000002</c:v>
                </c:pt>
                <c:pt idx="18">
                  <c:v>305.15260000000001</c:v>
                </c:pt>
                <c:pt idx="19">
                  <c:v>292.12689999999998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AA_phi_A!$A$25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AA_phi_A!$B$25:$U$25</c:f>
              <c:numCache>
                <c:formatCode>General</c:formatCode>
                <c:ptCount val="20"/>
                <c:pt idx="0">
                  <c:v>6900.5820000000003</c:v>
                </c:pt>
                <c:pt idx="1">
                  <c:v>4729.4129999999996</c:v>
                </c:pt>
                <c:pt idx="2">
                  <c:v>2928.9920000000002</c:v>
                </c:pt>
                <c:pt idx="3">
                  <c:v>1983.819</c:v>
                </c:pt>
                <c:pt idx="4">
                  <c:v>1486.201</c:v>
                </c:pt>
                <c:pt idx="5">
                  <c:v>1170.875</c:v>
                </c:pt>
                <c:pt idx="6">
                  <c:v>955.36479999999995</c:v>
                </c:pt>
                <c:pt idx="7">
                  <c:v>807.95389999999998</c:v>
                </c:pt>
                <c:pt idx="8">
                  <c:v>702.42809999999997</c:v>
                </c:pt>
                <c:pt idx="9">
                  <c:v>616.61220000000003</c:v>
                </c:pt>
                <c:pt idx="10">
                  <c:v>548.71420000000001</c:v>
                </c:pt>
                <c:pt idx="11">
                  <c:v>495.73419999999999</c:v>
                </c:pt>
                <c:pt idx="12">
                  <c:v>453.79349999999999</c:v>
                </c:pt>
                <c:pt idx="13">
                  <c:v>420.57209999999998</c:v>
                </c:pt>
                <c:pt idx="14">
                  <c:v>389.12209999999999</c:v>
                </c:pt>
                <c:pt idx="15">
                  <c:v>362.50580000000002</c:v>
                </c:pt>
                <c:pt idx="16">
                  <c:v>339.18740000000003</c:v>
                </c:pt>
                <c:pt idx="17">
                  <c:v>319.71690000000001</c:v>
                </c:pt>
                <c:pt idx="18">
                  <c:v>298.89139999999998</c:v>
                </c:pt>
                <c:pt idx="19">
                  <c:v>286.26780000000002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AA_phi_A!$A$26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AA_phi_A!$B$26:$U$26</c:f>
              <c:numCache>
                <c:formatCode>General</c:formatCode>
                <c:ptCount val="20"/>
                <c:pt idx="0">
                  <c:v>5374.308</c:v>
                </c:pt>
                <c:pt idx="1">
                  <c:v>3248.4589999999998</c:v>
                </c:pt>
                <c:pt idx="2">
                  <c:v>1886.1590000000001</c:v>
                </c:pt>
                <c:pt idx="3">
                  <c:v>1234.4749999999999</c:v>
                </c:pt>
                <c:pt idx="4">
                  <c:v>887.08540000000005</c:v>
                </c:pt>
                <c:pt idx="5">
                  <c:v>686.40260000000001</c:v>
                </c:pt>
                <c:pt idx="6">
                  <c:v>557.56740000000002</c:v>
                </c:pt>
                <c:pt idx="7">
                  <c:v>465.03739999999999</c:v>
                </c:pt>
                <c:pt idx="8">
                  <c:v>393.1832</c:v>
                </c:pt>
                <c:pt idx="9">
                  <c:v>347.37959999999998</c:v>
                </c:pt>
                <c:pt idx="10">
                  <c:v>305.01010000000002</c:v>
                </c:pt>
                <c:pt idx="11">
                  <c:v>277.47770000000003</c:v>
                </c:pt>
                <c:pt idx="12">
                  <c:v>257.61880000000002</c:v>
                </c:pt>
                <c:pt idx="13">
                  <c:v>232.40960000000001</c:v>
                </c:pt>
                <c:pt idx="14">
                  <c:v>216.1105</c:v>
                </c:pt>
                <c:pt idx="15">
                  <c:v>200.02420000000001</c:v>
                </c:pt>
                <c:pt idx="16">
                  <c:v>184.5692</c:v>
                </c:pt>
                <c:pt idx="17">
                  <c:v>171.95509999999999</c:v>
                </c:pt>
                <c:pt idx="18">
                  <c:v>162.0702</c:v>
                </c:pt>
                <c:pt idx="19">
                  <c:v>153.86109999999999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AA_phi_A!$A$27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AA_phi_A!$B$27:$U$27</c:f>
              <c:numCache>
                <c:formatCode>General</c:formatCode>
                <c:ptCount val="20"/>
                <c:pt idx="0">
                  <c:v>6712.2730000000001</c:v>
                </c:pt>
                <c:pt idx="1">
                  <c:v>4622.6059999999998</c:v>
                </c:pt>
                <c:pt idx="2">
                  <c:v>2863.8150000000001</c:v>
                </c:pt>
                <c:pt idx="3">
                  <c:v>1974.549</c:v>
                </c:pt>
                <c:pt idx="4">
                  <c:v>1471.827</c:v>
                </c:pt>
                <c:pt idx="5">
                  <c:v>1163.384</c:v>
                </c:pt>
                <c:pt idx="6">
                  <c:v>954.49419999999998</c:v>
                </c:pt>
                <c:pt idx="7">
                  <c:v>804.13900000000001</c:v>
                </c:pt>
                <c:pt idx="8">
                  <c:v>700.9982</c:v>
                </c:pt>
                <c:pt idx="9">
                  <c:v>615.40509999999995</c:v>
                </c:pt>
                <c:pt idx="10">
                  <c:v>553.84780000000001</c:v>
                </c:pt>
                <c:pt idx="11">
                  <c:v>495.76909999999998</c:v>
                </c:pt>
                <c:pt idx="12">
                  <c:v>450.48329999999999</c:v>
                </c:pt>
                <c:pt idx="13">
                  <c:v>415.8578</c:v>
                </c:pt>
                <c:pt idx="14">
                  <c:v>384.77109999999999</c:v>
                </c:pt>
                <c:pt idx="15">
                  <c:v>365.33690000000001</c:v>
                </c:pt>
                <c:pt idx="16">
                  <c:v>339.68979999999999</c:v>
                </c:pt>
                <c:pt idx="17">
                  <c:v>318.34190000000001</c:v>
                </c:pt>
                <c:pt idx="18">
                  <c:v>300.75839999999999</c:v>
                </c:pt>
                <c:pt idx="19">
                  <c:v>289.18189999999998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AA_phi_A!$A$28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AA_phi_A!$B$28:$U$28</c:f>
              <c:numCache>
                <c:formatCode>General</c:formatCode>
                <c:ptCount val="20"/>
                <c:pt idx="0">
                  <c:v>6794.625</c:v>
                </c:pt>
                <c:pt idx="1">
                  <c:v>4660.9790000000003</c:v>
                </c:pt>
                <c:pt idx="2">
                  <c:v>2903.154</c:v>
                </c:pt>
                <c:pt idx="3">
                  <c:v>1985.558</c:v>
                </c:pt>
                <c:pt idx="4">
                  <c:v>1495.2950000000001</c:v>
                </c:pt>
                <c:pt idx="5">
                  <c:v>1177.817</c:v>
                </c:pt>
                <c:pt idx="6">
                  <c:v>961.98829999999998</c:v>
                </c:pt>
                <c:pt idx="7">
                  <c:v>817.34889999999996</c:v>
                </c:pt>
                <c:pt idx="8">
                  <c:v>713.49919999999997</c:v>
                </c:pt>
                <c:pt idx="9">
                  <c:v>626.5915</c:v>
                </c:pt>
                <c:pt idx="10">
                  <c:v>559.32759999999996</c:v>
                </c:pt>
                <c:pt idx="11">
                  <c:v>502.60109999999997</c:v>
                </c:pt>
                <c:pt idx="12">
                  <c:v>459.916</c:v>
                </c:pt>
                <c:pt idx="13">
                  <c:v>422.89109999999999</c:v>
                </c:pt>
                <c:pt idx="14">
                  <c:v>391.1671</c:v>
                </c:pt>
                <c:pt idx="15">
                  <c:v>362.56299999999999</c:v>
                </c:pt>
                <c:pt idx="16">
                  <c:v>340.81380000000001</c:v>
                </c:pt>
                <c:pt idx="17">
                  <c:v>321.6651</c:v>
                </c:pt>
                <c:pt idx="18">
                  <c:v>304.3227</c:v>
                </c:pt>
                <c:pt idx="19">
                  <c:v>288.38979999999998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AA_phi_A!$A$29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AA_phi_A!$B$29:$U$29</c:f>
              <c:numCache>
                <c:formatCode>General</c:formatCode>
                <c:ptCount val="20"/>
                <c:pt idx="0">
                  <c:v>7392.3</c:v>
                </c:pt>
                <c:pt idx="1">
                  <c:v>5089.3630000000003</c:v>
                </c:pt>
                <c:pt idx="2">
                  <c:v>3219.3960000000002</c:v>
                </c:pt>
                <c:pt idx="3">
                  <c:v>2260.0529999999999</c:v>
                </c:pt>
                <c:pt idx="4">
                  <c:v>1690.3409999999999</c:v>
                </c:pt>
                <c:pt idx="5">
                  <c:v>1336.8720000000001</c:v>
                </c:pt>
                <c:pt idx="6">
                  <c:v>1095.116</c:v>
                </c:pt>
                <c:pt idx="7">
                  <c:v>921.88019999999995</c:v>
                </c:pt>
                <c:pt idx="8">
                  <c:v>791.66549999999995</c:v>
                </c:pt>
                <c:pt idx="9">
                  <c:v>706.63570000000004</c:v>
                </c:pt>
                <c:pt idx="10">
                  <c:v>629.17830000000004</c:v>
                </c:pt>
                <c:pt idx="11">
                  <c:v>572.59810000000004</c:v>
                </c:pt>
                <c:pt idx="12">
                  <c:v>520.3922</c:v>
                </c:pt>
                <c:pt idx="13">
                  <c:v>479.30380000000002</c:v>
                </c:pt>
                <c:pt idx="14">
                  <c:v>441.87150000000003</c:v>
                </c:pt>
                <c:pt idx="15">
                  <c:v>412.7448</c:v>
                </c:pt>
                <c:pt idx="16">
                  <c:v>388.3741</c:v>
                </c:pt>
                <c:pt idx="17">
                  <c:v>369.52170000000001</c:v>
                </c:pt>
                <c:pt idx="18">
                  <c:v>347.52339999999998</c:v>
                </c:pt>
                <c:pt idx="19">
                  <c:v>331.83530000000002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AA_phi_A!$A$30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AA_phi_A!$B$30:$U$30</c:f>
              <c:numCache>
                <c:formatCode>General</c:formatCode>
                <c:ptCount val="20"/>
                <c:pt idx="0">
                  <c:v>7014.4949999999999</c:v>
                </c:pt>
                <c:pt idx="1">
                  <c:v>4606.357</c:v>
                </c:pt>
                <c:pt idx="2">
                  <c:v>2701.1480000000001</c:v>
                </c:pt>
                <c:pt idx="3">
                  <c:v>1834.797</c:v>
                </c:pt>
                <c:pt idx="4">
                  <c:v>1347.183</c:v>
                </c:pt>
                <c:pt idx="5">
                  <c:v>1039.6220000000001</c:v>
                </c:pt>
                <c:pt idx="6">
                  <c:v>849.03089999999997</c:v>
                </c:pt>
                <c:pt idx="7">
                  <c:v>707.64170000000001</c:v>
                </c:pt>
                <c:pt idx="8">
                  <c:v>597.7056</c:v>
                </c:pt>
                <c:pt idx="9">
                  <c:v>520.9194</c:v>
                </c:pt>
                <c:pt idx="10">
                  <c:v>459.97719999999998</c:v>
                </c:pt>
                <c:pt idx="11">
                  <c:v>410.33019999999999</c:v>
                </c:pt>
                <c:pt idx="12">
                  <c:v>369.1311</c:v>
                </c:pt>
                <c:pt idx="13">
                  <c:v>336.63479999999998</c:v>
                </c:pt>
                <c:pt idx="14">
                  <c:v>307.00490000000002</c:v>
                </c:pt>
                <c:pt idx="15">
                  <c:v>287.22930000000002</c:v>
                </c:pt>
                <c:pt idx="16">
                  <c:v>266.91849999999999</c:v>
                </c:pt>
                <c:pt idx="17">
                  <c:v>248.125</c:v>
                </c:pt>
                <c:pt idx="18">
                  <c:v>235.63820000000001</c:v>
                </c:pt>
                <c:pt idx="19">
                  <c:v>222.18780000000001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AA_phi_A!$A$31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AA_phi_A!$B$31:$U$31</c:f>
              <c:numCache>
                <c:formatCode>General</c:formatCode>
                <c:ptCount val="20"/>
                <c:pt idx="0">
                  <c:v>6733.8670000000002</c:v>
                </c:pt>
                <c:pt idx="1">
                  <c:v>4202.1930000000002</c:v>
                </c:pt>
                <c:pt idx="2">
                  <c:v>2447.0889999999999</c:v>
                </c:pt>
                <c:pt idx="3">
                  <c:v>1642.9949999999999</c:v>
                </c:pt>
                <c:pt idx="4">
                  <c:v>1204.501</c:v>
                </c:pt>
                <c:pt idx="5">
                  <c:v>923.50009999999997</c:v>
                </c:pt>
                <c:pt idx="6">
                  <c:v>744.67010000000005</c:v>
                </c:pt>
                <c:pt idx="7">
                  <c:v>614.13229999999999</c:v>
                </c:pt>
                <c:pt idx="8">
                  <c:v>519.44479999999999</c:v>
                </c:pt>
                <c:pt idx="9">
                  <c:v>453.00959999999998</c:v>
                </c:pt>
                <c:pt idx="10">
                  <c:v>398.0068</c:v>
                </c:pt>
                <c:pt idx="11">
                  <c:v>354.2192</c:v>
                </c:pt>
                <c:pt idx="12">
                  <c:v>316.46140000000003</c:v>
                </c:pt>
                <c:pt idx="13">
                  <c:v>290.27719999999999</c:v>
                </c:pt>
                <c:pt idx="14">
                  <c:v>264.0616</c:v>
                </c:pt>
                <c:pt idx="15">
                  <c:v>243.01079999999999</c:v>
                </c:pt>
                <c:pt idx="16">
                  <c:v>225.9307</c:v>
                </c:pt>
                <c:pt idx="17">
                  <c:v>211.4408</c:v>
                </c:pt>
                <c:pt idx="18">
                  <c:v>199.69759999999999</c:v>
                </c:pt>
                <c:pt idx="19">
                  <c:v>189.83590000000001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AA_phi_A!$A$32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AA_phi_A!$B$32:$U$32</c:f>
              <c:numCache>
                <c:formatCode>General</c:formatCode>
                <c:ptCount val="20"/>
                <c:pt idx="0">
                  <c:v>5971.4880000000003</c:v>
                </c:pt>
                <c:pt idx="1">
                  <c:v>3522.3670000000002</c:v>
                </c:pt>
                <c:pt idx="2">
                  <c:v>1879.9259999999999</c:v>
                </c:pt>
                <c:pt idx="3">
                  <c:v>1197.1849999999999</c:v>
                </c:pt>
                <c:pt idx="4">
                  <c:v>852.24680000000001</c:v>
                </c:pt>
                <c:pt idx="5">
                  <c:v>651.33540000000005</c:v>
                </c:pt>
                <c:pt idx="6">
                  <c:v>525.38279999999997</c:v>
                </c:pt>
                <c:pt idx="7">
                  <c:v>425.28859999999997</c:v>
                </c:pt>
                <c:pt idx="8">
                  <c:v>353.92660000000001</c:v>
                </c:pt>
                <c:pt idx="9">
                  <c:v>302.5188</c:v>
                </c:pt>
                <c:pt idx="10">
                  <c:v>265.6653</c:v>
                </c:pt>
                <c:pt idx="11">
                  <c:v>237.3689</c:v>
                </c:pt>
                <c:pt idx="12">
                  <c:v>216.00450000000001</c:v>
                </c:pt>
                <c:pt idx="13">
                  <c:v>199.15389999999999</c:v>
                </c:pt>
                <c:pt idx="14">
                  <c:v>179.24539999999999</c:v>
                </c:pt>
                <c:pt idx="15">
                  <c:v>166.2525</c:v>
                </c:pt>
                <c:pt idx="16">
                  <c:v>154.35919999999999</c:v>
                </c:pt>
                <c:pt idx="17">
                  <c:v>141.99119999999999</c:v>
                </c:pt>
                <c:pt idx="18">
                  <c:v>132.6422</c:v>
                </c:pt>
                <c:pt idx="19">
                  <c:v>123.74590000000001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AA_phi_A!$A$33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AA_phi_A!$B$33:$U$33</c:f>
              <c:numCache>
                <c:formatCode>General</c:formatCode>
                <c:ptCount val="20"/>
                <c:pt idx="0">
                  <c:v>5946.8180000000002</c:v>
                </c:pt>
                <c:pt idx="1">
                  <c:v>3398.8049999999998</c:v>
                </c:pt>
                <c:pt idx="2">
                  <c:v>1791.877</c:v>
                </c:pt>
                <c:pt idx="3">
                  <c:v>1149.511</c:v>
                </c:pt>
                <c:pt idx="4">
                  <c:v>834.77260000000001</c:v>
                </c:pt>
                <c:pt idx="5">
                  <c:v>638.73900000000003</c:v>
                </c:pt>
                <c:pt idx="6">
                  <c:v>506.0095</c:v>
                </c:pt>
                <c:pt idx="7">
                  <c:v>414.96210000000002</c:v>
                </c:pt>
                <c:pt idx="8">
                  <c:v>352.42619999999999</c:v>
                </c:pt>
                <c:pt idx="9">
                  <c:v>304.73520000000002</c:v>
                </c:pt>
                <c:pt idx="10">
                  <c:v>266.49270000000001</c:v>
                </c:pt>
                <c:pt idx="11">
                  <c:v>233.18</c:v>
                </c:pt>
                <c:pt idx="12">
                  <c:v>212.49039999999999</c:v>
                </c:pt>
                <c:pt idx="13">
                  <c:v>190.6217</c:v>
                </c:pt>
                <c:pt idx="14">
                  <c:v>172.0215</c:v>
                </c:pt>
                <c:pt idx="15">
                  <c:v>159.9606</c:v>
                </c:pt>
                <c:pt idx="16">
                  <c:v>148.2542</c:v>
                </c:pt>
                <c:pt idx="17">
                  <c:v>137.36420000000001</c:v>
                </c:pt>
                <c:pt idx="18">
                  <c:v>128.66130000000001</c:v>
                </c:pt>
                <c:pt idx="19">
                  <c:v>121.1861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AA_phi_A!$A$34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AA_phi_A!$B$34:$U$34</c:f>
              <c:numCache>
                <c:formatCode>General</c:formatCode>
                <c:ptCount val="20"/>
                <c:pt idx="0">
                  <c:v>5899.768</c:v>
                </c:pt>
                <c:pt idx="1">
                  <c:v>3370.453</c:v>
                </c:pt>
                <c:pt idx="2">
                  <c:v>1791.875</c:v>
                </c:pt>
                <c:pt idx="3">
                  <c:v>1161.3489999999999</c:v>
                </c:pt>
                <c:pt idx="4">
                  <c:v>832.20529999999997</c:v>
                </c:pt>
                <c:pt idx="5">
                  <c:v>634.01750000000004</c:v>
                </c:pt>
                <c:pt idx="6">
                  <c:v>508.1035</c:v>
                </c:pt>
                <c:pt idx="7">
                  <c:v>417.69760000000002</c:v>
                </c:pt>
                <c:pt idx="8">
                  <c:v>351.78030000000001</c:v>
                </c:pt>
                <c:pt idx="9">
                  <c:v>302.50630000000001</c:v>
                </c:pt>
                <c:pt idx="10">
                  <c:v>263.7097</c:v>
                </c:pt>
                <c:pt idx="11">
                  <c:v>233.37610000000001</c:v>
                </c:pt>
                <c:pt idx="12">
                  <c:v>212.14330000000001</c:v>
                </c:pt>
                <c:pt idx="13">
                  <c:v>191.66079999999999</c:v>
                </c:pt>
                <c:pt idx="14">
                  <c:v>177.43549999999999</c:v>
                </c:pt>
                <c:pt idx="15">
                  <c:v>163.29150000000001</c:v>
                </c:pt>
                <c:pt idx="16">
                  <c:v>149.6902</c:v>
                </c:pt>
                <c:pt idx="17">
                  <c:v>139.29329999999999</c:v>
                </c:pt>
                <c:pt idx="18">
                  <c:v>130.5693</c:v>
                </c:pt>
                <c:pt idx="19">
                  <c:v>123.5671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AA_phi_A!$A$35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AA_phi_A!$B$35:$U$35</c:f>
              <c:numCache>
                <c:formatCode>General</c:formatCode>
                <c:ptCount val="20"/>
                <c:pt idx="0">
                  <c:v>15207.11</c:v>
                </c:pt>
                <c:pt idx="1">
                  <c:v>10194.549999999999</c:v>
                </c:pt>
                <c:pt idx="2">
                  <c:v>6232.8329999999996</c:v>
                </c:pt>
                <c:pt idx="3">
                  <c:v>4283.57</c:v>
                </c:pt>
                <c:pt idx="4">
                  <c:v>3175.837</c:v>
                </c:pt>
                <c:pt idx="5">
                  <c:v>2457.973</c:v>
                </c:pt>
                <c:pt idx="6">
                  <c:v>1978.8030000000001</c:v>
                </c:pt>
                <c:pt idx="7">
                  <c:v>1631.904</c:v>
                </c:pt>
                <c:pt idx="8">
                  <c:v>1358.057</c:v>
                </c:pt>
                <c:pt idx="9">
                  <c:v>1162.058</c:v>
                </c:pt>
                <c:pt idx="10">
                  <c:v>1018.857</c:v>
                </c:pt>
                <c:pt idx="11">
                  <c:v>906.91740000000004</c:v>
                </c:pt>
                <c:pt idx="12">
                  <c:v>807.48419999999999</c:v>
                </c:pt>
                <c:pt idx="13">
                  <c:v>723.11609999999996</c:v>
                </c:pt>
                <c:pt idx="14">
                  <c:v>662.00540000000001</c:v>
                </c:pt>
                <c:pt idx="15">
                  <c:v>610.45979999999997</c:v>
                </c:pt>
                <c:pt idx="16">
                  <c:v>553.99760000000003</c:v>
                </c:pt>
                <c:pt idx="17">
                  <c:v>512.66780000000006</c:v>
                </c:pt>
                <c:pt idx="18">
                  <c:v>477.2192</c:v>
                </c:pt>
                <c:pt idx="19">
                  <c:v>457.88720000000001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AA_phi_A!$A$36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AA_phi_A!$B$36:$U$36</c:f>
              <c:numCache>
                <c:formatCode>General</c:formatCode>
                <c:ptCount val="20"/>
                <c:pt idx="0">
                  <c:v>15801.42</c:v>
                </c:pt>
                <c:pt idx="1">
                  <c:v>10563.7</c:v>
                </c:pt>
                <c:pt idx="2">
                  <c:v>6492.97</c:v>
                </c:pt>
                <c:pt idx="3">
                  <c:v>4461.3389999999999</c:v>
                </c:pt>
                <c:pt idx="4">
                  <c:v>3324.9479999999999</c:v>
                </c:pt>
                <c:pt idx="5">
                  <c:v>2586.3780000000002</c:v>
                </c:pt>
                <c:pt idx="6">
                  <c:v>2080.7510000000002</c:v>
                </c:pt>
                <c:pt idx="7">
                  <c:v>1717.6120000000001</c:v>
                </c:pt>
                <c:pt idx="8">
                  <c:v>1455.0329999999999</c:v>
                </c:pt>
                <c:pt idx="9">
                  <c:v>1256.5989999999999</c:v>
                </c:pt>
                <c:pt idx="10">
                  <c:v>1107.579</c:v>
                </c:pt>
                <c:pt idx="11">
                  <c:v>984.94100000000003</c:v>
                </c:pt>
                <c:pt idx="12">
                  <c:v>884.75760000000002</c:v>
                </c:pt>
                <c:pt idx="13">
                  <c:v>798.21730000000002</c:v>
                </c:pt>
                <c:pt idx="14">
                  <c:v>728.80160000000001</c:v>
                </c:pt>
                <c:pt idx="15">
                  <c:v>673.38599999999997</c:v>
                </c:pt>
                <c:pt idx="16">
                  <c:v>610.75819999999999</c:v>
                </c:pt>
                <c:pt idx="17">
                  <c:v>568.01679999999999</c:v>
                </c:pt>
                <c:pt idx="18">
                  <c:v>536.34249999999997</c:v>
                </c:pt>
                <c:pt idx="19">
                  <c:v>500.59140000000002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AA_phi_A!$A$37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AA_phi_A!$B$37:$U$37</c:f>
              <c:numCache>
                <c:formatCode>General</c:formatCode>
                <c:ptCount val="20"/>
                <c:pt idx="0">
                  <c:v>16823.900000000001</c:v>
                </c:pt>
                <c:pt idx="1">
                  <c:v>11443.07</c:v>
                </c:pt>
                <c:pt idx="2">
                  <c:v>7074.5330000000004</c:v>
                </c:pt>
                <c:pt idx="3">
                  <c:v>4829.3519999999999</c:v>
                </c:pt>
                <c:pt idx="4">
                  <c:v>3581.2220000000002</c:v>
                </c:pt>
                <c:pt idx="5">
                  <c:v>2784.739</c:v>
                </c:pt>
                <c:pt idx="6">
                  <c:v>2248.9279999999999</c:v>
                </c:pt>
                <c:pt idx="7">
                  <c:v>1877.3969999999999</c:v>
                </c:pt>
                <c:pt idx="8">
                  <c:v>1594.136</c:v>
                </c:pt>
                <c:pt idx="9">
                  <c:v>1379.4490000000001</c:v>
                </c:pt>
                <c:pt idx="10">
                  <c:v>1218.864</c:v>
                </c:pt>
                <c:pt idx="11">
                  <c:v>1081.019</c:v>
                </c:pt>
                <c:pt idx="12">
                  <c:v>962.86810000000003</c:v>
                </c:pt>
                <c:pt idx="13">
                  <c:v>873.39570000000003</c:v>
                </c:pt>
                <c:pt idx="14">
                  <c:v>800.79240000000004</c:v>
                </c:pt>
                <c:pt idx="15">
                  <c:v>737.08669999999995</c:v>
                </c:pt>
                <c:pt idx="16">
                  <c:v>674.24570000000006</c:v>
                </c:pt>
                <c:pt idx="17">
                  <c:v>620.93020000000001</c:v>
                </c:pt>
                <c:pt idx="18">
                  <c:v>602.09010000000001</c:v>
                </c:pt>
                <c:pt idx="19">
                  <c:v>566.45899999999995</c:v>
                </c:pt>
              </c:numCache>
            </c:numRef>
          </c:yVal>
          <c:smooth val="1"/>
        </c:ser>
        <c:axId val="90314240"/>
        <c:axId val="90316160"/>
      </c:scatterChart>
      <c:valAx>
        <c:axId val="9031424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16160"/>
        <c:crosses val="autoZero"/>
        <c:crossBetween val="midCat"/>
      </c:valAx>
      <c:valAx>
        <c:axId val="90316160"/>
        <c:scaling>
          <c:orientation val="minMax"/>
        </c:scaling>
        <c:axPos val="l"/>
        <c:numFmt formatCode="General" sourceLinked="1"/>
        <c:tickLblPos val="nextTo"/>
        <c:crossAx val="90314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414437222317069"/>
          <c:y val="2.1843699835667196E-2"/>
          <c:w val="0.30864642712891982"/>
          <c:h val="0.87427461978211629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AA_phi_ind!$B$3:$U$3</c:f>
              <c:numCache>
                <c:formatCode>General</c:formatCode>
                <c:ptCount val="20"/>
                <c:pt idx="0">
                  <c:v>2.7229130000000001E-2</c:v>
                </c:pt>
                <c:pt idx="1">
                  <c:v>2.7592627000000002E-2</c:v>
                </c:pt>
                <c:pt idx="2">
                  <c:v>2.7095563999999999E-2</c:v>
                </c:pt>
                <c:pt idx="3">
                  <c:v>2.6770754000000001E-2</c:v>
                </c:pt>
                <c:pt idx="4">
                  <c:v>2.6892444000000001E-2</c:v>
                </c:pt>
                <c:pt idx="5">
                  <c:v>2.6637008E-2</c:v>
                </c:pt>
                <c:pt idx="6">
                  <c:v>2.6957115E-2</c:v>
                </c:pt>
                <c:pt idx="7">
                  <c:v>2.7215151E-2</c:v>
                </c:pt>
                <c:pt idx="8">
                  <c:v>2.7218800000000001E-2</c:v>
                </c:pt>
                <c:pt idx="9">
                  <c:v>2.6834868000000001E-2</c:v>
                </c:pt>
                <c:pt idx="10">
                  <c:v>2.9197989000000001E-2</c:v>
                </c:pt>
                <c:pt idx="11">
                  <c:v>2.9207911E-2</c:v>
                </c:pt>
                <c:pt idx="12">
                  <c:v>2.9188028000000001E-2</c:v>
                </c:pt>
                <c:pt idx="13">
                  <c:v>2.8593416999999999E-2</c:v>
                </c:pt>
                <c:pt idx="14">
                  <c:v>2.8608266E-2</c:v>
                </c:pt>
                <c:pt idx="15">
                  <c:v>2.8550688000000001E-2</c:v>
                </c:pt>
                <c:pt idx="16">
                  <c:v>2.7839037000000001E-2</c:v>
                </c:pt>
                <c:pt idx="17">
                  <c:v>2.8572759E-2</c:v>
                </c:pt>
                <c:pt idx="18">
                  <c:v>2.811607E-2</c:v>
                </c:pt>
                <c:pt idx="19">
                  <c:v>2.7934865999999999E-2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AA_phi_ind!$B$21:$U$21</c:f>
              <c:numCache>
                <c:formatCode>General</c:formatCode>
                <c:ptCount val="20"/>
                <c:pt idx="0">
                  <c:v>2.2547718000000001E-2</c:v>
                </c:pt>
                <c:pt idx="1">
                  <c:v>2.2807473000000002E-2</c:v>
                </c:pt>
                <c:pt idx="2">
                  <c:v>2.2338189000000001E-2</c:v>
                </c:pt>
                <c:pt idx="3">
                  <c:v>2.175767E-2</c:v>
                </c:pt>
                <c:pt idx="4">
                  <c:v>2.180006E-2</c:v>
                </c:pt>
                <c:pt idx="5">
                  <c:v>2.1522427E-2</c:v>
                </c:pt>
                <c:pt idx="6">
                  <c:v>2.1870364E-2</c:v>
                </c:pt>
                <c:pt idx="7">
                  <c:v>2.1803093999999999E-2</c:v>
                </c:pt>
                <c:pt idx="8">
                  <c:v>2.2112054999999999E-2</c:v>
                </c:pt>
                <c:pt idx="9">
                  <c:v>2.1599894000000001E-2</c:v>
                </c:pt>
                <c:pt idx="10">
                  <c:v>2.3266810999999998E-2</c:v>
                </c:pt>
                <c:pt idx="11">
                  <c:v>2.3491637999999999E-2</c:v>
                </c:pt>
                <c:pt idx="12">
                  <c:v>2.3357503000000002E-2</c:v>
                </c:pt>
                <c:pt idx="13">
                  <c:v>2.3184517000000002E-2</c:v>
                </c:pt>
                <c:pt idx="14">
                  <c:v>2.3309881000000001E-2</c:v>
                </c:pt>
                <c:pt idx="15">
                  <c:v>2.3303276000000001E-2</c:v>
                </c:pt>
                <c:pt idx="16">
                  <c:v>2.2652683999999999E-2</c:v>
                </c:pt>
                <c:pt idx="17">
                  <c:v>2.2874243999999998E-2</c:v>
                </c:pt>
                <c:pt idx="18">
                  <c:v>2.2798331000000002E-2</c:v>
                </c:pt>
                <c:pt idx="19">
                  <c:v>2.2558506999999998E-2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AA_phi_ind!$B$37:$U$37</c:f>
              <c:numCache>
                <c:formatCode>General</c:formatCode>
                <c:ptCount val="20"/>
                <c:pt idx="0">
                  <c:v>1.9054392E-2</c:v>
                </c:pt>
                <c:pt idx="1">
                  <c:v>1.9368017000000001E-2</c:v>
                </c:pt>
                <c:pt idx="2">
                  <c:v>1.9018054E-2</c:v>
                </c:pt>
                <c:pt idx="3">
                  <c:v>1.8654242000000001E-2</c:v>
                </c:pt>
                <c:pt idx="4">
                  <c:v>1.8707313E-2</c:v>
                </c:pt>
                <c:pt idx="5">
                  <c:v>1.8642617E-2</c:v>
                </c:pt>
                <c:pt idx="6">
                  <c:v>1.8737679E-2</c:v>
                </c:pt>
                <c:pt idx="7">
                  <c:v>1.8646412000000001E-2</c:v>
                </c:pt>
                <c:pt idx="8">
                  <c:v>1.8795226000000002E-2</c:v>
                </c:pt>
                <c:pt idx="9">
                  <c:v>1.8465353E-2</c:v>
                </c:pt>
                <c:pt idx="10">
                  <c:v>2.0019891000000001E-2</c:v>
                </c:pt>
                <c:pt idx="11">
                  <c:v>2.0064505E-2</c:v>
                </c:pt>
                <c:pt idx="12">
                  <c:v>2.0074140000000001E-2</c:v>
                </c:pt>
                <c:pt idx="13">
                  <c:v>1.9779155E-2</c:v>
                </c:pt>
                <c:pt idx="14">
                  <c:v>1.9631315E-2</c:v>
                </c:pt>
                <c:pt idx="15">
                  <c:v>1.9485695000000001E-2</c:v>
                </c:pt>
                <c:pt idx="16">
                  <c:v>1.9199647E-2</c:v>
                </c:pt>
                <c:pt idx="17">
                  <c:v>1.9549618000000001E-2</c:v>
                </c:pt>
                <c:pt idx="18">
                  <c:v>1.9395405000000001E-2</c:v>
                </c:pt>
                <c:pt idx="19">
                  <c:v>1.9362239E-2</c:v>
                </c:pt>
              </c:numCache>
            </c:numRef>
          </c:yVal>
          <c:smooth val="1"/>
        </c:ser>
        <c:axId val="90358144"/>
        <c:axId val="90360064"/>
      </c:scatterChart>
      <c:valAx>
        <c:axId val="9035814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60064"/>
        <c:crosses val="autoZero"/>
        <c:crossBetween val="midCat"/>
      </c:valAx>
      <c:valAx>
        <c:axId val="90360064"/>
        <c:scaling>
          <c:orientation val="minMax"/>
        </c:scaling>
        <c:axPos val="l"/>
        <c:numFmt formatCode="General" sourceLinked="1"/>
        <c:tickLblPos val="nextTo"/>
        <c:crossAx val="90358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AA_phi_ind!$A$3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AA_phi_ind!$B$3:$U$3</c:f>
              <c:numCache>
                <c:formatCode>General</c:formatCode>
                <c:ptCount val="20"/>
                <c:pt idx="0">
                  <c:v>2.7229130000000001E-2</c:v>
                </c:pt>
                <c:pt idx="1">
                  <c:v>2.7592627000000002E-2</c:v>
                </c:pt>
                <c:pt idx="2">
                  <c:v>2.7095563999999999E-2</c:v>
                </c:pt>
                <c:pt idx="3">
                  <c:v>2.6770754000000001E-2</c:v>
                </c:pt>
                <c:pt idx="4">
                  <c:v>2.6892444000000001E-2</c:v>
                </c:pt>
                <c:pt idx="5">
                  <c:v>2.6637008E-2</c:v>
                </c:pt>
                <c:pt idx="6">
                  <c:v>2.6957115E-2</c:v>
                </c:pt>
                <c:pt idx="7">
                  <c:v>2.7215151E-2</c:v>
                </c:pt>
                <c:pt idx="8">
                  <c:v>2.7218800000000001E-2</c:v>
                </c:pt>
                <c:pt idx="9">
                  <c:v>2.6834868000000001E-2</c:v>
                </c:pt>
                <c:pt idx="10">
                  <c:v>2.9197989000000001E-2</c:v>
                </c:pt>
                <c:pt idx="11">
                  <c:v>2.9207911E-2</c:v>
                </c:pt>
                <c:pt idx="12">
                  <c:v>2.9188028000000001E-2</c:v>
                </c:pt>
                <c:pt idx="13">
                  <c:v>2.8593416999999999E-2</c:v>
                </c:pt>
                <c:pt idx="14">
                  <c:v>2.8608266E-2</c:v>
                </c:pt>
                <c:pt idx="15">
                  <c:v>2.8550688000000001E-2</c:v>
                </c:pt>
                <c:pt idx="16">
                  <c:v>2.7839037000000001E-2</c:v>
                </c:pt>
                <c:pt idx="17">
                  <c:v>2.8572759E-2</c:v>
                </c:pt>
                <c:pt idx="18">
                  <c:v>2.811607E-2</c:v>
                </c:pt>
                <c:pt idx="19">
                  <c:v>2.7934865999999999E-2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AA_phi_ind!$A$4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AA_phi_ind!$B$4:$U$4</c:f>
              <c:numCache>
                <c:formatCode>General</c:formatCode>
                <c:ptCount val="20"/>
                <c:pt idx="0">
                  <c:v>2.4446356999999998E-2</c:v>
                </c:pt>
                <c:pt idx="1">
                  <c:v>2.5087679000000002E-2</c:v>
                </c:pt>
                <c:pt idx="2">
                  <c:v>2.5086977999999999E-2</c:v>
                </c:pt>
                <c:pt idx="3">
                  <c:v>2.5035799000000001E-2</c:v>
                </c:pt>
                <c:pt idx="4">
                  <c:v>2.5194813E-2</c:v>
                </c:pt>
                <c:pt idx="5">
                  <c:v>2.4804567999999999E-2</c:v>
                </c:pt>
                <c:pt idx="6">
                  <c:v>2.5307626E-2</c:v>
                </c:pt>
                <c:pt idx="7">
                  <c:v>2.5920762E-2</c:v>
                </c:pt>
                <c:pt idx="8">
                  <c:v>2.6464615E-2</c:v>
                </c:pt>
                <c:pt idx="9">
                  <c:v>2.6103068E-2</c:v>
                </c:pt>
                <c:pt idx="10">
                  <c:v>2.8146146E-2</c:v>
                </c:pt>
                <c:pt idx="11">
                  <c:v>2.8455057999999998E-2</c:v>
                </c:pt>
                <c:pt idx="12">
                  <c:v>2.8287244999999999E-2</c:v>
                </c:pt>
                <c:pt idx="13">
                  <c:v>2.7926258999999998E-2</c:v>
                </c:pt>
                <c:pt idx="14">
                  <c:v>2.8087502E-2</c:v>
                </c:pt>
                <c:pt idx="15">
                  <c:v>2.8454780999999998E-2</c:v>
                </c:pt>
                <c:pt idx="16">
                  <c:v>2.8260574E-2</c:v>
                </c:pt>
                <c:pt idx="17">
                  <c:v>2.8352967999999999E-2</c:v>
                </c:pt>
                <c:pt idx="18">
                  <c:v>2.7825689000000001E-2</c:v>
                </c:pt>
                <c:pt idx="19">
                  <c:v>2.7899837E-2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AA_phi_ind!$A$5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AA_phi_ind!$B$5:$U$5</c:f>
              <c:numCache>
                <c:formatCode>General</c:formatCode>
                <c:ptCount val="20"/>
                <c:pt idx="0">
                  <c:v>2.4715516999999999E-2</c:v>
                </c:pt>
                <c:pt idx="1">
                  <c:v>2.5421539E-2</c:v>
                </c:pt>
                <c:pt idx="2">
                  <c:v>2.533287E-2</c:v>
                </c:pt>
                <c:pt idx="3">
                  <c:v>2.5197351E-2</c:v>
                </c:pt>
                <c:pt idx="4">
                  <c:v>2.5453974000000001E-2</c:v>
                </c:pt>
                <c:pt idx="5">
                  <c:v>2.5556661000000001E-2</c:v>
                </c:pt>
                <c:pt idx="6">
                  <c:v>2.5830280000000001E-2</c:v>
                </c:pt>
                <c:pt idx="7">
                  <c:v>2.6118286000000001E-2</c:v>
                </c:pt>
                <c:pt idx="8">
                  <c:v>2.6432659000000001E-2</c:v>
                </c:pt>
                <c:pt idx="9">
                  <c:v>2.6171817999999999E-2</c:v>
                </c:pt>
                <c:pt idx="10">
                  <c:v>2.8317489000000001E-2</c:v>
                </c:pt>
                <c:pt idx="11">
                  <c:v>2.8512270999999999E-2</c:v>
                </c:pt>
                <c:pt idx="12">
                  <c:v>2.8748975999999999E-2</c:v>
                </c:pt>
                <c:pt idx="13">
                  <c:v>2.8679485000000001E-2</c:v>
                </c:pt>
                <c:pt idx="14">
                  <c:v>2.9103569999999999E-2</c:v>
                </c:pt>
                <c:pt idx="15">
                  <c:v>2.9327751999999999E-2</c:v>
                </c:pt>
                <c:pt idx="16">
                  <c:v>2.8343259999999999E-2</c:v>
                </c:pt>
                <c:pt idx="17">
                  <c:v>2.8737878000000001E-2</c:v>
                </c:pt>
                <c:pt idx="18">
                  <c:v>2.8498969999999998E-2</c:v>
                </c:pt>
                <c:pt idx="19">
                  <c:v>2.8489159E-2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AA_phi_ind!$A$6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AA_phi_ind!$B$6:$U$6</c:f>
              <c:numCache>
                <c:formatCode>General</c:formatCode>
                <c:ptCount val="20"/>
                <c:pt idx="0">
                  <c:v>1.9203145000000001E-2</c:v>
                </c:pt>
                <c:pt idx="1">
                  <c:v>1.9456971E-2</c:v>
                </c:pt>
                <c:pt idx="2">
                  <c:v>1.8663216E-2</c:v>
                </c:pt>
                <c:pt idx="3">
                  <c:v>1.8456398999999998E-2</c:v>
                </c:pt>
                <c:pt idx="4">
                  <c:v>1.8265255000000001E-2</c:v>
                </c:pt>
                <c:pt idx="5">
                  <c:v>1.7868893E-2</c:v>
                </c:pt>
                <c:pt idx="6">
                  <c:v>1.7604046000000002E-2</c:v>
                </c:pt>
                <c:pt idx="7">
                  <c:v>1.7313697999999999E-2</c:v>
                </c:pt>
                <c:pt idx="8">
                  <c:v>1.7885655E-2</c:v>
                </c:pt>
                <c:pt idx="9">
                  <c:v>1.767813E-2</c:v>
                </c:pt>
                <c:pt idx="10">
                  <c:v>1.9079466999999999E-2</c:v>
                </c:pt>
                <c:pt idx="11">
                  <c:v>1.9039622999999999E-2</c:v>
                </c:pt>
                <c:pt idx="12">
                  <c:v>1.8917805999999999E-2</c:v>
                </c:pt>
                <c:pt idx="13">
                  <c:v>1.8503795999999999E-2</c:v>
                </c:pt>
                <c:pt idx="14">
                  <c:v>1.8321820999999999E-2</c:v>
                </c:pt>
                <c:pt idx="15">
                  <c:v>1.8141747999999999E-2</c:v>
                </c:pt>
                <c:pt idx="16">
                  <c:v>1.8110767E-2</c:v>
                </c:pt>
                <c:pt idx="17">
                  <c:v>1.8211422000000001E-2</c:v>
                </c:pt>
                <c:pt idx="18">
                  <c:v>1.8233052E-2</c:v>
                </c:pt>
                <c:pt idx="19">
                  <c:v>1.8290661E-2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AA_phi_ind!$A$7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AA_phi_ind!$B$7:$U$7</c:f>
              <c:numCache>
                <c:formatCode>General</c:formatCode>
                <c:ptCount val="20"/>
                <c:pt idx="0">
                  <c:v>1.9809054E-2</c:v>
                </c:pt>
                <c:pt idx="1">
                  <c:v>2.0278389000000001E-2</c:v>
                </c:pt>
                <c:pt idx="2">
                  <c:v>1.9625710000000001E-2</c:v>
                </c:pt>
                <c:pt idx="3">
                  <c:v>1.9187856E-2</c:v>
                </c:pt>
                <c:pt idx="4">
                  <c:v>1.8997639E-2</c:v>
                </c:pt>
                <c:pt idx="5">
                  <c:v>1.8507255E-2</c:v>
                </c:pt>
                <c:pt idx="6">
                  <c:v>1.8285893000000001E-2</c:v>
                </c:pt>
                <c:pt idx="7">
                  <c:v>1.8310350999999999E-2</c:v>
                </c:pt>
                <c:pt idx="8">
                  <c:v>1.8924481999999999E-2</c:v>
                </c:pt>
                <c:pt idx="9">
                  <c:v>1.8752326999999999E-2</c:v>
                </c:pt>
                <c:pt idx="10">
                  <c:v>2.0461999000000002E-2</c:v>
                </c:pt>
                <c:pt idx="11">
                  <c:v>2.0784304E-2</c:v>
                </c:pt>
                <c:pt idx="12">
                  <c:v>2.0785114E-2</c:v>
                </c:pt>
                <c:pt idx="13">
                  <c:v>2.0423118000000001E-2</c:v>
                </c:pt>
                <c:pt idx="14">
                  <c:v>2.0220492E-2</c:v>
                </c:pt>
                <c:pt idx="15">
                  <c:v>2.0145087999999998E-2</c:v>
                </c:pt>
                <c:pt idx="16">
                  <c:v>2.0233205000000001E-2</c:v>
                </c:pt>
                <c:pt idx="17">
                  <c:v>2.0373881E-2</c:v>
                </c:pt>
                <c:pt idx="18">
                  <c:v>2.0372662999999999E-2</c:v>
                </c:pt>
                <c:pt idx="19">
                  <c:v>2.0408415999999999E-2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AA_phi_ind!$A$8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AA_phi_ind!$B$8:$U$8</c:f>
              <c:numCache>
                <c:formatCode>General</c:formatCode>
                <c:ptCount val="20"/>
                <c:pt idx="0">
                  <c:v>1.9272062999999999E-2</c:v>
                </c:pt>
                <c:pt idx="1">
                  <c:v>1.9799719E-2</c:v>
                </c:pt>
                <c:pt idx="2">
                  <c:v>1.8932345999999999E-2</c:v>
                </c:pt>
                <c:pt idx="3">
                  <c:v>1.8090274E-2</c:v>
                </c:pt>
                <c:pt idx="4">
                  <c:v>1.8075021E-2</c:v>
                </c:pt>
                <c:pt idx="5">
                  <c:v>1.7724444999999998E-2</c:v>
                </c:pt>
                <c:pt idx="6">
                  <c:v>1.7455499999999999E-2</c:v>
                </c:pt>
                <c:pt idx="7">
                  <c:v>1.6983811000000001E-2</c:v>
                </c:pt>
                <c:pt idx="8">
                  <c:v>1.7375168999999999E-2</c:v>
                </c:pt>
                <c:pt idx="9">
                  <c:v>1.7559295999999999E-2</c:v>
                </c:pt>
                <c:pt idx="10">
                  <c:v>1.9174943E-2</c:v>
                </c:pt>
                <c:pt idx="11">
                  <c:v>1.9122679E-2</c:v>
                </c:pt>
                <c:pt idx="12">
                  <c:v>1.8889435999999999E-2</c:v>
                </c:pt>
                <c:pt idx="13">
                  <c:v>1.8570237E-2</c:v>
                </c:pt>
                <c:pt idx="14">
                  <c:v>1.8146293000000001E-2</c:v>
                </c:pt>
                <c:pt idx="15">
                  <c:v>1.7940714999999999E-2</c:v>
                </c:pt>
                <c:pt idx="16">
                  <c:v>1.7930979E-2</c:v>
                </c:pt>
                <c:pt idx="17">
                  <c:v>1.7838487E-2</c:v>
                </c:pt>
                <c:pt idx="18">
                  <c:v>1.8062258000000001E-2</c:v>
                </c:pt>
                <c:pt idx="19">
                  <c:v>1.8130509E-2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AA_phi_ind!$A$9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AA_phi_ind!$B$9:$U$9</c:f>
              <c:numCache>
                <c:formatCode>General</c:formatCode>
                <c:ptCount val="20"/>
                <c:pt idx="0">
                  <c:v>1.9327813999999999E-2</c:v>
                </c:pt>
                <c:pt idx="1">
                  <c:v>1.9942768E-2</c:v>
                </c:pt>
                <c:pt idx="2">
                  <c:v>1.9335695999999999E-2</c:v>
                </c:pt>
                <c:pt idx="3">
                  <c:v>1.8652318000000001E-2</c:v>
                </c:pt>
                <c:pt idx="4">
                  <c:v>1.8494723000000001E-2</c:v>
                </c:pt>
                <c:pt idx="5">
                  <c:v>1.8100577999999999E-2</c:v>
                </c:pt>
                <c:pt idx="6">
                  <c:v>1.7836596999999999E-2</c:v>
                </c:pt>
                <c:pt idx="7">
                  <c:v>1.7526501999999999E-2</c:v>
                </c:pt>
                <c:pt idx="8">
                  <c:v>1.7952789E-2</c:v>
                </c:pt>
                <c:pt idx="9">
                  <c:v>1.7562069E-2</c:v>
                </c:pt>
                <c:pt idx="10">
                  <c:v>1.9010242E-2</c:v>
                </c:pt>
                <c:pt idx="11">
                  <c:v>1.9436397000000001E-2</c:v>
                </c:pt>
                <c:pt idx="12">
                  <c:v>1.9227335000000002E-2</c:v>
                </c:pt>
                <c:pt idx="13">
                  <c:v>1.8677427999999999E-2</c:v>
                </c:pt>
                <c:pt idx="14">
                  <c:v>1.8558549000000001E-2</c:v>
                </c:pt>
                <c:pt idx="15">
                  <c:v>1.8253756999999999E-2</c:v>
                </c:pt>
                <c:pt idx="16">
                  <c:v>1.8063089000000001E-2</c:v>
                </c:pt>
                <c:pt idx="17">
                  <c:v>1.8077645E-2</c:v>
                </c:pt>
                <c:pt idx="18">
                  <c:v>1.7970310999999999E-2</c:v>
                </c:pt>
                <c:pt idx="19">
                  <c:v>1.7954360999999999E-2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AA_phi_ind!$A$10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AA_phi_ind!$B$10:$U$10</c:f>
              <c:numCache>
                <c:formatCode>General</c:formatCode>
                <c:ptCount val="20"/>
                <c:pt idx="0">
                  <c:v>2.1880586E-2</c:v>
                </c:pt>
                <c:pt idx="1">
                  <c:v>2.2209304999999999E-2</c:v>
                </c:pt>
                <c:pt idx="2">
                  <c:v>2.1665864E-2</c:v>
                </c:pt>
                <c:pt idx="3">
                  <c:v>2.1349670000000001E-2</c:v>
                </c:pt>
                <c:pt idx="4">
                  <c:v>2.1418408999999999E-2</c:v>
                </c:pt>
                <c:pt idx="5">
                  <c:v>2.1337707000000001E-2</c:v>
                </c:pt>
                <c:pt idx="6">
                  <c:v>2.1689955E-2</c:v>
                </c:pt>
                <c:pt idx="7">
                  <c:v>2.1409187E-2</c:v>
                </c:pt>
                <c:pt idx="8">
                  <c:v>2.1875863999999998E-2</c:v>
                </c:pt>
                <c:pt idx="9">
                  <c:v>2.1867365E-2</c:v>
                </c:pt>
                <c:pt idx="10">
                  <c:v>2.4192189999999999E-2</c:v>
                </c:pt>
                <c:pt idx="11">
                  <c:v>2.4098102E-2</c:v>
                </c:pt>
                <c:pt idx="12">
                  <c:v>2.3984261E-2</c:v>
                </c:pt>
                <c:pt idx="13">
                  <c:v>2.3334484999999999E-2</c:v>
                </c:pt>
                <c:pt idx="14">
                  <c:v>2.3589282999999999E-2</c:v>
                </c:pt>
                <c:pt idx="15">
                  <c:v>2.3415617999999999E-2</c:v>
                </c:pt>
                <c:pt idx="16">
                  <c:v>2.2645596E-2</c:v>
                </c:pt>
                <c:pt idx="17">
                  <c:v>2.2799611000000001E-2</c:v>
                </c:pt>
                <c:pt idx="18">
                  <c:v>2.2741438999999999E-2</c:v>
                </c:pt>
                <c:pt idx="19">
                  <c:v>2.3216232999999999E-2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AA_phi_ind!$A$11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AA_phi_ind!$B$11:$U$11</c:f>
              <c:numCache>
                <c:formatCode>General</c:formatCode>
                <c:ptCount val="20"/>
                <c:pt idx="0">
                  <c:v>2.1955526E-2</c:v>
                </c:pt>
                <c:pt idx="1">
                  <c:v>2.2298371000000001E-2</c:v>
                </c:pt>
                <c:pt idx="2">
                  <c:v>2.1790542E-2</c:v>
                </c:pt>
                <c:pt idx="3">
                  <c:v>2.1441980999999999E-2</c:v>
                </c:pt>
                <c:pt idx="4">
                  <c:v>2.1464027E-2</c:v>
                </c:pt>
                <c:pt idx="5">
                  <c:v>2.1471756000000002E-2</c:v>
                </c:pt>
                <c:pt idx="6">
                  <c:v>2.1709142000000001E-2</c:v>
                </c:pt>
                <c:pt idx="7">
                  <c:v>2.1199802E-2</c:v>
                </c:pt>
                <c:pt idx="8">
                  <c:v>2.1366596000000002E-2</c:v>
                </c:pt>
                <c:pt idx="9">
                  <c:v>2.1004691999999998E-2</c:v>
                </c:pt>
                <c:pt idx="10">
                  <c:v>2.3089862999999999E-2</c:v>
                </c:pt>
                <c:pt idx="11">
                  <c:v>2.3316585000000001E-2</c:v>
                </c:pt>
                <c:pt idx="12">
                  <c:v>2.3426387E-2</c:v>
                </c:pt>
                <c:pt idx="13">
                  <c:v>2.2959576999999998E-2</c:v>
                </c:pt>
                <c:pt idx="14">
                  <c:v>2.3110926E-2</c:v>
                </c:pt>
                <c:pt idx="15">
                  <c:v>2.2844698E-2</c:v>
                </c:pt>
                <c:pt idx="16">
                  <c:v>2.2442548999999999E-2</c:v>
                </c:pt>
                <c:pt idx="17">
                  <c:v>2.2666341E-2</c:v>
                </c:pt>
                <c:pt idx="18">
                  <c:v>2.2985441999999998E-2</c:v>
                </c:pt>
                <c:pt idx="19">
                  <c:v>2.2877228999999999E-2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AA_phi_ind!$A$12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AA_phi_ind!$B$12:$U$12</c:f>
              <c:numCache>
                <c:formatCode>General</c:formatCode>
                <c:ptCount val="20"/>
                <c:pt idx="0">
                  <c:v>1.8394915000000001E-2</c:v>
                </c:pt>
                <c:pt idx="1">
                  <c:v>1.8766438999999999E-2</c:v>
                </c:pt>
                <c:pt idx="2">
                  <c:v>1.8535837999999999E-2</c:v>
                </c:pt>
                <c:pt idx="3">
                  <c:v>1.7938914E-2</c:v>
                </c:pt>
                <c:pt idx="4">
                  <c:v>1.7701898000000001E-2</c:v>
                </c:pt>
                <c:pt idx="5">
                  <c:v>1.8042168000000001E-2</c:v>
                </c:pt>
                <c:pt idx="6">
                  <c:v>1.8009919999999999E-2</c:v>
                </c:pt>
                <c:pt idx="7">
                  <c:v>1.7845903999999999E-2</c:v>
                </c:pt>
                <c:pt idx="8">
                  <c:v>1.8086531999999999E-2</c:v>
                </c:pt>
                <c:pt idx="9">
                  <c:v>1.7850807E-2</c:v>
                </c:pt>
                <c:pt idx="10">
                  <c:v>1.9276593000000002E-2</c:v>
                </c:pt>
                <c:pt idx="11">
                  <c:v>1.9653278999999999E-2</c:v>
                </c:pt>
                <c:pt idx="12">
                  <c:v>1.9248222999999998E-2</c:v>
                </c:pt>
                <c:pt idx="13">
                  <c:v>1.9067707E-2</c:v>
                </c:pt>
                <c:pt idx="14">
                  <c:v>1.9227061E-2</c:v>
                </c:pt>
                <c:pt idx="15">
                  <c:v>1.9175746E-2</c:v>
                </c:pt>
                <c:pt idx="16">
                  <c:v>1.8523023E-2</c:v>
                </c:pt>
                <c:pt idx="17">
                  <c:v>1.9050529E-2</c:v>
                </c:pt>
                <c:pt idx="18">
                  <c:v>1.9051937000000001E-2</c:v>
                </c:pt>
                <c:pt idx="19">
                  <c:v>1.8917034999999999E-2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AA_phi_ind!$A$13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AA_phi_ind!$B$13:$U$13</c:f>
              <c:numCache>
                <c:formatCode>General</c:formatCode>
                <c:ptCount val="20"/>
                <c:pt idx="0">
                  <c:v>1.8365976999999999E-2</c:v>
                </c:pt>
                <c:pt idx="1">
                  <c:v>1.8576141000000001E-2</c:v>
                </c:pt>
                <c:pt idx="2">
                  <c:v>1.8272828000000001E-2</c:v>
                </c:pt>
                <c:pt idx="3">
                  <c:v>1.7848493999999999E-2</c:v>
                </c:pt>
                <c:pt idx="4">
                  <c:v>1.8006141999999999E-2</c:v>
                </c:pt>
                <c:pt idx="5">
                  <c:v>1.7777576999999999E-2</c:v>
                </c:pt>
                <c:pt idx="6">
                  <c:v>1.7876646999999999E-2</c:v>
                </c:pt>
                <c:pt idx="7">
                  <c:v>1.7629005E-2</c:v>
                </c:pt>
                <c:pt idx="8">
                  <c:v>1.7698934E-2</c:v>
                </c:pt>
                <c:pt idx="9">
                  <c:v>1.7596334000000002E-2</c:v>
                </c:pt>
                <c:pt idx="10">
                  <c:v>1.8995892E-2</c:v>
                </c:pt>
                <c:pt idx="11">
                  <c:v>1.9266555000000001E-2</c:v>
                </c:pt>
                <c:pt idx="12">
                  <c:v>1.9047132000000001E-2</c:v>
                </c:pt>
                <c:pt idx="13">
                  <c:v>1.8987601999999999E-2</c:v>
                </c:pt>
                <c:pt idx="14">
                  <c:v>1.8717896000000001E-2</c:v>
                </c:pt>
                <c:pt idx="15">
                  <c:v>1.9061637999999999E-2</c:v>
                </c:pt>
                <c:pt idx="16">
                  <c:v>1.8273205000000001E-2</c:v>
                </c:pt>
                <c:pt idx="17">
                  <c:v>1.8381188E-2</c:v>
                </c:pt>
                <c:pt idx="18">
                  <c:v>1.8662519999999998E-2</c:v>
                </c:pt>
                <c:pt idx="19">
                  <c:v>1.8710159000000001E-2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AA_phi_ind!$A$14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AA_phi_ind!$B$14:$U$14</c:f>
              <c:numCache>
                <c:formatCode>General</c:formatCode>
                <c:ptCount val="20"/>
                <c:pt idx="0">
                  <c:v>1.8408831E-2</c:v>
                </c:pt>
                <c:pt idx="1">
                  <c:v>1.8855408000000001E-2</c:v>
                </c:pt>
                <c:pt idx="2">
                  <c:v>1.8426830000000002E-2</c:v>
                </c:pt>
                <c:pt idx="3">
                  <c:v>1.8278301E-2</c:v>
                </c:pt>
                <c:pt idx="4">
                  <c:v>1.8279763000000001E-2</c:v>
                </c:pt>
                <c:pt idx="5">
                  <c:v>1.8262818E-2</c:v>
                </c:pt>
                <c:pt idx="6">
                  <c:v>1.8415838E-2</c:v>
                </c:pt>
                <c:pt idx="7">
                  <c:v>1.8375991000000001E-2</c:v>
                </c:pt>
                <c:pt idx="8">
                  <c:v>1.8431408E-2</c:v>
                </c:pt>
                <c:pt idx="9">
                  <c:v>1.8095696000000001E-2</c:v>
                </c:pt>
                <c:pt idx="10">
                  <c:v>1.9703114000000001E-2</c:v>
                </c:pt>
                <c:pt idx="11">
                  <c:v>1.9859472E-2</c:v>
                </c:pt>
                <c:pt idx="12">
                  <c:v>1.9839248E-2</c:v>
                </c:pt>
                <c:pt idx="13">
                  <c:v>2.0089941E-2</c:v>
                </c:pt>
                <c:pt idx="14">
                  <c:v>2.0582339000000002E-2</c:v>
                </c:pt>
                <c:pt idx="15">
                  <c:v>2.0575501E-2</c:v>
                </c:pt>
                <c:pt idx="16">
                  <c:v>1.9718800000000002E-2</c:v>
                </c:pt>
                <c:pt idx="17">
                  <c:v>1.9937221000000001E-2</c:v>
                </c:pt>
                <c:pt idx="18">
                  <c:v>1.9846549000000002E-2</c:v>
                </c:pt>
                <c:pt idx="19">
                  <c:v>2.0040988999999999E-2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AA_phi_ind!$A$15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AA_phi_ind!$B$15:$U$15</c:f>
              <c:numCache>
                <c:formatCode>General</c:formatCode>
                <c:ptCount val="20"/>
                <c:pt idx="0">
                  <c:v>1.8039725999999999E-2</c:v>
                </c:pt>
                <c:pt idx="1">
                  <c:v>1.8418763000000001E-2</c:v>
                </c:pt>
                <c:pt idx="2">
                  <c:v>1.8009371999999999E-2</c:v>
                </c:pt>
                <c:pt idx="3">
                  <c:v>1.7386558E-2</c:v>
                </c:pt>
                <c:pt idx="4">
                  <c:v>1.7106524000000001E-2</c:v>
                </c:pt>
                <c:pt idx="5">
                  <c:v>1.6948851000000001E-2</c:v>
                </c:pt>
                <c:pt idx="6">
                  <c:v>1.7012909E-2</c:v>
                </c:pt>
                <c:pt idx="7">
                  <c:v>1.7028056E-2</c:v>
                </c:pt>
                <c:pt idx="8">
                  <c:v>1.7162838999999999E-2</c:v>
                </c:pt>
                <c:pt idx="9">
                  <c:v>1.7039084999999999E-2</c:v>
                </c:pt>
                <c:pt idx="10">
                  <c:v>1.8590866000000001E-2</c:v>
                </c:pt>
                <c:pt idx="11">
                  <c:v>1.9027573999999998E-2</c:v>
                </c:pt>
                <c:pt idx="12">
                  <c:v>1.9017429999999998E-2</c:v>
                </c:pt>
                <c:pt idx="13">
                  <c:v>1.8766901999999999E-2</c:v>
                </c:pt>
                <c:pt idx="14">
                  <c:v>1.9330261000000001E-2</c:v>
                </c:pt>
                <c:pt idx="15">
                  <c:v>1.9344585000000001E-2</c:v>
                </c:pt>
                <c:pt idx="16">
                  <c:v>1.8792699999999999E-2</c:v>
                </c:pt>
                <c:pt idx="17">
                  <c:v>1.8917831E-2</c:v>
                </c:pt>
                <c:pt idx="18">
                  <c:v>1.8724592000000002E-2</c:v>
                </c:pt>
                <c:pt idx="19">
                  <c:v>1.8595924999999999E-2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AA_phi_ind!$A$16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AA_phi_ind!$B$16:$U$16</c:f>
              <c:numCache>
                <c:formatCode>General</c:formatCode>
                <c:ptCount val="20"/>
                <c:pt idx="0">
                  <c:v>2.3136885999999999E-2</c:v>
                </c:pt>
                <c:pt idx="1">
                  <c:v>2.3607222000000001E-2</c:v>
                </c:pt>
                <c:pt idx="2">
                  <c:v>2.3171385999999999E-2</c:v>
                </c:pt>
                <c:pt idx="3">
                  <c:v>2.2760399000000001E-2</c:v>
                </c:pt>
                <c:pt idx="4">
                  <c:v>2.2716917E-2</c:v>
                </c:pt>
                <c:pt idx="5">
                  <c:v>2.2627815999999999E-2</c:v>
                </c:pt>
                <c:pt idx="6">
                  <c:v>2.3097065999999999E-2</c:v>
                </c:pt>
                <c:pt idx="7">
                  <c:v>2.3150260999999998E-2</c:v>
                </c:pt>
                <c:pt idx="8">
                  <c:v>2.3473503E-2</c:v>
                </c:pt>
                <c:pt idx="9">
                  <c:v>2.2768974000000001E-2</c:v>
                </c:pt>
                <c:pt idx="10">
                  <c:v>2.4889340999999999E-2</c:v>
                </c:pt>
                <c:pt idx="11">
                  <c:v>2.5097136999999999E-2</c:v>
                </c:pt>
                <c:pt idx="12">
                  <c:v>2.4990887999999999E-2</c:v>
                </c:pt>
                <c:pt idx="13">
                  <c:v>2.4527136000000001E-2</c:v>
                </c:pt>
                <c:pt idx="14">
                  <c:v>2.4913145000000001E-2</c:v>
                </c:pt>
                <c:pt idx="15">
                  <c:v>2.5012853000000002E-2</c:v>
                </c:pt>
                <c:pt idx="16">
                  <c:v>2.4540365000000001E-2</c:v>
                </c:pt>
                <c:pt idx="17">
                  <c:v>2.4722422000000001E-2</c:v>
                </c:pt>
                <c:pt idx="18">
                  <c:v>2.4763271E-2</c:v>
                </c:pt>
                <c:pt idx="19">
                  <c:v>2.4780763000000001E-2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AA_phi_ind!$A$17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AA_phi_ind!$B$17:$U$17</c:f>
              <c:numCache>
                <c:formatCode>General</c:formatCode>
                <c:ptCount val="20"/>
                <c:pt idx="0">
                  <c:v>2.3054654000000001E-2</c:v>
                </c:pt>
                <c:pt idx="1">
                  <c:v>2.3539528000000001E-2</c:v>
                </c:pt>
                <c:pt idx="2">
                  <c:v>2.3151958E-2</c:v>
                </c:pt>
                <c:pt idx="3">
                  <c:v>2.2769185000000001E-2</c:v>
                </c:pt>
                <c:pt idx="4">
                  <c:v>2.2875653999999999E-2</c:v>
                </c:pt>
                <c:pt idx="5">
                  <c:v>2.2784470000000001E-2</c:v>
                </c:pt>
                <c:pt idx="6">
                  <c:v>2.2982538E-2</c:v>
                </c:pt>
                <c:pt idx="7">
                  <c:v>2.3080328000000001E-2</c:v>
                </c:pt>
                <c:pt idx="8">
                  <c:v>2.3515388000000002E-2</c:v>
                </c:pt>
                <c:pt idx="9">
                  <c:v>2.3131102000000001E-2</c:v>
                </c:pt>
                <c:pt idx="10">
                  <c:v>2.5047822000000001E-2</c:v>
                </c:pt>
                <c:pt idx="11">
                  <c:v>2.4981725999999999E-2</c:v>
                </c:pt>
                <c:pt idx="12">
                  <c:v>2.4810039999999998E-2</c:v>
                </c:pt>
                <c:pt idx="13">
                  <c:v>2.4492737000000001E-2</c:v>
                </c:pt>
                <c:pt idx="14">
                  <c:v>2.4692011999999999E-2</c:v>
                </c:pt>
                <c:pt idx="15">
                  <c:v>2.5136016000000001E-2</c:v>
                </c:pt>
                <c:pt idx="16">
                  <c:v>2.4656997999999999E-2</c:v>
                </c:pt>
                <c:pt idx="17">
                  <c:v>2.4671255E-2</c:v>
                </c:pt>
                <c:pt idx="18">
                  <c:v>2.4732280999999998E-2</c:v>
                </c:pt>
                <c:pt idx="19">
                  <c:v>2.4381318999999999E-2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AA_phi_ind!$A$18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AA_phi_ind!$B$18:$U$18</c:f>
              <c:numCache>
                <c:formatCode>General</c:formatCode>
                <c:ptCount val="20"/>
                <c:pt idx="0">
                  <c:v>2.3750205999999999E-2</c:v>
                </c:pt>
                <c:pt idx="1">
                  <c:v>2.4259117E-2</c:v>
                </c:pt>
                <c:pt idx="2">
                  <c:v>2.3775350000000001E-2</c:v>
                </c:pt>
                <c:pt idx="3">
                  <c:v>2.3486797E-2</c:v>
                </c:pt>
                <c:pt idx="4">
                  <c:v>2.3541245999999998E-2</c:v>
                </c:pt>
                <c:pt idx="5">
                  <c:v>2.3218685999999999E-2</c:v>
                </c:pt>
                <c:pt idx="6">
                  <c:v>2.3538119999999999E-2</c:v>
                </c:pt>
                <c:pt idx="7">
                  <c:v>2.3647681E-2</c:v>
                </c:pt>
                <c:pt idx="8">
                  <c:v>2.4113565999999999E-2</c:v>
                </c:pt>
                <c:pt idx="9">
                  <c:v>2.3754384E-2</c:v>
                </c:pt>
                <c:pt idx="10">
                  <c:v>2.5729511E-2</c:v>
                </c:pt>
                <c:pt idx="11">
                  <c:v>2.5745763000000001E-2</c:v>
                </c:pt>
                <c:pt idx="12">
                  <c:v>2.5711721E-2</c:v>
                </c:pt>
                <c:pt idx="13">
                  <c:v>2.5365538999999999E-2</c:v>
                </c:pt>
                <c:pt idx="14">
                  <c:v>2.5367897E-2</c:v>
                </c:pt>
                <c:pt idx="15">
                  <c:v>2.5411405000000001E-2</c:v>
                </c:pt>
                <c:pt idx="16">
                  <c:v>2.4759125E-2</c:v>
                </c:pt>
                <c:pt idx="17">
                  <c:v>2.5073115E-2</c:v>
                </c:pt>
                <c:pt idx="18">
                  <c:v>2.5179585000000001E-2</c:v>
                </c:pt>
                <c:pt idx="19">
                  <c:v>2.5234124E-2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AA_phi_ind!$A$19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AA_phi_ind!$B$19:$U$19</c:f>
              <c:numCache>
                <c:formatCode>General</c:formatCode>
                <c:ptCount val="20"/>
                <c:pt idx="0">
                  <c:v>2.2512941000000002E-2</c:v>
                </c:pt>
                <c:pt idx="1">
                  <c:v>2.2937406E-2</c:v>
                </c:pt>
                <c:pt idx="2">
                  <c:v>2.2561826E-2</c:v>
                </c:pt>
                <c:pt idx="3">
                  <c:v>2.2043924999999999E-2</c:v>
                </c:pt>
                <c:pt idx="4">
                  <c:v>2.2019578000000001E-2</c:v>
                </c:pt>
                <c:pt idx="5">
                  <c:v>2.189837E-2</c:v>
                </c:pt>
                <c:pt idx="6">
                  <c:v>2.2014957000000002E-2</c:v>
                </c:pt>
                <c:pt idx="7">
                  <c:v>2.2028128000000001E-2</c:v>
                </c:pt>
                <c:pt idx="8">
                  <c:v>2.2304811000000001E-2</c:v>
                </c:pt>
                <c:pt idx="9">
                  <c:v>2.1747579999999999E-2</c:v>
                </c:pt>
                <c:pt idx="10">
                  <c:v>2.3517567999999999E-2</c:v>
                </c:pt>
                <c:pt idx="11">
                  <c:v>2.3889190000000001E-2</c:v>
                </c:pt>
                <c:pt idx="12">
                  <c:v>2.3760694999999998E-2</c:v>
                </c:pt>
                <c:pt idx="13">
                  <c:v>2.3474583E-2</c:v>
                </c:pt>
                <c:pt idx="14">
                  <c:v>2.3551216E-2</c:v>
                </c:pt>
                <c:pt idx="15">
                  <c:v>2.3831846E-2</c:v>
                </c:pt>
                <c:pt idx="16">
                  <c:v>2.3225889E-2</c:v>
                </c:pt>
                <c:pt idx="17">
                  <c:v>2.3268184000000001E-2</c:v>
                </c:pt>
                <c:pt idx="18">
                  <c:v>2.3307308999999998E-2</c:v>
                </c:pt>
                <c:pt idx="19">
                  <c:v>2.3148973999999999E-2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AA_phi_ind!$A$20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AA_phi_ind!$B$20:$U$20</c:f>
              <c:numCache>
                <c:formatCode>General</c:formatCode>
                <c:ptCount val="20"/>
                <c:pt idx="0">
                  <c:v>2.2634806E-2</c:v>
                </c:pt>
                <c:pt idx="1">
                  <c:v>2.2926541000000002E-2</c:v>
                </c:pt>
                <c:pt idx="2">
                  <c:v>2.2418324E-2</c:v>
                </c:pt>
                <c:pt idx="3">
                  <c:v>2.1817131E-2</c:v>
                </c:pt>
                <c:pt idx="4">
                  <c:v>2.1795385E-2</c:v>
                </c:pt>
                <c:pt idx="5">
                  <c:v>2.1563698999999999E-2</c:v>
                </c:pt>
                <c:pt idx="6">
                  <c:v>2.1882469000000002E-2</c:v>
                </c:pt>
                <c:pt idx="7">
                  <c:v>2.1887481E-2</c:v>
                </c:pt>
                <c:pt idx="8">
                  <c:v>2.2137521E-2</c:v>
                </c:pt>
                <c:pt idx="9">
                  <c:v>2.1801437999999999E-2</c:v>
                </c:pt>
                <c:pt idx="10">
                  <c:v>2.3576929999999999E-2</c:v>
                </c:pt>
                <c:pt idx="11">
                  <c:v>2.3504707999999999E-2</c:v>
                </c:pt>
                <c:pt idx="12">
                  <c:v>2.3330573E-2</c:v>
                </c:pt>
                <c:pt idx="13">
                  <c:v>2.3051133000000001E-2</c:v>
                </c:pt>
                <c:pt idx="14">
                  <c:v>2.3288514E-2</c:v>
                </c:pt>
                <c:pt idx="15">
                  <c:v>2.3225961E-2</c:v>
                </c:pt>
                <c:pt idx="16">
                  <c:v>2.2593489000000001E-2</c:v>
                </c:pt>
                <c:pt idx="17">
                  <c:v>2.2697835999999999E-2</c:v>
                </c:pt>
                <c:pt idx="18">
                  <c:v>2.2489184999999998E-2</c:v>
                </c:pt>
                <c:pt idx="19">
                  <c:v>2.2434316999999999E-2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AA_phi_ind!$A$21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AA_phi_ind!$B$21:$U$21</c:f>
              <c:numCache>
                <c:formatCode>General</c:formatCode>
                <c:ptCount val="20"/>
                <c:pt idx="0">
                  <c:v>2.2547718000000001E-2</c:v>
                </c:pt>
                <c:pt idx="1">
                  <c:v>2.2807473000000002E-2</c:v>
                </c:pt>
                <c:pt idx="2">
                  <c:v>2.2338189000000001E-2</c:v>
                </c:pt>
                <c:pt idx="3">
                  <c:v>2.175767E-2</c:v>
                </c:pt>
                <c:pt idx="4">
                  <c:v>2.180006E-2</c:v>
                </c:pt>
                <c:pt idx="5">
                  <c:v>2.1522427E-2</c:v>
                </c:pt>
                <c:pt idx="6">
                  <c:v>2.1870364E-2</c:v>
                </c:pt>
                <c:pt idx="7">
                  <c:v>2.1803093999999999E-2</c:v>
                </c:pt>
                <c:pt idx="8">
                  <c:v>2.2112054999999999E-2</c:v>
                </c:pt>
                <c:pt idx="9">
                  <c:v>2.1599894000000001E-2</c:v>
                </c:pt>
                <c:pt idx="10">
                  <c:v>2.3266810999999998E-2</c:v>
                </c:pt>
                <c:pt idx="11">
                  <c:v>2.3491637999999999E-2</c:v>
                </c:pt>
                <c:pt idx="12">
                  <c:v>2.3357503000000002E-2</c:v>
                </c:pt>
                <c:pt idx="13">
                  <c:v>2.3184517000000002E-2</c:v>
                </c:pt>
                <c:pt idx="14">
                  <c:v>2.3309881000000001E-2</c:v>
                </c:pt>
                <c:pt idx="15">
                  <c:v>2.3303276000000001E-2</c:v>
                </c:pt>
                <c:pt idx="16">
                  <c:v>2.2652683999999999E-2</c:v>
                </c:pt>
                <c:pt idx="17">
                  <c:v>2.2874243999999998E-2</c:v>
                </c:pt>
                <c:pt idx="18">
                  <c:v>2.2798331000000002E-2</c:v>
                </c:pt>
                <c:pt idx="19">
                  <c:v>2.2558506999999998E-2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AA_phi_ind!$A$22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AA_phi_ind!$B$22:$U$22</c:f>
              <c:numCache>
                <c:formatCode>General</c:formatCode>
                <c:ptCount val="20"/>
                <c:pt idx="0">
                  <c:v>2.2373655999999999E-2</c:v>
                </c:pt>
                <c:pt idx="1">
                  <c:v>2.2703869000000002E-2</c:v>
                </c:pt>
                <c:pt idx="2">
                  <c:v>2.2272126999999999E-2</c:v>
                </c:pt>
                <c:pt idx="3">
                  <c:v>2.1663563E-2</c:v>
                </c:pt>
                <c:pt idx="4">
                  <c:v>2.1520774999999999E-2</c:v>
                </c:pt>
                <c:pt idx="5">
                  <c:v>2.152741E-2</c:v>
                </c:pt>
                <c:pt idx="6">
                  <c:v>2.1700185E-2</c:v>
                </c:pt>
                <c:pt idx="7">
                  <c:v>2.1811863000000001E-2</c:v>
                </c:pt>
                <c:pt idx="8">
                  <c:v>2.2019871999999999E-2</c:v>
                </c:pt>
                <c:pt idx="9">
                  <c:v>2.1634666E-2</c:v>
                </c:pt>
                <c:pt idx="10">
                  <c:v>2.3401801E-2</c:v>
                </c:pt>
                <c:pt idx="11">
                  <c:v>2.3549575E-2</c:v>
                </c:pt>
                <c:pt idx="12">
                  <c:v>2.3248192000000001E-2</c:v>
                </c:pt>
                <c:pt idx="13">
                  <c:v>2.3083208000000001E-2</c:v>
                </c:pt>
                <c:pt idx="14">
                  <c:v>2.3170573999999999E-2</c:v>
                </c:pt>
                <c:pt idx="15">
                  <c:v>2.3257498000000001E-2</c:v>
                </c:pt>
                <c:pt idx="16">
                  <c:v>2.2699878999999999E-2</c:v>
                </c:pt>
                <c:pt idx="17">
                  <c:v>2.2762378999999999E-2</c:v>
                </c:pt>
                <c:pt idx="18">
                  <c:v>2.2853417000000001E-2</c:v>
                </c:pt>
                <c:pt idx="19">
                  <c:v>2.2744219999999999E-2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AA_phi_ind!$A$23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AA_phi_ind!$B$23:$U$23</c:f>
              <c:numCache>
                <c:formatCode>General</c:formatCode>
                <c:ptCount val="20"/>
                <c:pt idx="0">
                  <c:v>2.2709093999999999E-2</c:v>
                </c:pt>
                <c:pt idx="1">
                  <c:v>2.3028984999999998E-2</c:v>
                </c:pt>
                <c:pt idx="2">
                  <c:v>2.2571569E-2</c:v>
                </c:pt>
                <c:pt idx="3">
                  <c:v>2.1959389999999999E-2</c:v>
                </c:pt>
                <c:pt idx="4">
                  <c:v>2.1819808E-2</c:v>
                </c:pt>
                <c:pt idx="5">
                  <c:v>2.1693533000000001E-2</c:v>
                </c:pt>
                <c:pt idx="6">
                  <c:v>2.194689E-2</c:v>
                </c:pt>
                <c:pt idx="7">
                  <c:v>2.2124623999999999E-2</c:v>
                </c:pt>
                <c:pt idx="8">
                  <c:v>2.2327290999999999E-2</c:v>
                </c:pt>
                <c:pt idx="9">
                  <c:v>2.1785615000000001E-2</c:v>
                </c:pt>
                <c:pt idx="10">
                  <c:v>2.3384327E-2</c:v>
                </c:pt>
                <c:pt idx="11">
                  <c:v>2.3590703000000001E-2</c:v>
                </c:pt>
                <c:pt idx="12">
                  <c:v>2.3443519999999999E-2</c:v>
                </c:pt>
                <c:pt idx="13">
                  <c:v>2.3251465999999998E-2</c:v>
                </c:pt>
                <c:pt idx="14">
                  <c:v>2.3297569000000001E-2</c:v>
                </c:pt>
                <c:pt idx="15">
                  <c:v>2.3368389999999999E-2</c:v>
                </c:pt>
                <c:pt idx="16">
                  <c:v>2.2459377999999999E-2</c:v>
                </c:pt>
                <c:pt idx="17">
                  <c:v>2.2618118999999999E-2</c:v>
                </c:pt>
                <c:pt idx="18">
                  <c:v>2.2665768999999999E-2</c:v>
                </c:pt>
                <c:pt idx="19">
                  <c:v>2.2417311999999998E-2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AA_phi_ind!$A$24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AA_phi_ind!$B$24:$U$24</c:f>
              <c:numCache>
                <c:formatCode>General</c:formatCode>
                <c:ptCount val="20"/>
                <c:pt idx="0">
                  <c:v>2.2516325E-2</c:v>
                </c:pt>
                <c:pt idx="1">
                  <c:v>2.2787094000000001E-2</c:v>
                </c:pt>
                <c:pt idx="2">
                  <c:v>2.2325485999999999E-2</c:v>
                </c:pt>
                <c:pt idx="3">
                  <c:v>2.1779166999999999E-2</c:v>
                </c:pt>
                <c:pt idx="4">
                  <c:v>2.1771977000000001E-2</c:v>
                </c:pt>
                <c:pt idx="5">
                  <c:v>2.1660560999999998E-2</c:v>
                </c:pt>
                <c:pt idx="6">
                  <c:v>2.1710991999999998E-2</c:v>
                </c:pt>
                <c:pt idx="7">
                  <c:v>2.1745774999999998E-2</c:v>
                </c:pt>
                <c:pt idx="8">
                  <c:v>2.1971125000000001E-2</c:v>
                </c:pt>
                <c:pt idx="9">
                  <c:v>2.1482002E-2</c:v>
                </c:pt>
                <c:pt idx="10">
                  <c:v>2.3329197999999999E-2</c:v>
                </c:pt>
                <c:pt idx="11">
                  <c:v>2.3528749000000002E-2</c:v>
                </c:pt>
                <c:pt idx="12">
                  <c:v>2.3152709E-2</c:v>
                </c:pt>
                <c:pt idx="13">
                  <c:v>2.2939872E-2</c:v>
                </c:pt>
                <c:pt idx="14">
                  <c:v>2.3170883E-2</c:v>
                </c:pt>
                <c:pt idx="15">
                  <c:v>2.3356535000000001E-2</c:v>
                </c:pt>
                <c:pt idx="16">
                  <c:v>2.2544956000000001E-2</c:v>
                </c:pt>
                <c:pt idx="17">
                  <c:v>2.2851092999999999E-2</c:v>
                </c:pt>
                <c:pt idx="18">
                  <c:v>2.2578933999999998E-2</c:v>
                </c:pt>
                <c:pt idx="19">
                  <c:v>2.2406908E-2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AA_phi_ind!$A$25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AA_phi_ind!$B$25:$U$25</c:f>
              <c:numCache>
                <c:formatCode>General</c:formatCode>
                <c:ptCount val="20"/>
                <c:pt idx="0">
                  <c:v>2.2667682000000001E-2</c:v>
                </c:pt>
                <c:pt idx="1">
                  <c:v>2.2967517E-2</c:v>
                </c:pt>
                <c:pt idx="2">
                  <c:v>2.2459215000000001E-2</c:v>
                </c:pt>
                <c:pt idx="3">
                  <c:v>2.2017104999999999E-2</c:v>
                </c:pt>
                <c:pt idx="4">
                  <c:v>2.1871686000000001E-2</c:v>
                </c:pt>
                <c:pt idx="5">
                  <c:v>2.186227E-2</c:v>
                </c:pt>
                <c:pt idx="6">
                  <c:v>2.2076551E-2</c:v>
                </c:pt>
                <c:pt idx="7">
                  <c:v>2.2170855E-2</c:v>
                </c:pt>
                <c:pt idx="8">
                  <c:v>2.2365268000000001E-2</c:v>
                </c:pt>
                <c:pt idx="9">
                  <c:v>2.1864932E-2</c:v>
                </c:pt>
                <c:pt idx="10">
                  <c:v>2.3520676000000001E-2</c:v>
                </c:pt>
                <c:pt idx="11">
                  <c:v>2.3501293999999999E-2</c:v>
                </c:pt>
                <c:pt idx="12">
                  <c:v>2.3215117E-2</c:v>
                </c:pt>
                <c:pt idx="13">
                  <c:v>2.3166539E-2</c:v>
                </c:pt>
                <c:pt idx="14">
                  <c:v>2.3213287999999999E-2</c:v>
                </c:pt>
                <c:pt idx="15">
                  <c:v>2.3278759999999999E-2</c:v>
                </c:pt>
                <c:pt idx="16">
                  <c:v>2.2673150999999999E-2</c:v>
                </c:pt>
                <c:pt idx="17">
                  <c:v>2.2568781E-2</c:v>
                </c:pt>
                <c:pt idx="18">
                  <c:v>2.2438465000000001E-2</c:v>
                </c:pt>
                <c:pt idx="19">
                  <c:v>2.2373013000000001E-2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AA_phi_ind!$A$26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AA_phi_ind!$B$26:$U$26</c:f>
              <c:numCache>
                <c:formatCode>General</c:formatCode>
                <c:ptCount val="20"/>
                <c:pt idx="0">
                  <c:v>2.2980998999999998E-2</c:v>
                </c:pt>
                <c:pt idx="1">
                  <c:v>2.3523832000000001E-2</c:v>
                </c:pt>
                <c:pt idx="2">
                  <c:v>2.3173752999999998E-2</c:v>
                </c:pt>
                <c:pt idx="3">
                  <c:v>2.2965103000000001E-2</c:v>
                </c:pt>
                <c:pt idx="4">
                  <c:v>2.3077026E-2</c:v>
                </c:pt>
                <c:pt idx="5">
                  <c:v>2.3178423E-2</c:v>
                </c:pt>
                <c:pt idx="6">
                  <c:v>2.3462378999999998E-2</c:v>
                </c:pt>
                <c:pt idx="7">
                  <c:v>2.3457542000000001E-2</c:v>
                </c:pt>
                <c:pt idx="8">
                  <c:v>2.3841454000000002E-2</c:v>
                </c:pt>
                <c:pt idx="9">
                  <c:v>2.3378679999999999E-2</c:v>
                </c:pt>
                <c:pt idx="10">
                  <c:v>2.5251068000000002E-2</c:v>
                </c:pt>
                <c:pt idx="11">
                  <c:v>2.5414320000000001E-2</c:v>
                </c:pt>
                <c:pt idx="12">
                  <c:v>2.5267126000000001E-2</c:v>
                </c:pt>
                <c:pt idx="13">
                  <c:v>2.5023688999999998E-2</c:v>
                </c:pt>
                <c:pt idx="14">
                  <c:v>2.5211767999999999E-2</c:v>
                </c:pt>
                <c:pt idx="15">
                  <c:v>2.5275443000000002E-2</c:v>
                </c:pt>
                <c:pt idx="16">
                  <c:v>2.4569316000000001E-2</c:v>
                </c:pt>
                <c:pt idx="17">
                  <c:v>2.4883287E-2</c:v>
                </c:pt>
                <c:pt idx="18">
                  <c:v>2.4711881000000002E-2</c:v>
                </c:pt>
                <c:pt idx="19">
                  <c:v>2.4798619000000001E-2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AA_phi_ind!$A$27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AA_phi_ind!$B$27:$U$27</c:f>
              <c:numCache>
                <c:formatCode>General</c:formatCode>
                <c:ptCount val="20"/>
                <c:pt idx="0">
                  <c:v>2.2497451000000002E-2</c:v>
                </c:pt>
                <c:pt idx="1">
                  <c:v>2.2802540999999999E-2</c:v>
                </c:pt>
                <c:pt idx="2">
                  <c:v>2.2307859999999999E-2</c:v>
                </c:pt>
                <c:pt idx="3">
                  <c:v>2.1822028E-2</c:v>
                </c:pt>
                <c:pt idx="4">
                  <c:v>2.1675261000000001E-2</c:v>
                </c:pt>
                <c:pt idx="5">
                  <c:v>2.1737320000000001E-2</c:v>
                </c:pt>
                <c:pt idx="6">
                  <c:v>2.1844125999999998E-2</c:v>
                </c:pt>
                <c:pt idx="7">
                  <c:v>2.1843234E-2</c:v>
                </c:pt>
                <c:pt idx="8">
                  <c:v>2.2117568000000001E-2</c:v>
                </c:pt>
                <c:pt idx="9">
                  <c:v>2.1648113E-2</c:v>
                </c:pt>
                <c:pt idx="10">
                  <c:v>2.3551910999999998E-2</c:v>
                </c:pt>
                <c:pt idx="11">
                  <c:v>2.3561176E-2</c:v>
                </c:pt>
                <c:pt idx="12">
                  <c:v>2.3372675999999998E-2</c:v>
                </c:pt>
                <c:pt idx="13">
                  <c:v>2.2962224E-2</c:v>
                </c:pt>
                <c:pt idx="14">
                  <c:v>2.3038263E-2</c:v>
                </c:pt>
                <c:pt idx="15">
                  <c:v>2.30853E-2</c:v>
                </c:pt>
                <c:pt idx="16">
                  <c:v>2.2707146000000001E-2</c:v>
                </c:pt>
                <c:pt idx="17">
                  <c:v>2.2777599999999999E-2</c:v>
                </c:pt>
                <c:pt idx="18">
                  <c:v>2.2620494000000001E-2</c:v>
                </c:pt>
                <c:pt idx="19">
                  <c:v>2.2549579E-2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AA_phi_ind!$A$28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AA_phi_ind!$B$28:$U$28</c:f>
              <c:numCache>
                <c:formatCode>General</c:formatCode>
                <c:ptCount val="20"/>
                <c:pt idx="0">
                  <c:v>2.2522871999999999E-2</c:v>
                </c:pt>
                <c:pt idx="1">
                  <c:v>2.2823479000000001E-2</c:v>
                </c:pt>
                <c:pt idx="2">
                  <c:v>2.2382017000000001E-2</c:v>
                </c:pt>
                <c:pt idx="3">
                  <c:v>2.1815047000000001E-2</c:v>
                </c:pt>
                <c:pt idx="4">
                  <c:v>2.1709348999999999E-2</c:v>
                </c:pt>
                <c:pt idx="5">
                  <c:v>2.1672588E-2</c:v>
                </c:pt>
                <c:pt idx="6">
                  <c:v>2.1776145E-2</c:v>
                </c:pt>
                <c:pt idx="7">
                  <c:v>2.1641657000000002E-2</c:v>
                </c:pt>
                <c:pt idx="8">
                  <c:v>2.2034914999999999E-2</c:v>
                </c:pt>
                <c:pt idx="9">
                  <c:v>2.1627277E-2</c:v>
                </c:pt>
                <c:pt idx="10">
                  <c:v>2.3461176E-2</c:v>
                </c:pt>
                <c:pt idx="11">
                  <c:v>2.3565078E-2</c:v>
                </c:pt>
                <c:pt idx="12">
                  <c:v>2.3348540000000001E-2</c:v>
                </c:pt>
                <c:pt idx="13">
                  <c:v>2.3146291999999999E-2</c:v>
                </c:pt>
                <c:pt idx="14">
                  <c:v>2.3232834000000001E-2</c:v>
                </c:pt>
                <c:pt idx="15">
                  <c:v>2.3288341000000001E-2</c:v>
                </c:pt>
                <c:pt idx="16">
                  <c:v>2.2707727E-2</c:v>
                </c:pt>
                <c:pt idx="17">
                  <c:v>2.2776289000000002E-2</c:v>
                </c:pt>
                <c:pt idx="18">
                  <c:v>2.2527801E-2</c:v>
                </c:pt>
                <c:pt idx="19">
                  <c:v>2.2389919000000001E-2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AA_phi_ind!$A$29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AA_phi_ind!$B$29:$U$29</c:f>
              <c:numCache>
                <c:formatCode>General</c:formatCode>
                <c:ptCount val="20"/>
                <c:pt idx="0">
                  <c:v>2.2290483E-2</c:v>
                </c:pt>
                <c:pt idx="1">
                  <c:v>2.2480085E-2</c:v>
                </c:pt>
                <c:pt idx="2">
                  <c:v>2.2042796E-2</c:v>
                </c:pt>
                <c:pt idx="3">
                  <c:v>2.1472886E-2</c:v>
                </c:pt>
                <c:pt idx="4">
                  <c:v>2.1246129999999998E-2</c:v>
                </c:pt>
                <c:pt idx="5">
                  <c:v>2.1047287000000001E-2</c:v>
                </c:pt>
                <c:pt idx="6">
                  <c:v>2.1113256E-2</c:v>
                </c:pt>
                <c:pt idx="7">
                  <c:v>2.0835685E-2</c:v>
                </c:pt>
                <c:pt idx="8">
                  <c:v>2.1122795E-2</c:v>
                </c:pt>
                <c:pt idx="9">
                  <c:v>2.0653706000000001E-2</c:v>
                </c:pt>
                <c:pt idx="10">
                  <c:v>2.2311805000000001E-2</c:v>
                </c:pt>
                <c:pt idx="11">
                  <c:v>2.2609285999999999E-2</c:v>
                </c:pt>
                <c:pt idx="12">
                  <c:v>2.2431932000000002E-2</c:v>
                </c:pt>
                <c:pt idx="13">
                  <c:v>2.2138918E-2</c:v>
                </c:pt>
                <c:pt idx="14">
                  <c:v>2.2172180999999999E-2</c:v>
                </c:pt>
                <c:pt idx="15">
                  <c:v>2.2363871E-2</c:v>
                </c:pt>
                <c:pt idx="16">
                  <c:v>2.1828859999999999E-2</c:v>
                </c:pt>
                <c:pt idx="17">
                  <c:v>2.1924201000000001E-2</c:v>
                </c:pt>
                <c:pt idx="18">
                  <c:v>2.2103092000000001E-2</c:v>
                </c:pt>
                <c:pt idx="19">
                  <c:v>2.2016820999999999E-2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AA_phi_ind!$A$30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AA_phi_ind!$B$30:$U$30</c:f>
              <c:numCache>
                <c:formatCode>General</c:formatCode>
                <c:ptCount val="20"/>
                <c:pt idx="0">
                  <c:v>2.5707346999999998E-2</c:v>
                </c:pt>
                <c:pt idx="1">
                  <c:v>2.6372700999999998E-2</c:v>
                </c:pt>
                <c:pt idx="2">
                  <c:v>2.6223406000000001E-2</c:v>
                </c:pt>
                <c:pt idx="3">
                  <c:v>2.6017874E-2</c:v>
                </c:pt>
                <c:pt idx="4">
                  <c:v>2.6200166E-2</c:v>
                </c:pt>
                <c:pt idx="5">
                  <c:v>2.6058072000000002E-2</c:v>
                </c:pt>
                <c:pt idx="6">
                  <c:v>2.6524058999999999E-2</c:v>
                </c:pt>
                <c:pt idx="7">
                  <c:v>2.7111264E-2</c:v>
                </c:pt>
                <c:pt idx="8">
                  <c:v>2.7512683999999999E-2</c:v>
                </c:pt>
                <c:pt idx="9">
                  <c:v>2.7175331E-2</c:v>
                </c:pt>
                <c:pt idx="10">
                  <c:v>2.9185106999999998E-2</c:v>
                </c:pt>
                <c:pt idx="11">
                  <c:v>2.9082126999999999E-2</c:v>
                </c:pt>
                <c:pt idx="12">
                  <c:v>2.9378351E-2</c:v>
                </c:pt>
                <c:pt idx="13">
                  <c:v>2.9032364000000001E-2</c:v>
                </c:pt>
                <c:pt idx="14">
                  <c:v>2.8904071E-2</c:v>
                </c:pt>
                <c:pt idx="15">
                  <c:v>2.9140157999999999E-2</c:v>
                </c:pt>
                <c:pt idx="16">
                  <c:v>2.8930008E-2</c:v>
                </c:pt>
                <c:pt idx="17">
                  <c:v>2.9301146E-2</c:v>
                </c:pt>
                <c:pt idx="18">
                  <c:v>2.9081224999999999E-2</c:v>
                </c:pt>
                <c:pt idx="19">
                  <c:v>2.9064899000000002E-2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AA_phi_ind!$A$31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AA_phi_ind!$B$31:$U$31</c:f>
              <c:numCache>
                <c:formatCode>General</c:formatCode>
                <c:ptCount val="20"/>
                <c:pt idx="0">
                  <c:v>2.5886735000000001E-2</c:v>
                </c:pt>
                <c:pt idx="1">
                  <c:v>2.6645187000000001E-2</c:v>
                </c:pt>
                <c:pt idx="2">
                  <c:v>2.6265908000000001E-2</c:v>
                </c:pt>
                <c:pt idx="3">
                  <c:v>2.5947294999999999E-2</c:v>
                </c:pt>
                <c:pt idx="4">
                  <c:v>2.5842845E-2</c:v>
                </c:pt>
                <c:pt idx="5">
                  <c:v>2.5742443E-2</c:v>
                </c:pt>
                <c:pt idx="6">
                  <c:v>2.614758E-2</c:v>
                </c:pt>
                <c:pt idx="7">
                  <c:v>2.6560355000000001E-2</c:v>
                </c:pt>
                <c:pt idx="8">
                  <c:v>2.6673123E-2</c:v>
                </c:pt>
                <c:pt idx="9">
                  <c:v>2.6313501999999999E-2</c:v>
                </c:pt>
                <c:pt idx="10">
                  <c:v>2.8475467000000001E-2</c:v>
                </c:pt>
                <c:pt idx="11">
                  <c:v>2.8536601000000002E-2</c:v>
                </c:pt>
                <c:pt idx="12">
                  <c:v>2.8530384999999998E-2</c:v>
                </c:pt>
                <c:pt idx="13">
                  <c:v>2.8338111999999999E-2</c:v>
                </c:pt>
                <c:pt idx="14">
                  <c:v>2.8468771E-2</c:v>
                </c:pt>
                <c:pt idx="15">
                  <c:v>2.8647531E-2</c:v>
                </c:pt>
                <c:pt idx="16">
                  <c:v>2.7993583999999998E-2</c:v>
                </c:pt>
                <c:pt idx="17">
                  <c:v>2.8195113000000001E-2</c:v>
                </c:pt>
                <c:pt idx="18">
                  <c:v>2.7871026E-2</c:v>
                </c:pt>
                <c:pt idx="19">
                  <c:v>2.7846526E-2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AA_phi_ind!$A$32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AA_phi_ind!$B$32:$U$32</c:f>
              <c:numCache>
                <c:formatCode>General</c:formatCode>
                <c:ptCount val="20"/>
                <c:pt idx="0">
                  <c:v>2.6353321999999998E-2</c:v>
                </c:pt>
                <c:pt idx="1">
                  <c:v>2.7367240000000001E-2</c:v>
                </c:pt>
                <c:pt idx="2">
                  <c:v>2.7405613999999998E-2</c:v>
                </c:pt>
                <c:pt idx="3">
                  <c:v>2.7757450999999999E-2</c:v>
                </c:pt>
                <c:pt idx="4">
                  <c:v>2.7960459E-2</c:v>
                </c:pt>
                <c:pt idx="5">
                  <c:v>2.8248479999999999E-2</c:v>
                </c:pt>
                <c:pt idx="6">
                  <c:v>2.8844076999999999E-2</c:v>
                </c:pt>
                <c:pt idx="7">
                  <c:v>2.9600459999999999E-2</c:v>
                </c:pt>
                <c:pt idx="8">
                  <c:v>3.0154297E-2</c:v>
                </c:pt>
                <c:pt idx="9">
                  <c:v>2.9975953999999999E-2</c:v>
                </c:pt>
                <c:pt idx="10">
                  <c:v>3.2458931000000003E-2</c:v>
                </c:pt>
                <c:pt idx="11">
                  <c:v>3.2485950999999999E-2</c:v>
                </c:pt>
                <c:pt idx="12">
                  <c:v>3.2586530000000002E-2</c:v>
                </c:pt>
                <c:pt idx="13">
                  <c:v>3.2135230000000001E-2</c:v>
                </c:pt>
                <c:pt idx="14">
                  <c:v>3.2189883000000002E-2</c:v>
                </c:pt>
                <c:pt idx="15">
                  <c:v>3.2671726999999998E-2</c:v>
                </c:pt>
                <c:pt idx="16">
                  <c:v>3.2005596999999997E-2</c:v>
                </c:pt>
                <c:pt idx="17">
                  <c:v>3.2300606000000003E-2</c:v>
                </c:pt>
                <c:pt idx="18">
                  <c:v>3.2082982000000003E-2</c:v>
                </c:pt>
                <c:pt idx="19">
                  <c:v>3.1902209000000001E-2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AA_phi_ind!$A$33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AA_phi_ind!$B$33:$U$33</c:f>
              <c:numCache>
                <c:formatCode>General</c:formatCode>
                <c:ptCount val="20"/>
                <c:pt idx="0">
                  <c:v>2.6638959E-2</c:v>
                </c:pt>
                <c:pt idx="1">
                  <c:v>2.7670059E-2</c:v>
                </c:pt>
                <c:pt idx="2">
                  <c:v>2.7751325E-2</c:v>
                </c:pt>
                <c:pt idx="3">
                  <c:v>2.7845964000000001E-2</c:v>
                </c:pt>
                <c:pt idx="4">
                  <c:v>2.8291456E-2</c:v>
                </c:pt>
                <c:pt idx="5">
                  <c:v>2.8636768E-2</c:v>
                </c:pt>
                <c:pt idx="6">
                  <c:v>2.9532867000000001E-2</c:v>
                </c:pt>
                <c:pt idx="7">
                  <c:v>3.0073717E-2</c:v>
                </c:pt>
                <c:pt idx="8">
                  <c:v>3.0765481000000001E-2</c:v>
                </c:pt>
                <c:pt idx="9">
                  <c:v>3.0322634000000001E-2</c:v>
                </c:pt>
                <c:pt idx="10">
                  <c:v>3.2823268000000003E-2</c:v>
                </c:pt>
                <c:pt idx="11">
                  <c:v>3.2717254000000001E-2</c:v>
                </c:pt>
                <c:pt idx="12">
                  <c:v>3.3133253000000001E-2</c:v>
                </c:pt>
                <c:pt idx="13">
                  <c:v>3.2955605999999998E-2</c:v>
                </c:pt>
                <c:pt idx="14">
                  <c:v>3.3126712000000003E-2</c:v>
                </c:pt>
                <c:pt idx="15">
                  <c:v>3.3509754000000003E-2</c:v>
                </c:pt>
                <c:pt idx="16">
                  <c:v>3.2727733000000002E-2</c:v>
                </c:pt>
                <c:pt idx="17">
                  <c:v>3.3259138000000001E-2</c:v>
                </c:pt>
                <c:pt idx="18">
                  <c:v>3.2899715000000003E-2</c:v>
                </c:pt>
                <c:pt idx="19">
                  <c:v>3.2840452999999999E-2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AA_phi_ind!$A$34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AA_phi_ind!$B$34:$U$34</c:f>
              <c:numCache>
                <c:formatCode>General</c:formatCode>
                <c:ptCount val="20"/>
                <c:pt idx="0">
                  <c:v>2.6585332999999999E-2</c:v>
                </c:pt>
                <c:pt idx="1">
                  <c:v>2.7615153999999999E-2</c:v>
                </c:pt>
                <c:pt idx="2">
                  <c:v>2.7583407000000001E-2</c:v>
                </c:pt>
                <c:pt idx="3">
                  <c:v>2.77863E-2</c:v>
                </c:pt>
                <c:pt idx="4">
                  <c:v>2.8115834999999999E-2</c:v>
                </c:pt>
                <c:pt idx="5">
                  <c:v>2.8525636E-2</c:v>
                </c:pt>
                <c:pt idx="6">
                  <c:v>2.9453764E-2</c:v>
                </c:pt>
                <c:pt idx="7">
                  <c:v>3.0455703000000001E-2</c:v>
                </c:pt>
                <c:pt idx="8">
                  <c:v>3.1026416000000001E-2</c:v>
                </c:pt>
                <c:pt idx="9">
                  <c:v>3.0559309E-2</c:v>
                </c:pt>
                <c:pt idx="10">
                  <c:v>3.2838083999999997E-2</c:v>
                </c:pt>
                <c:pt idx="11">
                  <c:v>3.2762125000000003E-2</c:v>
                </c:pt>
                <c:pt idx="12">
                  <c:v>3.2976795000000003E-2</c:v>
                </c:pt>
                <c:pt idx="13">
                  <c:v>3.2831277999999998E-2</c:v>
                </c:pt>
                <c:pt idx="14">
                  <c:v>3.2851933999999999E-2</c:v>
                </c:pt>
                <c:pt idx="15">
                  <c:v>3.3416551000000003E-2</c:v>
                </c:pt>
                <c:pt idx="16">
                  <c:v>3.2753183999999998E-2</c:v>
                </c:pt>
                <c:pt idx="17">
                  <c:v>3.3208024000000003E-2</c:v>
                </c:pt>
                <c:pt idx="18">
                  <c:v>3.3262547000000003E-2</c:v>
                </c:pt>
                <c:pt idx="19">
                  <c:v>3.3139101999999997E-2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AA_phi_ind!$A$35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AA_phi_ind!$B$35:$U$35</c:f>
              <c:numCache>
                <c:formatCode>General</c:formatCode>
                <c:ptCount val="20"/>
                <c:pt idx="0">
                  <c:v>1.939432E-2</c:v>
                </c:pt>
                <c:pt idx="1">
                  <c:v>1.9974707000000001E-2</c:v>
                </c:pt>
                <c:pt idx="2">
                  <c:v>1.9790377000000001E-2</c:v>
                </c:pt>
                <c:pt idx="3">
                  <c:v>1.9422391000000001E-2</c:v>
                </c:pt>
                <c:pt idx="4">
                  <c:v>1.9507793999999998E-2</c:v>
                </c:pt>
                <c:pt idx="5">
                  <c:v>1.9402334E-2</c:v>
                </c:pt>
                <c:pt idx="6">
                  <c:v>1.9769894E-2</c:v>
                </c:pt>
                <c:pt idx="7">
                  <c:v>1.9715310999999999E-2</c:v>
                </c:pt>
                <c:pt idx="8">
                  <c:v>1.9827569E-2</c:v>
                </c:pt>
                <c:pt idx="9">
                  <c:v>1.9495292000000001E-2</c:v>
                </c:pt>
                <c:pt idx="10">
                  <c:v>2.1212651999999999E-2</c:v>
                </c:pt>
                <c:pt idx="11">
                  <c:v>2.1430307999999999E-2</c:v>
                </c:pt>
                <c:pt idx="12">
                  <c:v>2.1433890000000001E-2</c:v>
                </c:pt>
                <c:pt idx="13">
                  <c:v>2.1211331999999999E-2</c:v>
                </c:pt>
                <c:pt idx="14">
                  <c:v>2.1056438E-2</c:v>
                </c:pt>
                <c:pt idx="15">
                  <c:v>2.1062332999999999E-2</c:v>
                </c:pt>
                <c:pt idx="16">
                  <c:v>2.0842289999999999E-2</c:v>
                </c:pt>
                <c:pt idx="17">
                  <c:v>2.1151553999999999E-2</c:v>
                </c:pt>
                <c:pt idx="18">
                  <c:v>2.0982028999999999E-2</c:v>
                </c:pt>
                <c:pt idx="19">
                  <c:v>2.0736734999999999E-2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AA_phi_ind!$A$36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AA_phi_ind!$B$36:$U$36</c:f>
              <c:numCache>
                <c:formatCode>General</c:formatCode>
                <c:ptCount val="20"/>
                <c:pt idx="0">
                  <c:v>1.9492064E-2</c:v>
                </c:pt>
                <c:pt idx="1">
                  <c:v>2.0082137E-2</c:v>
                </c:pt>
                <c:pt idx="2">
                  <c:v>1.9855055999999999E-2</c:v>
                </c:pt>
                <c:pt idx="3">
                  <c:v>1.9586000999999999E-2</c:v>
                </c:pt>
                <c:pt idx="4">
                  <c:v>1.9606420999999999E-2</c:v>
                </c:pt>
                <c:pt idx="5">
                  <c:v>1.9603659999999998E-2</c:v>
                </c:pt>
                <c:pt idx="6">
                  <c:v>1.9883919999999999E-2</c:v>
                </c:pt>
                <c:pt idx="7">
                  <c:v>2.0030163E-2</c:v>
                </c:pt>
                <c:pt idx="8">
                  <c:v>2.0438927999999999E-2</c:v>
                </c:pt>
                <c:pt idx="9">
                  <c:v>2.0131838999999999E-2</c:v>
                </c:pt>
                <c:pt idx="10">
                  <c:v>2.1846170000000002E-2</c:v>
                </c:pt>
                <c:pt idx="11">
                  <c:v>2.2231765000000001E-2</c:v>
                </c:pt>
                <c:pt idx="12">
                  <c:v>2.2219457000000001E-2</c:v>
                </c:pt>
                <c:pt idx="13">
                  <c:v>2.1914333000000001E-2</c:v>
                </c:pt>
                <c:pt idx="14">
                  <c:v>2.2167797999999999E-2</c:v>
                </c:pt>
                <c:pt idx="15">
                  <c:v>2.2336023E-2</c:v>
                </c:pt>
                <c:pt idx="16">
                  <c:v>2.2111082000000001E-2</c:v>
                </c:pt>
                <c:pt idx="17">
                  <c:v>2.2451269999999999E-2</c:v>
                </c:pt>
                <c:pt idx="18">
                  <c:v>2.2126466000000001E-2</c:v>
                </c:pt>
                <c:pt idx="19">
                  <c:v>2.2059642000000001E-2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AA_phi_ind!$A$37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AA_phi_ind!$B$2:$U$2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AA_phi_ind!$B$37:$U$37</c:f>
              <c:numCache>
                <c:formatCode>General</c:formatCode>
                <c:ptCount val="20"/>
                <c:pt idx="0">
                  <c:v>1.9054392E-2</c:v>
                </c:pt>
                <c:pt idx="1">
                  <c:v>1.9368017000000001E-2</c:v>
                </c:pt>
                <c:pt idx="2">
                  <c:v>1.9018054E-2</c:v>
                </c:pt>
                <c:pt idx="3">
                  <c:v>1.8654242000000001E-2</c:v>
                </c:pt>
                <c:pt idx="4">
                  <c:v>1.8707313E-2</c:v>
                </c:pt>
                <c:pt idx="5">
                  <c:v>1.8642617E-2</c:v>
                </c:pt>
                <c:pt idx="6">
                  <c:v>1.8737679E-2</c:v>
                </c:pt>
                <c:pt idx="7">
                  <c:v>1.8646412000000001E-2</c:v>
                </c:pt>
                <c:pt idx="8">
                  <c:v>1.8795226000000002E-2</c:v>
                </c:pt>
                <c:pt idx="9">
                  <c:v>1.8465353E-2</c:v>
                </c:pt>
                <c:pt idx="10">
                  <c:v>2.0019891000000001E-2</c:v>
                </c:pt>
                <c:pt idx="11">
                  <c:v>2.0064505E-2</c:v>
                </c:pt>
                <c:pt idx="12">
                  <c:v>2.0074140000000001E-2</c:v>
                </c:pt>
                <c:pt idx="13">
                  <c:v>1.9779155E-2</c:v>
                </c:pt>
                <c:pt idx="14">
                  <c:v>1.9631315E-2</c:v>
                </c:pt>
                <c:pt idx="15">
                  <c:v>1.9485695000000001E-2</c:v>
                </c:pt>
                <c:pt idx="16">
                  <c:v>1.9199647E-2</c:v>
                </c:pt>
                <c:pt idx="17">
                  <c:v>1.9549618000000001E-2</c:v>
                </c:pt>
                <c:pt idx="18">
                  <c:v>1.9395405000000001E-2</c:v>
                </c:pt>
                <c:pt idx="19">
                  <c:v>1.9362239E-2</c:v>
                </c:pt>
              </c:numCache>
            </c:numRef>
          </c:yVal>
          <c:smooth val="1"/>
        </c:ser>
        <c:axId val="90427392"/>
        <c:axId val="90429312"/>
      </c:scatterChart>
      <c:valAx>
        <c:axId val="90427392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29312"/>
        <c:crosses val="autoZero"/>
        <c:crossBetween val="midCat"/>
      </c:valAx>
      <c:valAx>
        <c:axId val="90429312"/>
        <c:scaling>
          <c:orientation val="minMax"/>
        </c:scaling>
        <c:axPos val="l"/>
        <c:numFmt formatCode="General" sourceLinked="1"/>
        <c:tickLblPos val="nextTo"/>
        <c:crossAx val="904273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125174978127725"/>
          <c:y val="7.9861475648877231E-2"/>
          <c:w val="0.11768299104791996"/>
          <c:h val="0.85768759142261364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AA_phi_pat!$B$3:$U$3</c:f>
              <c:numCache>
                <c:formatCode>General</c:formatCode>
                <c:ptCount val="20"/>
                <c:pt idx="0">
                  <c:v>7.0394003E-3</c:v>
                </c:pt>
                <c:pt idx="1">
                  <c:v>6.9736852000000004E-3</c:v>
                </c:pt>
                <c:pt idx="2">
                  <c:v>6.6768783000000003E-3</c:v>
                </c:pt>
                <c:pt idx="3">
                  <c:v>6.5983250000000004E-3</c:v>
                </c:pt>
                <c:pt idx="4">
                  <c:v>6.5474119000000002E-3</c:v>
                </c:pt>
                <c:pt idx="5">
                  <c:v>6.4294249999999999E-3</c:v>
                </c:pt>
                <c:pt idx="6">
                  <c:v>6.4591411999999999E-3</c:v>
                </c:pt>
                <c:pt idx="7">
                  <c:v>6.4828754000000001E-3</c:v>
                </c:pt>
                <c:pt idx="8">
                  <c:v>6.4619960999999998E-3</c:v>
                </c:pt>
                <c:pt idx="9">
                  <c:v>6.3466047999999999E-3</c:v>
                </c:pt>
                <c:pt idx="10">
                  <c:v>6.8813581000000002E-3</c:v>
                </c:pt>
                <c:pt idx="11">
                  <c:v>6.8637063000000003E-3</c:v>
                </c:pt>
                <c:pt idx="12">
                  <c:v>6.8456856999999996E-3</c:v>
                </c:pt>
                <c:pt idx="13">
                  <c:v>6.6895434000000002E-3</c:v>
                </c:pt>
                <c:pt idx="14">
                  <c:v>6.6856657999999998E-3</c:v>
                </c:pt>
                <c:pt idx="15">
                  <c:v>6.6643943999999998E-3</c:v>
                </c:pt>
                <c:pt idx="16">
                  <c:v>6.5178260999999996E-3</c:v>
                </c:pt>
                <c:pt idx="17">
                  <c:v>6.6861552000000001E-3</c:v>
                </c:pt>
                <c:pt idx="18">
                  <c:v>6.7119887000000001E-3</c:v>
                </c:pt>
                <c:pt idx="19">
                  <c:v>6.8199154999999999E-3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AA_phi_pat!$B$21:$U$21</c:f>
              <c:numCache>
                <c:formatCode>General</c:formatCode>
                <c:ptCount val="20"/>
                <c:pt idx="0">
                  <c:v>5.8127687999999997E-3</c:v>
                </c:pt>
                <c:pt idx="1">
                  <c:v>5.7578873999999999E-3</c:v>
                </c:pt>
                <c:pt idx="2">
                  <c:v>5.5091827999999999E-3</c:v>
                </c:pt>
                <c:pt idx="3">
                  <c:v>5.4066903000000001E-3</c:v>
                </c:pt>
                <c:pt idx="4">
                  <c:v>5.3496257999999996E-3</c:v>
                </c:pt>
                <c:pt idx="5">
                  <c:v>5.2379621000000001E-3</c:v>
                </c:pt>
                <c:pt idx="6">
                  <c:v>5.2882750000000003E-3</c:v>
                </c:pt>
                <c:pt idx="7">
                  <c:v>5.2449302999999997E-3</c:v>
                </c:pt>
                <c:pt idx="8">
                  <c:v>5.2975443999999997E-3</c:v>
                </c:pt>
                <c:pt idx="9">
                  <c:v>5.1560546000000004E-3</c:v>
                </c:pt>
                <c:pt idx="10">
                  <c:v>5.5356807999999997E-3</c:v>
                </c:pt>
                <c:pt idx="11">
                  <c:v>5.5735656000000001E-3</c:v>
                </c:pt>
                <c:pt idx="12">
                  <c:v>5.5250763E-3</c:v>
                </c:pt>
                <c:pt idx="13">
                  <c:v>5.4743225E-3</c:v>
                </c:pt>
                <c:pt idx="14">
                  <c:v>5.4930294999999997E-3</c:v>
                </c:pt>
                <c:pt idx="15">
                  <c:v>5.4808239999999996E-3</c:v>
                </c:pt>
                <c:pt idx="16">
                  <c:v>5.3375666000000004E-3</c:v>
                </c:pt>
                <c:pt idx="17">
                  <c:v>5.3993128000000001E-3</c:v>
                </c:pt>
                <c:pt idx="18">
                  <c:v>5.4317367999999998E-3</c:v>
                </c:pt>
                <c:pt idx="19">
                  <c:v>5.4269256000000002E-3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AA_phi_pat!$B$37:$U$37</c:f>
              <c:numCache>
                <c:formatCode>General</c:formatCode>
                <c:ptCount val="20"/>
                <c:pt idx="0">
                  <c:v>4.9130898000000001E-3</c:v>
                </c:pt>
                <c:pt idx="1">
                  <c:v>4.8843984999999996E-3</c:v>
                </c:pt>
                <c:pt idx="2">
                  <c:v>4.6799490000000001E-3</c:v>
                </c:pt>
                <c:pt idx="3">
                  <c:v>4.6071339999999997E-3</c:v>
                </c:pt>
                <c:pt idx="4">
                  <c:v>4.5608990000000002E-3</c:v>
                </c:pt>
                <c:pt idx="5">
                  <c:v>4.5025869999999997E-3</c:v>
                </c:pt>
                <c:pt idx="6">
                  <c:v>4.4929831999999999E-3</c:v>
                </c:pt>
                <c:pt idx="7">
                  <c:v>4.4436053999999999E-3</c:v>
                </c:pt>
                <c:pt idx="8">
                  <c:v>4.4579891999999999E-3</c:v>
                </c:pt>
                <c:pt idx="9">
                  <c:v>4.3609002999999997E-3</c:v>
                </c:pt>
                <c:pt idx="10">
                  <c:v>4.7143586000000003E-3</c:v>
                </c:pt>
                <c:pt idx="11">
                  <c:v>4.7101234000000002E-3</c:v>
                </c:pt>
                <c:pt idx="12">
                  <c:v>4.6982858000000002E-3</c:v>
                </c:pt>
                <c:pt idx="13">
                  <c:v>4.6214628999999997E-3</c:v>
                </c:pt>
                <c:pt idx="14">
                  <c:v>4.5779287E-3</c:v>
                </c:pt>
                <c:pt idx="15">
                  <c:v>4.5365281000000002E-3</c:v>
                </c:pt>
                <c:pt idx="16">
                  <c:v>4.4870982000000002E-3</c:v>
                </c:pt>
                <c:pt idx="17">
                  <c:v>4.5755552000000003E-3</c:v>
                </c:pt>
                <c:pt idx="18">
                  <c:v>4.7567342000000004E-3</c:v>
                </c:pt>
                <c:pt idx="19">
                  <c:v>4.7915746E-3</c:v>
                </c:pt>
              </c:numCache>
            </c:numRef>
          </c:yVal>
          <c:smooth val="1"/>
        </c:ser>
        <c:axId val="90446464"/>
        <c:axId val="90452736"/>
      </c:scatterChart>
      <c:valAx>
        <c:axId val="9044646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52736"/>
        <c:crosses val="autoZero"/>
        <c:crossBetween val="midCat"/>
      </c:valAx>
      <c:valAx>
        <c:axId val="90452736"/>
        <c:scaling>
          <c:orientation val="minMax"/>
        </c:scaling>
        <c:axPos val="l"/>
        <c:numFmt formatCode="General" sourceLinked="1"/>
        <c:tickLblPos val="nextTo"/>
        <c:crossAx val="90446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AA_T_pho_ty!$A$3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AA_T_pho_ty!$B$3:$U$3</c:f>
              <c:numCache>
                <c:formatCode>General</c:formatCode>
                <c:ptCount val="20"/>
                <c:pt idx="0">
                  <c:v>-7.6740740000000001</c:v>
                </c:pt>
                <c:pt idx="1">
                  <c:v>-4.970173</c:v>
                </c:pt>
                <c:pt idx="2">
                  <c:v>-2.8388909999999998</c:v>
                </c:pt>
                <c:pt idx="3">
                  <c:v>-1.900722</c:v>
                </c:pt>
                <c:pt idx="4">
                  <c:v>-1.386231</c:v>
                </c:pt>
                <c:pt idx="5">
                  <c:v>-0.992228</c:v>
                </c:pt>
                <c:pt idx="6">
                  <c:v>-0.85507069999999996</c:v>
                </c:pt>
                <c:pt idx="7">
                  <c:v>-0.67695190000000005</c:v>
                </c:pt>
                <c:pt idx="8">
                  <c:v>-0.57853659999999996</c:v>
                </c:pt>
                <c:pt idx="9">
                  <c:v>-0.51239259999999998</c:v>
                </c:pt>
                <c:pt idx="10">
                  <c:v>-0.46351979999999998</c:v>
                </c:pt>
                <c:pt idx="11">
                  <c:v>-0.42377480000000001</c:v>
                </c:pt>
                <c:pt idx="12">
                  <c:v>-0.39338420000000002</c:v>
                </c:pt>
                <c:pt idx="13">
                  <c:v>-0.3375978</c:v>
                </c:pt>
                <c:pt idx="14">
                  <c:v>-0.3109132</c:v>
                </c:pt>
                <c:pt idx="15">
                  <c:v>-0.26566669999999998</c:v>
                </c:pt>
                <c:pt idx="16">
                  <c:v>-0.2401867</c:v>
                </c:pt>
                <c:pt idx="17">
                  <c:v>-0.21613650000000001</c:v>
                </c:pt>
                <c:pt idx="18">
                  <c:v>-0.21406739999999999</c:v>
                </c:pt>
                <c:pt idx="19">
                  <c:v>-0.19960749999999999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AA_T_pho_ty!$A$4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AA_T_pho_ty!$B$4:$U$4</c:f>
              <c:numCache>
                <c:formatCode>General</c:formatCode>
                <c:ptCount val="20"/>
                <c:pt idx="0">
                  <c:v>-8.5542409999999993</c:v>
                </c:pt>
                <c:pt idx="1">
                  <c:v>-5.2688740000000003</c:v>
                </c:pt>
                <c:pt idx="2">
                  <c:v>-2.7413180000000001</c:v>
                </c:pt>
                <c:pt idx="3">
                  <c:v>-1.77464</c:v>
                </c:pt>
                <c:pt idx="4">
                  <c:v>-1.3732610000000001</c:v>
                </c:pt>
                <c:pt idx="5">
                  <c:v>-1.0216339999999999</c:v>
                </c:pt>
                <c:pt idx="6">
                  <c:v>-0.8954723</c:v>
                </c:pt>
                <c:pt idx="7">
                  <c:v>-0.80309439999999999</c:v>
                </c:pt>
                <c:pt idx="8">
                  <c:v>-0.70069680000000001</c:v>
                </c:pt>
                <c:pt idx="9">
                  <c:v>-0.62498330000000002</c:v>
                </c:pt>
                <c:pt idx="10">
                  <c:v>-0.60668619999999995</c:v>
                </c:pt>
                <c:pt idx="11">
                  <c:v>-0.55656969999999995</c:v>
                </c:pt>
                <c:pt idx="12">
                  <c:v>-0.49908819999999998</c:v>
                </c:pt>
                <c:pt idx="13">
                  <c:v>-0.473686</c:v>
                </c:pt>
                <c:pt idx="14">
                  <c:v>-0.434083</c:v>
                </c:pt>
                <c:pt idx="15">
                  <c:v>-0.40134399999999998</c:v>
                </c:pt>
                <c:pt idx="16">
                  <c:v>-0.3700331</c:v>
                </c:pt>
                <c:pt idx="17">
                  <c:v>-0.35842170000000001</c:v>
                </c:pt>
                <c:pt idx="18">
                  <c:v>-0.33513140000000002</c:v>
                </c:pt>
                <c:pt idx="19">
                  <c:v>-0.32138539999999999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AA_T_pho_ty!$A$5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AA_T_pho_ty!$B$5:$U$5</c:f>
              <c:numCache>
                <c:formatCode>General</c:formatCode>
                <c:ptCount val="20"/>
                <c:pt idx="0">
                  <c:v>-10.229570000000001</c:v>
                </c:pt>
                <c:pt idx="1">
                  <c:v>-5.2769440000000003</c:v>
                </c:pt>
                <c:pt idx="2">
                  <c:v>-2.6482459999999999</c:v>
                </c:pt>
                <c:pt idx="3">
                  <c:v>-1.592374</c:v>
                </c:pt>
                <c:pt idx="4">
                  <c:v>-1.1451</c:v>
                </c:pt>
                <c:pt idx="5">
                  <c:v>-0.86367799999999995</c:v>
                </c:pt>
                <c:pt idx="6">
                  <c:v>-0.68605559999999999</c:v>
                </c:pt>
                <c:pt idx="7">
                  <c:v>-0.55242829999999998</c:v>
                </c:pt>
                <c:pt idx="8">
                  <c:v>-0.4681633</c:v>
                </c:pt>
                <c:pt idx="9">
                  <c:v>-0.41558820000000002</c:v>
                </c:pt>
                <c:pt idx="10">
                  <c:v>-0.39231909999999998</c:v>
                </c:pt>
                <c:pt idx="11">
                  <c:v>-0.36191590000000001</c:v>
                </c:pt>
                <c:pt idx="12">
                  <c:v>-0.333119</c:v>
                </c:pt>
                <c:pt idx="13">
                  <c:v>-0.3008342</c:v>
                </c:pt>
                <c:pt idx="14">
                  <c:v>-0.27093739999999999</c:v>
                </c:pt>
                <c:pt idx="15">
                  <c:v>-0.2280047</c:v>
                </c:pt>
                <c:pt idx="16">
                  <c:v>-0.21357000000000001</c:v>
                </c:pt>
                <c:pt idx="17">
                  <c:v>-0.1997524</c:v>
                </c:pt>
                <c:pt idx="18">
                  <c:v>-0.1909517</c:v>
                </c:pt>
                <c:pt idx="19">
                  <c:v>-0.18305189999999999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AA_T_pho_ty!$A$6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AA_T_pho_ty!$B$6:$U$6</c:f>
              <c:numCache>
                <c:formatCode>General</c:formatCode>
                <c:ptCount val="20"/>
                <c:pt idx="0">
                  <c:v>-4.8081459999999998</c:v>
                </c:pt>
                <c:pt idx="1">
                  <c:v>-1.8264400000000001</c:v>
                </c:pt>
                <c:pt idx="2">
                  <c:v>-0.96390589999999998</c:v>
                </c:pt>
                <c:pt idx="3">
                  <c:v>-0.54927210000000004</c:v>
                </c:pt>
                <c:pt idx="4">
                  <c:v>-0.35114269999999997</c:v>
                </c:pt>
                <c:pt idx="5">
                  <c:v>-0.25365110000000002</c:v>
                </c:pt>
                <c:pt idx="6">
                  <c:v>-0.1987083</c:v>
                </c:pt>
                <c:pt idx="7">
                  <c:v>-0.15541769999999999</c:v>
                </c:pt>
                <c:pt idx="8">
                  <c:v>-0.13152710000000001</c:v>
                </c:pt>
                <c:pt idx="9">
                  <c:v>-0.113992</c:v>
                </c:pt>
                <c:pt idx="10">
                  <c:v>-9.3808152000000006E-2</c:v>
                </c:pt>
                <c:pt idx="11">
                  <c:v>-7.5790233999999998E-2</c:v>
                </c:pt>
                <c:pt idx="12">
                  <c:v>-7.5444676000000002E-2</c:v>
                </c:pt>
                <c:pt idx="13">
                  <c:v>-6.4806558E-2</c:v>
                </c:pt>
                <c:pt idx="14">
                  <c:v>-5.1837902999999998E-2</c:v>
                </c:pt>
                <c:pt idx="15">
                  <c:v>-4.8350964000000003E-2</c:v>
                </c:pt>
                <c:pt idx="16">
                  <c:v>-4.350118E-2</c:v>
                </c:pt>
                <c:pt idx="17">
                  <c:v>-4.0495370000000003E-2</c:v>
                </c:pt>
                <c:pt idx="18">
                  <c:v>-3.2801878E-2</c:v>
                </c:pt>
                <c:pt idx="19">
                  <c:v>-2.8781919E-2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AA_T_pho_ty!$A$7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AA_T_pho_ty!$B$7:$U$7</c:f>
              <c:numCache>
                <c:formatCode>General</c:formatCode>
                <c:ptCount val="20"/>
                <c:pt idx="0">
                  <c:v>-4.2371280000000002</c:v>
                </c:pt>
                <c:pt idx="1">
                  <c:v>-1.6627350000000001</c:v>
                </c:pt>
                <c:pt idx="2">
                  <c:v>-0.81483680000000003</c:v>
                </c:pt>
                <c:pt idx="3">
                  <c:v>-0.45486919999999997</c:v>
                </c:pt>
                <c:pt idx="4">
                  <c:v>-0.26992280000000002</c:v>
                </c:pt>
                <c:pt idx="5">
                  <c:v>-0.18733549999999999</c:v>
                </c:pt>
                <c:pt idx="6">
                  <c:v>-0.1451945</c:v>
                </c:pt>
                <c:pt idx="7">
                  <c:v>-0.1105265</c:v>
                </c:pt>
                <c:pt idx="8">
                  <c:v>-9.6769616000000003E-2</c:v>
                </c:pt>
                <c:pt idx="9">
                  <c:v>-7.0003904000000006E-2</c:v>
                </c:pt>
                <c:pt idx="10">
                  <c:v>-6.1026148000000002E-2</c:v>
                </c:pt>
                <c:pt idx="11">
                  <c:v>-5.0675176000000002E-2</c:v>
                </c:pt>
                <c:pt idx="12">
                  <c:v>-3.8665987999999998E-2</c:v>
                </c:pt>
                <c:pt idx="13">
                  <c:v>-3.6754921000000003E-2</c:v>
                </c:pt>
                <c:pt idx="14">
                  <c:v>-3.6077960999999999E-2</c:v>
                </c:pt>
                <c:pt idx="15">
                  <c:v>-3.2710577999999997E-2</c:v>
                </c:pt>
                <c:pt idx="16">
                  <c:v>-3.0337419000000001E-2</c:v>
                </c:pt>
                <c:pt idx="17">
                  <c:v>-2.7135352000000001E-2</c:v>
                </c:pt>
                <c:pt idx="18">
                  <c:v>-2.7462535999999999E-2</c:v>
                </c:pt>
                <c:pt idx="19">
                  <c:v>-2.7423484000000001E-2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AA_T_pho_ty!$A$8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AA_T_pho_ty!$B$8:$U$8</c:f>
              <c:numCache>
                <c:formatCode>General</c:formatCode>
                <c:ptCount val="20"/>
                <c:pt idx="0">
                  <c:v>-4.3697280000000003</c:v>
                </c:pt>
                <c:pt idx="1">
                  <c:v>-1.7678640000000001</c:v>
                </c:pt>
                <c:pt idx="2">
                  <c:v>-0.80517649999999996</c:v>
                </c:pt>
                <c:pt idx="3">
                  <c:v>-0.4229193</c:v>
                </c:pt>
                <c:pt idx="4">
                  <c:v>-0.28028039999999999</c:v>
                </c:pt>
                <c:pt idx="5">
                  <c:v>-0.1920693</c:v>
                </c:pt>
                <c:pt idx="6">
                  <c:v>-0.15964929999999999</c:v>
                </c:pt>
                <c:pt idx="7">
                  <c:v>-0.1178077</c:v>
                </c:pt>
                <c:pt idx="8">
                  <c:v>-9.8152265000000002E-2</c:v>
                </c:pt>
                <c:pt idx="9">
                  <c:v>-8.4456310000000007E-2</c:v>
                </c:pt>
                <c:pt idx="10">
                  <c:v>-5.9275776000000002E-2</c:v>
                </c:pt>
                <c:pt idx="11">
                  <c:v>-5.6604030999999999E-2</c:v>
                </c:pt>
                <c:pt idx="12">
                  <c:v>-5.2549839000000001E-2</c:v>
                </c:pt>
                <c:pt idx="13">
                  <c:v>-4.5226033999999998E-2</c:v>
                </c:pt>
                <c:pt idx="14">
                  <c:v>-3.9741806999999997E-2</c:v>
                </c:pt>
                <c:pt idx="15">
                  <c:v>-2.6509075999999999E-2</c:v>
                </c:pt>
                <c:pt idx="16">
                  <c:v>-2.6069920999999999E-2</c:v>
                </c:pt>
                <c:pt idx="17">
                  <c:v>-2.6638829999999999E-2</c:v>
                </c:pt>
                <c:pt idx="18">
                  <c:v>-2.7341673E-2</c:v>
                </c:pt>
                <c:pt idx="19">
                  <c:v>-2.7304225000000001E-2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AA_T_pho_ty!$A$9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AA_T_pho_ty!$B$9:$U$9</c:f>
              <c:numCache>
                <c:formatCode>General</c:formatCode>
                <c:ptCount val="20"/>
                <c:pt idx="0">
                  <c:v>-4.2247300000000001</c:v>
                </c:pt>
                <c:pt idx="1">
                  <c:v>-1.6720269999999999</c:v>
                </c:pt>
                <c:pt idx="2">
                  <c:v>-0.75593129999999997</c:v>
                </c:pt>
                <c:pt idx="3">
                  <c:v>-0.42099019999999998</c:v>
                </c:pt>
                <c:pt idx="4">
                  <c:v>-0.28154210000000002</c:v>
                </c:pt>
                <c:pt idx="5">
                  <c:v>-0.19968040000000001</c:v>
                </c:pt>
                <c:pt idx="6">
                  <c:v>-0.14312800000000001</c:v>
                </c:pt>
                <c:pt idx="7">
                  <c:v>-0.1147991</c:v>
                </c:pt>
                <c:pt idx="8">
                  <c:v>-0.1023911</c:v>
                </c:pt>
                <c:pt idx="9">
                  <c:v>-8.1088513000000001E-2</c:v>
                </c:pt>
                <c:pt idx="10">
                  <c:v>-6.6690288E-2</c:v>
                </c:pt>
                <c:pt idx="11">
                  <c:v>-6.2474735000000003E-2</c:v>
                </c:pt>
                <c:pt idx="12">
                  <c:v>-6.1158706E-2</c:v>
                </c:pt>
                <c:pt idx="13">
                  <c:v>-6.0661472000000001E-2</c:v>
                </c:pt>
                <c:pt idx="14">
                  <c:v>-5.6179660999999999E-2</c:v>
                </c:pt>
                <c:pt idx="15">
                  <c:v>-5.1092822000000003E-2</c:v>
                </c:pt>
                <c:pt idx="16">
                  <c:v>-4.4640061000000002E-2</c:v>
                </c:pt>
                <c:pt idx="17">
                  <c:v>-4.1196878999999999E-2</c:v>
                </c:pt>
                <c:pt idx="18">
                  <c:v>-3.7538394000000003E-2</c:v>
                </c:pt>
                <c:pt idx="19">
                  <c:v>-3.7512891E-2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AA_T_pho_ty!$A$10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AA_T_pho_ty!$B$10:$U$10</c:f>
              <c:numCache>
                <c:formatCode>General</c:formatCode>
                <c:ptCount val="20"/>
                <c:pt idx="0">
                  <c:v>-6.3687019999999999</c:v>
                </c:pt>
                <c:pt idx="1">
                  <c:v>-2.482459</c:v>
                </c:pt>
                <c:pt idx="2">
                  <c:v>-1.157335</c:v>
                </c:pt>
                <c:pt idx="3">
                  <c:v>-0.59183529999999995</c:v>
                </c:pt>
                <c:pt idx="4">
                  <c:v>-0.3900979</c:v>
                </c:pt>
                <c:pt idx="5">
                  <c:v>-0.25607249999999998</c:v>
                </c:pt>
                <c:pt idx="6">
                  <c:v>-0.2028469</c:v>
                </c:pt>
                <c:pt idx="7">
                  <c:v>-0.1582605</c:v>
                </c:pt>
                <c:pt idx="8">
                  <c:v>-0.13253039999999999</c:v>
                </c:pt>
                <c:pt idx="9">
                  <c:v>-0.10712140000000001</c:v>
                </c:pt>
                <c:pt idx="10">
                  <c:v>-0.1001537</c:v>
                </c:pt>
                <c:pt idx="11">
                  <c:v>-8.7078817000000003E-2</c:v>
                </c:pt>
                <c:pt idx="12">
                  <c:v>-8.0620490000000003E-2</c:v>
                </c:pt>
                <c:pt idx="13">
                  <c:v>-7.2751649000000002E-2</c:v>
                </c:pt>
                <c:pt idx="14">
                  <c:v>-6.4011319999999997E-2</c:v>
                </c:pt>
                <c:pt idx="15">
                  <c:v>-5.9253659E-2</c:v>
                </c:pt>
                <c:pt idx="16">
                  <c:v>-5.1828645E-2</c:v>
                </c:pt>
                <c:pt idx="17">
                  <c:v>-4.4779344999999998E-2</c:v>
                </c:pt>
                <c:pt idx="18">
                  <c:v>-4.5122097999999999E-2</c:v>
                </c:pt>
                <c:pt idx="19">
                  <c:v>-3.3604889999999998E-2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AA_T_pho_ty!$A$11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AA_T_pho_ty!$B$11:$U$11</c:f>
              <c:numCache>
                <c:formatCode>General</c:formatCode>
                <c:ptCount val="20"/>
                <c:pt idx="0">
                  <c:v>-6.7161759999999999</c:v>
                </c:pt>
                <c:pt idx="1">
                  <c:v>-2.6682079999999999</c:v>
                </c:pt>
                <c:pt idx="2">
                  <c:v>-1.246896</c:v>
                </c:pt>
                <c:pt idx="3">
                  <c:v>-0.67973859999999997</c:v>
                </c:pt>
                <c:pt idx="4">
                  <c:v>-0.45962779999999998</c:v>
                </c:pt>
                <c:pt idx="5">
                  <c:v>-0.29934719999999998</c:v>
                </c:pt>
                <c:pt idx="6">
                  <c:v>-0.22526189999999999</c:v>
                </c:pt>
                <c:pt idx="7">
                  <c:v>-0.16228380000000001</c:v>
                </c:pt>
                <c:pt idx="8">
                  <c:v>-0.1233979</c:v>
                </c:pt>
                <c:pt idx="9">
                  <c:v>-0.1040845</c:v>
                </c:pt>
                <c:pt idx="10">
                  <c:v>-5.6271516000000001E-2</c:v>
                </c:pt>
                <c:pt idx="11">
                  <c:v>-4.2067654000000003E-2</c:v>
                </c:pt>
                <c:pt idx="12">
                  <c:v>-3.4524783000000003E-2</c:v>
                </c:pt>
                <c:pt idx="13">
                  <c:v>-2.3188866999999998E-2</c:v>
                </c:pt>
                <c:pt idx="14">
                  <c:v>-2.2896446000000001E-2</c:v>
                </c:pt>
                <c:pt idx="15">
                  <c:v>-2.1526475E-2</c:v>
                </c:pt>
                <c:pt idx="16">
                  <c:v>-1.9429021000000001E-2</c:v>
                </c:pt>
                <c:pt idx="17">
                  <c:v>-1.8059023E-2</c:v>
                </c:pt>
                <c:pt idx="18">
                  <c:v>-1.6655447E-2</c:v>
                </c:pt>
                <c:pt idx="19">
                  <c:v>-1.6647181E-2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AA_T_pho_ty!$A$12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AA_T_pho_ty!$B$12:$U$12</c:f>
              <c:numCache>
                <c:formatCode>General</c:formatCode>
                <c:ptCount val="20"/>
                <c:pt idx="0">
                  <c:v>-2.2170999999999998</c:v>
                </c:pt>
                <c:pt idx="1">
                  <c:v>-0.95872659999999998</c:v>
                </c:pt>
                <c:pt idx="2">
                  <c:v>-0.447459</c:v>
                </c:pt>
                <c:pt idx="3">
                  <c:v>-0.25815579999999999</c:v>
                </c:pt>
                <c:pt idx="4">
                  <c:v>-0.1934939</c:v>
                </c:pt>
                <c:pt idx="5">
                  <c:v>-0.1331784</c:v>
                </c:pt>
                <c:pt idx="6">
                  <c:v>-0.1061691</c:v>
                </c:pt>
                <c:pt idx="7">
                  <c:v>-9.4717896999999995E-2</c:v>
                </c:pt>
                <c:pt idx="8">
                  <c:v>-8.6322173000000002E-2</c:v>
                </c:pt>
                <c:pt idx="9">
                  <c:v>-7.7830664999999993E-2</c:v>
                </c:pt>
                <c:pt idx="10">
                  <c:v>-7.2704672999999997E-2</c:v>
                </c:pt>
                <c:pt idx="11">
                  <c:v>-5.8527390999999998E-2</c:v>
                </c:pt>
                <c:pt idx="12">
                  <c:v>-5.3180973999999999E-2</c:v>
                </c:pt>
                <c:pt idx="13">
                  <c:v>-4.8963792999999999E-2</c:v>
                </c:pt>
                <c:pt idx="14">
                  <c:v>-4.3779492000000003E-2</c:v>
                </c:pt>
                <c:pt idx="15">
                  <c:v>-4.1233829999999999E-2</c:v>
                </c:pt>
                <c:pt idx="16">
                  <c:v>-4.1097890999999998E-2</c:v>
                </c:pt>
                <c:pt idx="17">
                  <c:v>-3.6488552E-2</c:v>
                </c:pt>
                <c:pt idx="18">
                  <c:v>-3.4345346999999998E-2</c:v>
                </c:pt>
                <c:pt idx="19">
                  <c:v>-2.9625815999999999E-2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AA_T_pho_ty!$A$13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AA_T_pho_ty!$B$13:$U$13</c:f>
              <c:numCache>
                <c:formatCode>General</c:formatCode>
                <c:ptCount val="20"/>
                <c:pt idx="0">
                  <c:v>-2.2611910000000002</c:v>
                </c:pt>
                <c:pt idx="1">
                  <c:v>-0.87989309999999998</c:v>
                </c:pt>
                <c:pt idx="2">
                  <c:v>-0.4534376</c:v>
                </c:pt>
                <c:pt idx="3">
                  <c:v>-0.2556966</c:v>
                </c:pt>
                <c:pt idx="4">
                  <c:v>-0.18746889999999999</c:v>
                </c:pt>
                <c:pt idx="5">
                  <c:v>-0.14431040000000001</c:v>
                </c:pt>
                <c:pt idx="6">
                  <c:v>-0.1138974</c:v>
                </c:pt>
                <c:pt idx="7">
                  <c:v>-9.3059212000000002E-2</c:v>
                </c:pt>
                <c:pt idx="8">
                  <c:v>-7.9765274999999997E-2</c:v>
                </c:pt>
                <c:pt idx="9">
                  <c:v>-6.7721068999999995E-2</c:v>
                </c:pt>
                <c:pt idx="10">
                  <c:v>-6.5139725999999995E-2</c:v>
                </c:pt>
                <c:pt idx="11">
                  <c:v>-6.1873797000000001E-2</c:v>
                </c:pt>
                <c:pt idx="12">
                  <c:v>-5.48224E-2</c:v>
                </c:pt>
                <c:pt idx="13">
                  <c:v>-4.5866061E-2</c:v>
                </c:pt>
                <c:pt idx="14">
                  <c:v>-4.5511000000000003E-2</c:v>
                </c:pt>
                <c:pt idx="15">
                  <c:v>-4.4656675E-2</c:v>
                </c:pt>
                <c:pt idx="16">
                  <c:v>-4.2797897000000001E-2</c:v>
                </c:pt>
                <c:pt idx="17">
                  <c:v>-3.7930618999999999E-2</c:v>
                </c:pt>
                <c:pt idx="18">
                  <c:v>-3.4517605E-2</c:v>
                </c:pt>
                <c:pt idx="19">
                  <c:v>-3.4470167000000003E-2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AA_T_pho_ty!$A$14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AA_T_pho_ty!$B$14:$U$14</c:f>
              <c:numCache>
                <c:formatCode>General</c:formatCode>
                <c:ptCount val="20"/>
                <c:pt idx="0">
                  <c:v>-2.0819480000000001</c:v>
                </c:pt>
                <c:pt idx="1">
                  <c:v>-0.82046479999999999</c:v>
                </c:pt>
                <c:pt idx="2">
                  <c:v>-0.38299929999999999</c:v>
                </c:pt>
                <c:pt idx="3">
                  <c:v>-0.21660869999999999</c:v>
                </c:pt>
                <c:pt idx="4">
                  <c:v>-0.1465216</c:v>
                </c:pt>
                <c:pt idx="5">
                  <c:v>-0.1137326</c:v>
                </c:pt>
                <c:pt idx="6">
                  <c:v>-9.2556894000000001E-2</c:v>
                </c:pt>
                <c:pt idx="7">
                  <c:v>-7.4829958000000002E-2</c:v>
                </c:pt>
                <c:pt idx="8">
                  <c:v>-6.6747113999999996E-2</c:v>
                </c:pt>
                <c:pt idx="9">
                  <c:v>-5.7241671000000001E-2</c:v>
                </c:pt>
                <c:pt idx="10">
                  <c:v>-4.9662378E-2</c:v>
                </c:pt>
                <c:pt idx="11">
                  <c:v>-3.5898499E-2</c:v>
                </c:pt>
                <c:pt idx="12">
                  <c:v>-3.3373814000000002E-2</c:v>
                </c:pt>
                <c:pt idx="13">
                  <c:v>-3.1201047999999999E-2</c:v>
                </c:pt>
                <c:pt idx="14">
                  <c:v>-2.7681774999999999E-2</c:v>
                </c:pt>
                <c:pt idx="15">
                  <c:v>-2.6512902000000001E-2</c:v>
                </c:pt>
                <c:pt idx="16">
                  <c:v>-2.4746614E-2</c:v>
                </c:pt>
                <c:pt idx="17">
                  <c:v>-2.4904417000000002E-2</c:v>
                </c:pt>
                <c:pt idx="18">
                  <c:v>-2.4524280999999998E-2</c:v>
                </c:pt>
                <c:pt idx="19">
                  <c:v>-2.2938462E-2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AA_T_pho_ty!$A$15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AA_T_pho_ty!$B$15:$U$15</c:f>
              <c:numCache>
                <c:formatCode>General</c:formatCode>
                <c:ptCount val="20"/>
                <c:pt idx="0">
                  <c:v>-4.2261920000000002</c:v>
                </c:pt>
                <c:pt idx="1">
                  <c:v>-2.6298940000000002</c:v>
                </c:pt>
                <c:pt idx="2">
                  <c:v>-1.402355</c:v>
                </c:pt>
                <c:pt idx="3">
                  <c:v>-0.91109569999999995</c:v>
                </c:pt>
                <c:pt idx="4">
                  <c:v>-0.68636299999999995</c:v>
                </c:pt>
                <c:pt idx="5">
                  <c:v>-0.53562180000000004</c:v>
                </c:pt>
                <c:pt idx="6">
                  <c:v>-0.45710709999999999</c:v>
                </c:pt>
                <c:pt idx="7">
                  <c:v>-0.38882889999999998</c:v>
                </c:pt>
                <c:pt idx="8">
                  <c:v>-0.32668459999999999</c:v>
                </c:pt>
                <c:pt idx="9">
                  <c:v>-0.29667670000000002</c:v>
                </c:pt>
                <c:pt idx="10">
                  <c:v>-0.27304929999999999</c:v>
                </c:pt>
                <c:pt idx="11">
                  <c:v>-0.25190560000000001</c:v>
                </c:pt>
                <c:pt idx="12">
                  <c:v>-0.22185299999999999</c:v>
                </c:pt>
                <c:pt idx="13">
                  <c:v>-0.20219970000000001</c:v>
                </c:pt>
                <c:pt idx="14">
                  <c:v>-0.1740372</c:v>
                </c:pt>
                <c:pt idx="15">
                  <c:v>-0.15765979999999999</c:v>
                </c:pt>
                <c:pt idx="16">
                  <c:v>-0.14634759999999999</c:v>
                </c:pt>
                <c:pt idx="17">
                  <c:v>-0.1405689</c:v>
                </c:pt>
                <c:pt idx="18">
                  <c:v>-0.1369291</c:v>
                </c:pt>
                <c:pt idx="19">
                  <c:v>-0.135245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AA_T_pho_ty!$A$16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AA_T_pho_ty!$B$16:$U$16</c:f>
              <c:numCache>
                <c:formatCode>General</c:formatCode>
                <c:ptCount val="20"/>
                <c:pt idx="0">
                  <c:v>-12.938040000000001</c:v>
                </c:pt>
                <c:pt idx="1">
                  <c:v>-4.8412680000000003</c:v>
                </c:pt>
                <c:pt idx="2">
                  <c:v>-1.745547</c:v>
                </c:pt>
                <c:pt idx="3">
                  <c:v>-0.9252068</c:v>
                </c:pt>
                <c:pt idx="4">
                  <c:v>-0.58630199999999999</c:v>
                </c:pt>
                <c:pt idx="5">
                  <c:v>-0.39914719999999998</c:v>
                </c:pt>
                <c:pt idx="6">
                  <c:v>-0.30762840000000002</c:v>
                </c:pt>
                <c:pt idx="7">
                  <c:v>-0.2440861</c:v>
                </c:pt>
                <c:pt idx="8">
                  <c:v>-0.2137858</c:v>
                </c:pt>
                <c:pt idx="9">
                  <c:v>-0.17817479999999999</c:v>
                </c:pt>
                <c:pt idx="10">
                  <c:v>-0.1556767</c:v>
                </c:pt>
                <c:pt idx="11">
                  <c:v>-0.1354156</c:v>
                </c:pt>
                <c:pt idx="12">
                  <c:v>-0.1237283</c:v>
                </c:pt>
                <c:pt idx="13">
                  <c:v>-0.1110963</c:v>
                </c:pt>
                <c:pt idx="14">
                  <c:v>-9.7784087000000006E-2</c:v>
                </c:pt>
                <c:pt idx="15">
                  <c:v>-8.1674530999999995E-2</c:v>
                </c:pt>
                <c:pt idx="16">
                  <c:v>-7.2001167000000005E-2</c:v>
                </c:pt>
                <c:pt idx="17">
                  <c:v>-7.1627422999999996E-2</c:v>
                </c:pt>
                <c:pt idx="18">
                  <c:v>-6.9506362000000002E-2</c:v>
                </c:pt>
                <c:pt idx="19">
                  <c:v>-6.5899968000000003E-2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AA_T_pho_ty!$A$17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AA_T_pho_ty!$B$17:$U$17</c:f>
              <c:numCache>
                <c:formatCode>General</c:formatCode>
                <c:ptCount val="20"/>
                <c:pt idx="0">
                  <c:v>-13.858169999999999</c:v>
                </c:pt>
                <c:pt idx="1">
                  <c:v>-5.0495279999999996</c:v>
                </c:pt>
                <c:pt idx="2">
                  <c:v>-1.747884</c:v>
                </c:pt>
                <c:pt idx="3">
                  <c:v>-0.91775720000000005</c:v>
                </c:pt>
                <c:pt idx="4">
                  <c:v>-0.60884459999999996</c:v>
                </c:pt>
                <c:pt idx="5">
                  <c:v>-0.40855439999999998</c:v>
                </c:pt>
                <c:pt idx="6">
                  <c:v>-0.3279512</c:v>
                </c:pt>
                <c:pt idx="7">
                  <c:v>-0.27687899999999999</c:v>
                </c:pt>
                <c:pt idx="8">
                  <c:v>-0.21962770000000001</c:v>
                </c:pt>
                <c:pt idx="9">
                  <c:v>-0.20271549999999999</c:v>
                </c:pt>
                <c:pt idx="10">
                  <c:v>-0.1825601</c:v>
                </c:pt>
                <c:pt idx="11">
                  <c:v>-0.13792380000000001</c:v>
                </c:pt>
                <c:pt idx="12">
                  <c:v>-0.12424540000000001</c:v>
                </c:pt>
                <c:pt idx="13">
                  <c:v>-0.11786729999999999</c:v>
                </c:pt>
                <c:pt idx="14">
                  <c:v>-9.9303238000000002E-2</c:v>
                </c:pt>
                <c:pt idx="15">
                  <c:v>-9.8356320999999997E-2</c:v>
                </c:pt>
                <c:pt idx="16">
                  <c:v>-9.4864993999999994E-2</c:v>
                </c:pt>
                <c:pt idx="17">
                  <c:v>-8.9696138999999994E-2</c:v>
                </c:pt>
                <c:pt idx="18">
                  <c:v>-8.9246906000000001E-2</c:v>
                </c:pt>
                <c:pt idx="19">
                  <c:v>-8.7254070000000003E-2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AA_T_pho_ty!$A$18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AA_T_pho_ty!$B$18:$U$18</c:f>
              <c:numCache>
                <c:formatCode>General</c:formatCode>
                <c:ptCount val="20"/>
                <c:pt idx="0">
                  <c:v>-14.733000000000001</c:v>
                </c:pt>
                <c:pt idx="1">
                  <c:v>-5.7985449999999998</c:v>
                </c:pt>
                <c:pt idx="2">
                  <c:v>-2.1543730000000001</c:v>
                </c:pt>
                <c:pt idx="3">
                  <c:v>-1.1480649999999999</c:v>
                </c:pt>
                <c:pt idx="4">
                  <c:v>-0.79161150000000002</c:v>
                </c:pt>
                <c:pt idx="5">
                  <c:v>-0.56460869999999996</c:v>
                </c:pt>
                <c:pt idx="6">
                  <c:v>-0.44756479999999998</c:v>
                </c:pt>
                <c:pt idx="7">
                  <c:v>-0.35949589999999998</c:v>
                </c:pt>
                <c:pt idx="8">
                  <c:v>-0.33419700000000002</c:v>
                </c:pt>
                <c:pt idx="9">
                  <c:v>-0.29434650000000001</c:v>
                </c:pt>
                <c:pt idx="10">
                  <c:v>-0.25646219999999997</c:v>
                </c:pt>
                <c:pt idx="11">
                  <c:v>-0.22900209999999999</c:v>
                </c:pt>
                <c:pt idx="12">
                  <c:v>-0.20468720000000001</c:v>
                </c:pt>
                <c:pt idx="13">
                  <c:v>-0.17379610000000001</c:v>
                </c:pt>
                <c:pt idx="14">
                  <c:v>-0.15285609999999999</c:v>
                </c:pt>
                <c:pt idx="15">
                  <c:v>-0.12952759999999999</c:v>
                </c:pt>
                <c:pt idx="16">
                  <c:v>-0.12536749999999999</c:v>
                </c:pt>
                <c:pt idx="17">
                  <c:v>-0.1227298</c:v>
                </c:pt>
                <c:pt idx="18">
                  <c:v>-0.1236305</c:v>
                </c:pt>
                <c:pt idx="19">
                  <c:v>-0.1130896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AA_T_pho_ty!$A$19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AA_T_pho_ty!$B$19:$U$19</c:f>
              <c:numCache>
                <c:formatCode>General</c:formatCode>
                <c:ptCount val="20"/>
                <c:pt idx="0">
                  <c:v>-21.255700000000001</c:v>
                </c:pt>
                <c:pt idx="1">
                  <c:v>-10.32929</c:v>
                </c:pt>
                <c:pt idx="2">
                  <c:v>-3.9006859999999999</c:v>
                </c:pt>
                <c:pt idx="3">
                  <c:v>-2.036778</c:v>
                </c:pt>
                <c:pt idx="4">
                  <c:v>-1.265301</c:v>
                </c:pt>
                <c:pt idx="5">
                  <c:v>-0.82239379999999995</c:v>
                </c:pt>
                <c:pt idx="6">
                  <c:v>-0.6337931</c:v>
                </c:pt>
                <c:pt idx="7">
                  <c:v>-0.4917299</c:v>
                </c:pt>
                <c:pt idx="8">
                  <c:v>-0.38937129999999998</c:v>
                </c:pt>
                <c:pt idx="9">
                  <c:v>-0.32047690000000001</c:v>
                </c:pt>
                <c:pt idx="10">
                  <c:v>-0.28671869999999999</c:v>
                </c:pt>
                <c:pt idx="11">
                  <c:v>-0.25547239999999999</c:v>
                </c:pt>
                <c:pt idx="12">
                  <c:v>-0.20713799999999999</c:v>
                </c:pt>
                <c:pt idx="13">
                  <c:v>-0.18286469999999999</c:v>
                </c:pt>
                <c:pt idx="14">
                  <c:v>-0.16522690000000001</c:v>
                </c:pt>
                <c:pt idx="15">
                  <c:v>-0.14557709999999999</c:v>
                </c:pt>
                <c:pt idx="16">
                  <c:v>-0.13587920000000001</c:v>
                </c:pt>
                <c:pt idx="17">
                  <c:v>-0.1255674</c:v>
                </c:pt>
                <c:pt idx="18">
                  <c:v>-0.1170833</c:v>
                </c:pt>
                <c:pt idx="19">
                  <c:v>-0.11522110000000001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AA_T_pho_ty!$A$20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AA_T_pho_ty!$B$20:$U$20</c:f>
              <c:numCache>
                <c:formatCode>General</c:formatCode>
                <c:ptCount val="20"/>
                <c:pt idx="0">
                  <c:v>-20.455390000000001</c:v>
                </c:pt>
                <c:pt idx="1">
                  <c:v>-10.10633</c:v>
                </c:pt>
                <c:pt idx="2">
                  <c:v>-3.4618890000000002</c:v>
                </c:pt>
                <c:pt idx="3">
                  <c:v>-1.6866890000000001</c:v>
                </c:pt>
                <c:pt idx="4">
                  <c:v>-1.0435110000000001</c:v>
                </c:pt>
                <c:pt idx="5">
                  <c:v>-0.6055739</c:v>
                </c:pt>
                <c:pt idx="6">
                  <c:v>-0.49883119999999997</c:v>
                </c:pt>
                <c:pt idx="7">
                  <c:v>-0.40799839999999998</c:v>
                </c:pt>
                <c:pt idx="8">
                  <c:v>-0.31368869999999999</c:v>
                </c:pt>
                <c:pt idx="9">
                  <c:v>-0.26087660000000001</c:v>
                </c:pt>
                <c:pt idx="10">
                  <c:v>-0.25289030000000001</c:v>
                </c:pt>
                <c:pt idx="11">
                  <c:v>-0.2232297</c:v>
                </c:pt>
                <c:pt idx="12">
                  <c:v>-0.19980490000000001</c:v>
                </c:pt>
                <c:pt idx="13">
                  <c:v>-0.18044879999999999</c:v>
                </c:pt>
                <c:pt idx="14">
                  <c:v>-0.16676450000000001</c:v>
                </c:pt>
                <c:pt idx="15">
                  <c:v>-0.15539819999999999</c:v>
                </c:pt>
                <c:pt idx="16">
                  <c:v>-0.12570290000000001</c:v>
                </c:pt>
                <c:pt idx="17">
                  <c:v>-0.1234431</c:v>
                </c:pt>
                <c:pt idx="18">
                  <c:v>-0.1210084</c:v>
                </c:pt>
                <c:pt idx="19">
                  <c:v>-0.1154448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AA_T_pho_ty!$A$21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AA_T_pho_ty!$B$21:$U$21</c:f>
              <c:numCache>
                <c:formatCode>General</c:formatCode>
                <c:ptCount val="20"/>
                <c:pt idx="0">
                  <c:v>-20.759740000000001</c:v>
                </c:pt>
                <c:pt idx="1">
                  <c:v>-10.28342</c:v>
                </c:pt>
                <c:pt idx="2">
                  <c:v>-3.5688710000000001</c:v>
                </c:pt>
                <c:pt idx="3">
                  <c:v>-1.6877610000000001</c:v>
                </c:pt>
                <c:pt idx="4">
                  <c:v>-1.029563</c:v>
                </c:pt>
                <c:pt idx="5">
                  <c:v>-0.65205040000000003</c:v>
                </c:pt>
                <c:pt idx="6">
                  <c:v>-0.50719879999999995</c:v>
                </c:pt>
                <c:pt idx="7">
                  <c:v>-0.40766669999999999</c:v>
                </c:pt>
                <c:pt idx="8">
                  <c:v>-0.33774579999999998</c:v>
                </c:pt>
                <c:pt idx="9">
                  <c:v>-0.28397810000000001</c:v>
                </c:pt>
                <c:pt idx="10">
                  <c:v>-0.26904040000000001</c:v>
                </c:pt>
                <c:pt idx="11">
                  <c:v>-0.24157219999999999</c:v>
                </c:pt>
                <c:pt idx="12">
                  <c:v>-0.2016163</c:v>
                </c:pt>
                <c:pt idx="13">
                  <c:v>-0.18185770000000001</c:v>
                </c:pt>
                <c:pt idx="14">
                  <c:v>-0.17026849999999999</c:v>
                </c:pt>
                <c:pt idx="15">
                  <c:v>-0.15314030000000001</c:v>
                </c:pt>
                <c:pt idx="16">
                  <c:v>-0.13851459999999999</c:v>
                </c:pt>
                <c:pt idx="17">
                  <c:v>-0.1269412</c:v>
                </c:pt>
                <c:pt idx="18">
                  <c:v>-0.1183269</c:v>
                </c:pt>
                <c:pt idx="19">
                  <c:v>-0.11463379999999999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AA_T_pho_ty!$A$22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AA_T_pho_ty!$B$22:$U$22</c:f>
              <c:numCache>
                <c:formatCode>General</c:formatCode>
                <c:ptCount val="20"/>
                <c:pt idx="0">
                  <c:v>-19.66555</c:v>
                </c:pt>
                <c:pt idx="1">
                  <c:v>-9.5884129999999992</c:v>
                </c:pt>
                <c:pt idx="2">
                  <c:v>-3.3747159999999998</c:v>
                </c:pt>
                <c:pt idx="3">
                  <c:v>-1.672437</c:v>
                </c:pt>
                <c:pt idx="4">
                  <c:v>-1.0245740000000001</c:v>
                </c:pt>
                <c:pt idx="5">
                  <c:v>-0.65184059999999999</c:v>
                </c:pt>
                <c:pt idx="6">
                  <c:v>-0.48954760000000003</c:v>
                </c:pt>
                <c:pt idx="7">
                  <c:v>-0.37926779999999999</c:v>
                </c:pt>
                <c:pt idx="8">
                  <c:v>-0.29458079999999998</c:v>
                </c:pt>
                <c:pt idx="9">
                  <c:v>-0.2506543</c:v>
                </c:pt>
                <c:pt idx="10">
                  <c:v>-0.24718290000000001</c:v>
                </c:pt>
                <c:pt idx="11">
                  <c:v>-0.2296233</c:v>
                </c:pt>
                <c:pt idx="12">
                  <c:v>-0.2020391</c:v>
                </c:pt>
                <c:pt idx="13">
                  <c:v>-0.19195110000000001</c:v>
                </c:pt>
                <c:pt idx="14">
                  <c:v>-0.16952020000000001</c:v>
                </c:pt>
                <c:pt idx="15">
                  <c:v>-0.1506247</c:v>
                </c:pt>
                <c:pt idx="16">
                  <c:v>-0.1371945</c:v>
                </c:pt>
                <c:pt idx="17">
                  <c:v>-0.13053989999999999</c:v>
                </c:pt>
                <c:pt idx="18">
                  <c:v>-0.1286014</c:v>
                </c:pt>
                <c:pt idx="19">
                  <c:v>-0.1267441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AA_T_pho_ty!$A$23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AA_T_pho_ty!$B$23:$U$23</c:f>
              <c:numCache>
                <c:formatCode>General</c:formatCode>
                <c:ptCount val="20"/>
                <c:pt idx="0">
                  <c:v>-20.332830000000001</c:v>
                </c:pt>
                <c:pt idx="1">
                  <c:v>-10.10697</c:v>
                </c:pt>
                <c:pt idx="2">
                  <c:v>-3.462799</c:v>
                </c:pt>
                <c:pt idx="3">
                  <c:v>-1.6737379999999999</c:v>
                </c:pt>
                <c:pt idx="4">
                  <c:v>-0.99541610000000003</c:v>
                </c:pt>
                <c:pt idx="5">
                  <c:v>-0.62036049999999998</c:v>
                </c:pt>
                <c:pt idx="6">
                  <c:v>-0.50241440000000004</c:v>
                </c:pt>
                <c:pt idx="7">
                  <c:v>-0.3822816</c:v>
                </c:pt>
                <c:pt idx="8">
                  <c:v>-0.31148759999999998</c:v>
                </c:pt>
                <c:pt idx="9">
                  <c:v>-0.25236019999999998</c:v>
                </c:pt>
                <c:pt idx="10">
                  <c:v>-0.25221830000000001</c:v>
                </c:pt>
                <c:pt idx="11">
                  <c:v>-0.22490109999999999</c:v>
                </c:pt>
                <c:pt idx="12">
                  <c:v>-0.19447629999999999</c:v>
                </c:pt>
                <c:pt idx="13">
                  <c:v>-0.180344</c:v>
                </c:pt>
                <c:pt idx="14">
                  <c:v>-0.1704386</c:v>
                </c:pt>
                <c:pt idx="15">
                  <c:v>-0.1502455</c:v>
                </c:pt>
                <c:pt idx="16">
                  <c:v>-0.1332535</c:v>
                </c:pt>
                <c:pt idx="17">
                  <c:v>-0.13119990000000001</c:v>
                </c:pt>
                <c:pt idx="18">
                  <c:v>-0.1206851</c:v>
                </c:pt>
                <c:pt idx="19">
                  <c:v>-0.111272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AA_T_pho_ty!$A$24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AA_T_pho_ty!$B$24:$U$24</c:f>
              <c:numCache>
                <c:formatCode>General</c:formatCode>
                <c:ptCount val="20"/>
                <c:pt idx="0">
                  <c:v>-20.03171</c:v>
                </c:pt>
                <c:pt idx="1">
                  <c:v>-9.9358769999999996</c:v>
                </c:pt>
                <c:pt idx="2">
                  <c:v>-3.4995699999999998</c:v>
                </c:pt>
                <c:pt idx="3">
                  <c:v>-1.7884949999999999</c:v>
                </c:pt>
                <c:pt idx="4">
                  <c:v>-1.1074980000000001</c:v>
                </c:pt>
                <c:pt idx="5">
                  <c:v>-0.70822410000000002</c:v>
                </c:pt>
                <c:pt idx="6">
                  <c:v>-0.52412590000000003</c:v>
                </c:pt>
                <c:pt idx="7">
                  <c:v>-0.43174489999999999</c:v>
                </c:pt>
                <c:pt idx="8">
                  <c:v>-0.3369238</c:v>
                </c:pt>
                <c:pt idx="9">
                  <c:v>-0.28774660000000002</c:v>
                </c:pt>
                <c:pt idx="10">
                  <c:v>-0.26663150000000002</c:v>
                </c:pt>
                <c:pt idx="11">
                  <c:v>-0.2478245</c:v>
                </c:pt>
                <c:pt idx="12">
                  <c:v>-0.2083402</c:v>
                </c:pt>
                <c:pt idx="13">
                  <c:v>-0.1831219</c:v>
                </c:pt>
                <c:pt idx="14">
                  <c:v>-0.16549159999999999</c:v>
                </c:pt>
                <c:pt idx="15">
                  <c:v>-0.156338</c:v>
                </c:pt>
                <c:pt idx="16">
                  <c:v>-0.14062469999999999</c:v>
                </c:pt>
                <c:pt idx="17">
                  <c:v>-0.1387516</c:v>
                </c:pt>
                <c:pt idx="18">
                  <c:v>-0.1351879</c:v>
                </c:pt>
                <c:pt idx="19">
                  <c:v>-0.12614069999999999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AA_T_pho_ty!$A$25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AA_T_pho_ty!$B$25:$U$25</c:f>
              <c:numCache>
                <c:formatCode>General</c:formatCode>
                <c:ptCount val="20"/>
                <c:pt idx="0">
                  <c:v>-20.698329999999999</c:v>
                </c:pt>
                <c:pt idx="1">
                  <c:v>-10.4489</c:v>
                </c:pt>
                <c:pt idx="2">
                  <c:v>-3.697276</c:v>
                </c:pt>
                <c:pt idx="3">
                  <c:v>-1.777161</c:v>
                </c:pt>
                <c:pt idx="4">
                  <c:v>-1.114781</c:v>
                </c:pt>
                <c:pt idx="5">
                  <c:v>-0.71003019999999994</c:v>
                </c:pt>
                <c:pt idx="6">
                  <c:v>-0.53981939999999995</c:v>
                </c:pt>
                <c:pt idx="7">
                  <c:v>-0.43188799999999999</c:v>
                </c:pt>
                <c:pt idx="8">
                  <c:v>-0.33931080000000002</c:v>
                </c:pt>
                <c:pt idx="9">
                  <c:v>-0.27556920000000001</c:v>
                </c:pt>
                <c:pt idx="10">
                  <c:v>-0.24249799999999999</c:v>
                </c:pt>
                <c:pt idx="11">
                  <c:v>-0.22973150000000001</c:v>
                </c:pt>
                <c:pt idx="12">
                  <c:v>-0.17803620000000001</c:v>
                </c:pt>
                <c:pt idx="13">
                  <c:v>-0.16463559999999999</c:v>
                </c:pt>
                <c:pt idx="14">
                  <c:v>-0.1459512</c:v>
                </c:pt>
                <c:pt idx="15">
                  <c:v>-0.14314789999999999</c:v>
                </c:pt>
                <c:pt idx="16">
                  <c:v>-0.1343741</c:v>
                </c:pt>
                <c:pt idx="17">
                  <c:v>-0.12673899999999999</c:v>
                </c:pt>
                <c:pt idx="18">
                  <c:v>-0.122125</c:v>
                </c:pt>
                <c:pt idx="19">
                  <c:v>-0.1070538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AA_T_pho_ty!$A$26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AA_T_pho_ty!$B$26:$U$26</c:f>
              <c:numCache>
                <c:formatCode>General</c:formatCode>
                <c:ptCount val="20"/>
                <c:pt idx="0">
                  <c:v>-25.643840000000001</c:v>
                </c:pt>
                <c:pt idx="1">
                  <c:v>-9.0094550000000009</c:v>
                </c:pt>
                <c:pt idx="2">
                  <c:v>-2.7350650000000001</c:v>
                </c:pt>
                <c:pt idx="3">
                  <c:v>-1.3077209999999999</c:v>
                </c:pt>
                <c:pt idx="4">
                  <c:v>-0.72225649999999997</c:v>
                </c:pt>
                <c:pt idx="5">
                  <c:v>-0.44703730000000003</c:v>
                </c:pt>
                <c:pt idx="6">
                  <c:v>-0.33534629999999999</c:v>
                </c:pt>
                <c:pt idx="7">
                  <c:v>-0.22369639999999999</c:v>
                </c:pt>
                <c:pt idx="8">
                  <c:v>-0.2003289</c:v>
                </c:pt>
                <c:pt idx="9">
                  <c:v>-0.14907429999999999</c:v>
                </c:pt>
                <c:pt idx="10">
                  <c:v>-0.13457569999999999</c:v>
                </c:pt>
                <c:pt idx="11">
                  <c:v>-0.12143760000000001</c:v>
                </c:pt>
                <c:pt idx="12">
                  <c:v>-9.4238952000000001E-2</c:v>
                </c:pt>
                <c:pt idx="13">
                  <c:v>-8.7578959999999997E-2</c:v>
                </c:pt>
                <c:pt idx="14">
                  <c:v>-7.1319289999999994E-2</c:v>
                </c:pt>
                <c:pt idx="15">
                  <c:v>-7.0098855000000002E-2</c:v>
                </c:pt>
                <c:pt idx="16">
                  <c:v>-6.4513311000000004E-2</c:v>
                </c:pt>
                <c:pt idx="17">
                  <c:v>-5.8299068000000002E-2</c:v>
                </c:pt>
                <c:pt idx="18">
                  <c:v>-5.6542289000000003E-2</c:v>
                </c:pt>
                <c:pt idx="19">
                  <c:v>-5.2964836000000001E-2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AA_T_pho_ty!$A$27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AA_T_pho_ty!$B$27:$U$27</c:f>
              <c:numCache>
                <c:formatCode>General</c:formatCode>
                <c:ptCount val="20"/>
                <c:pt idx="0">
                  <c:v>-21.17202</c:v>
                </c:pt>
                <c:pt idx="1">
                  <c:v>-10.515000000000001</c:v>
                </c:pt>
                <c:pt idx="2">
                  <c:v>-3.7633770000000002</c:v>
                </c:pt>
                <c:pt idx="3">
                  <c:v>-1.9602390000000001</c:v>
                </c:pt>
                <c:pt idx="4">
                  <c:v>-1.2064379999999999</c:v>
                </c:pt>
                <c:pt idx="5">
                  <c:v>-0.79206259999999995</c:v>
                </c:pt>
                <c:pt idx="6">
                  <c:v>-0.61461849999999996</c:v>
                </c:pt>
                <c:pt idx="7">
                  <c:v>-0.47044530000000001</c:v>
                </c:pt>
                <c:pt idx="8">
                  <c:v>-0.4155895</c:v>
                </c:pt>
                <c:pt idx="9">
                  <c:v>-0.31841700000000001</c:v>
                </c:pt>
                <c:pt idx="10">
                  <c:v>-0.29629949999999999</c:v>
                </c:pt>
                <c:pt idx="11">
                  <c:v>-0.24769040000000001</c:v>
                </c:pt>
                <c:pt idx="12">
                  <c:v>-0.2088894</c:v>
                </c:pt>
                <c:pt idx="13">
                  <c:v>-0.1912962</c:v>
                </c:pt>
                <c:pt idx="14">
                  <c:v>-0.17769460000000001</c:v>
                </c:pt>
                <c:pt idx="15">
                  <c:v>-0.16986609999999999</c:v>
                </c:pt>
                <c:pt idx="16">
                  <c:v>-0.15991910000000001</c:v>
                </c:pt>
                <c:pt idx="17">
                  <c:v>-0.1347043</c:v>
                </c:pt>
                <c:pt idx="18">
                  <c:v>-0.13264780000000001</c:v>
                </c:pt>
                <c:pt idx="19">
                  <c:v>-0.1233496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AA_T_pho_ty!$A$28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AA_T_pho_ty!$B$28:$U$28</c:f>
              <c:numCache>
                <c:formatCode>General</c:formatCode>
                <c:ptCount val="20"/>
                <c:pt idx="0">
                  <c:v>-20.699950000000001</c:v>
                </c:pt>
                <c:pt idx="1">
                  <c:v>-10.47645</c:v>
                </c:pt>
                <c:pt idx="2">
                  <c:v>-3.7582230000000001</c:v>
                </c:pt>
                <c:pt idx="3">
                  <c:v>-1.9340980000000001</c:v>
                </c:pt>
                <c:pt idx="4">
                  <c:v>-1.1966300000000001</c:v>
                </c:pt>
                <c:pt idx="5">
                  <c:v>-0.7883945</c:v>
                </c:pt>
                <c:pt idx="6">
                  <c:v>-0.58440080000000005</c:v>
                </c:pt>
                <c:pt idx="7">
                  <c:v>-0.47616190000000003</c:v>
                </c:pt>
                <c:pt idx="8">
                  <c:v>-0.40568959999999998</c:v>
                </c:pt>
                <c:pt idx="9">
                  <c:v>-0.29828379999999999</c:v>
                </c:pt>
                <c:pt idx="10">
                  <c:v>-0.26290210000000003</c:v>
                </c:pt>
                <c:pt idx="11">
                  <c:v>-0.2264137</c:v>
                </c:pt>
                <c:pt idx="12">
                  <c:v>-0.1911052</c:v>
                </c:pt>
                <c:pt idx="13">
                  <c:v>-0.16636699999999999</c:v>
                </c:pt>
                <c:pt idx="14">
                  <c:v>-0.1491265</c:v>
                </c:pt>
                <c:pt idx="15">
                  <c:v>-0.1409107</c:v>
                </c:pt>
                <c:pt idx="16">
                  <c:v>-0.12996269999999999</c:v>
                </c:pt>
                <c:pt idx="17">
                  <c:v>-0.12558659999999999</c:v>
                </c:pt>
                <c:pt idx="18">
                  <c:v>-0.1271658</c:v>
                </c:pt>
                <c:pt idx="19">
                  <c:v>-0.1179572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AA_T_pho_ty!$A$29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AA_T_pho_ty!$B$29:$U$29</c:f>
              <c:numCache>
                <c:formatCode>General</c:formatCode>
                <c:ptCount val="20"/>
                <c:pt idx="0">
                  <c:v>-23.04091</c:v>
                </c:pt>
                <c:pt idx="1">
                  <c:v>-12.1236</c:v>
                </c:pt>
                <c:pt idx="2">
                  <c:v>-4.823207</c:v>
                </c:pt>
                <c:pt idx="3">
                  <c:v>-2.6499809999999999</c:v>
                </c:pt>
                <c:pt idx="4">
                  <c:v>-1.667362</c:v>
                </c:pt>
                <c:pt idx="5">
                  <c:v>-1.1907140000000001</c:v>
                </c:pt>
                <c:pt idx="6">
                  <c:v>-0.96666909999999995</c:v>
                </c:pt>
                <c:pt idx="7">
                  <c:v>-0.7515558</c:v>
                </c:pt>
                <c:pt idx="8">
                  <c:v>-0.61800189999999999</c:v>
                </c:pt>
                <c:pt idx="9">
                  <c:v>-0.51093599999999995</c:v>
                </c:pt>
                <c:pt idx="10">
                  <c:v>-0.41195599999999999</c:v>
                </c:pt>
                <c:pt idx="11">
                  <c:v>-0.34191250000000001</c:v>
                </c:pt>
                <c:pt idx="12">
                  <c:v>-0.30765330000000002</c:v>
                </c:pt>
                <c:pt idx="13">
                  <c:v>-0.27394869999999999</c:v>
                </c:pt>
                <c:pt idx="14">
                  <c:v>-0.25338529999999998</c:v>
                </c:pt>
                <c:pt idx="15">
                  <c:v>-0.23527129999999999</c:v>
                </c:pt>
                <c:pt idx="16">
                  <c:v>-0.19218650000000001</c:v>
                </c:pt>
                <c:pt idx="17">
                  <c:v>-0.17428440000000001</c:v>
                </c:pt>
                <c:pt idx="18">
                  <c:v>-0.1708018</c:v>
                </c:pt>
                <c:pt idx="19">
                  <c:v>-0.15342059999999999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AA_T_pho_ty!$A$30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AA_T_pho_ty!$B$30:$U$30</c:f>
              <c:numCache>
                <c:formatCode>General</c:formatCode>
                <c:ptCount val="20"/>
                <c:pt idx="0">
                  <c:v>-18.44265</c:v>
                </c:pt>
                <c:pt idx="1">
                  <c:v>-8.1259990000000002</c:v>
                </c:pt>
                <c:pt idx="2">
                  <c:v>-2.3523520000000002</c:v>
                </c:pt>
                <c:pt idx="3">
                  <c:v>-1.2567950000000001</c:v>
                </c:pt>
                <c:pt idx="4">
                  <c:v>-0.80136019999999997</c:v>
                </c:pt>
                <c:pt idx="5">
                  <c:v>-0.45993889999999998</c:v>
                </c:pt>
                <c:pt idx="6">
                  <c:v>-0.30983280000000002</c:v>
                </c:pt>
                <c:pt idx="7">
                  <c:v>-0.2315497</c:v>
                </c:pt>
                <c:pt idx="8">
                  <c:v>-0.18902450000000001</c:v>
                </c:pt>
                <c:pt idx="9">
                  <c:v>-0.14909430000000001</c:v>
                </c:pt>
                <c:pt idx="10">
                  <c:v>-0.14097799999999999</c:v>
                </c:pt>
                <c:pt idx="11">
                  <c:v>-0.12133679999999999</c:v>
                </c:pt>
                <c:pt idx="12">
                  <c:v>-0.1007464</c:v>
                </c:pt>
                <c:pt idx="13">
                  <c:v>-8.7398447000000004E-2</c:v>
                </c:pt>
                <c:pt idx="14">
                  <c:v>-8.0251977000000002E-2</c:v>
                </c:pt>
                <c:pt idx="15">
                  <c:v>-7.5815506000000005E-2</c:v>
                </c:pt>
                <c:pt idx="16">
                  <c:v>-7.3423944000000005E-2</c:v>
                </c:pt>
                <c:pt idx="17">
                  <c:v>-7.2156585999999995E-2</c:v>
                </c:pt>
                <c:pt idx="18">
                  <c:v>-6.7661412000000004E-2</c:v>
                </c:pt>
                <c:pt idx="19">
                  <c:v>-6.5744042000000003E-2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AA_T_pho_ty!$A$31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AA_T_pho_ty!$B$31:$U$31</c:f>
              <c:numCache>
                <c:formatCode>General</c:formatCode>
                <c:ptCount val="20"/>
                <c:pt idx="0">
                  <c:v>-23.274640000000002</c:v>
                </c:pt>
                <c:pt idx="1">
                  <c:v>-12.73963</c:v>
                </c:pt>
                <c:pt idx="2">
                  <c:v>-6.7716649999999996</c:v>
                </c:pt>
                <c:pt idx="3">
                  <c:v>-4.275328</c:v>
                </c:pt>
                <c:pt idx="4">
                  <c:v>-2.987311</c:v>
                </c:pt>
                <c:pt idx="5">
                  <c:v>-2.0787100000000001</c:v>
                </c:pt>
                <c:pt idx="6">
                  <c:v>-1.6958169999999999</c:v>
                </c:pt>
                <c:pt idx="7">
                  <c:v>-1.402549</c:v>
                </c:pt>
                <c:pt idx="8">
                  <c:v>-1.1763440000000001</c:v>
                </c:pt>
                <c:pt idx="9">
                  <c:v>-0.98809449999999999</c:v>
                </c:pt>
                <c:pt idx="10">
                  <c:v>-0.86709700000000001</c:v>
                </c:pt>
                <c:pt idx="11">
                  <c:v>-0.78114349999999999</c:v>
                </c:pt>
                <c:pt idx="12">
                  <c:v>-0.71911040000000004</c:v>
                </c:pt>
                <c:pt idx="13">
                  <c:v>-0.67821849999999995</c:v>
                </c:pt>
                <c:pt idx="14">
                  <c:v>-0.6217087</c:v>
                </c:pt>
                <c:pt idx="15">
                  <c:v>-0.55986170000000002</c:v>
                </c:pt>
                <c:pt idx="16">
                  <c:v>-0.49386950000000002</c:v>
                </c:pt>
                <c:pt idx="17">
                  <c:v>-0.46493580000000001</c:v>
                </c:pt>
                <c:pt idx="18">
                  <c:v>-0.43032700000000002</c:v>
                </c:pt>
                <c:pt idx="19">
                  <c:v>-0.41793170000000002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AA_T_pho_ty!$A$32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AA_T_pho_ty!$B$32:$U$32</c:f>
              <c:numCache>
                <c:formatCode>General</c:formatCode>
                <c:ptCount val="20"/>
                <c:pt idx="0">
                  <c:v>-22.189640000000001</c:v>
                </c:pt>
                <c:pt idx="1">
                  <c:v>-7.195735</c:v>
                </c:pt>
                <c:pt idx="2">
                  <c:v>-1.7408410000000001</c:v>
                </c:pt>
                <c:pt idx="3">
                  <c:v>-0.68001060000000002</c:v>
                </c:pt>
                <c:pt idx="4">
                  <c:v>-0.38628309999999999</c:v>
                </c:pt>
                <c:pt idx="5">
                  <c:v>-0.25147910000000001</c:v>
                </c:pt>
                <c:pt idx="6">
                  <c:v>-0.1666291</c:v>
                </c:pt>
                <c:pt idx="7">
                  <c:v>-0.1155957</c:v>
                </c:pt>
                <c:pt idx="8">
                  <c:v>-8.8365159999999998E-2</c:v>
                </c:pt>
                <c:pt idx="9">
                  <c:v>-5.9620474E-2</c:v>
                </c:pt>
                <c:pt idx="10">
                  <c:v>-4.5467808999999998E-2</c:v>
                </c:pt>
                <c:pt idx="11">
                  <c:v>-3.5808869E-2</c:v>
                </c:pt>
                <c:pt idx="12">
                  <c:v>-2.695084E-2</c:v>
                </c:pt>
                <c:pt idx="13">
                  <c:v>-2.4613607999999999E-2</c:v>
                </c:pt>
                <c:pt idx="14">
                  <c:v>-1.6256350999999999E-2</c:v>
                </c:pt>
                <c:pt idx="15">
                  <c:v>-1.6384721000000001E-2</c:v>
                </c:pt>
                <c:pt idx="16">
                  <c:v>-1.1407341999999999E-2</c:v>
                </c:pt>
                <c:pt idx="17">
                  <c:v>-1.1811334999999999E-2</c:v>
                </c:pt>
                <c:pt idx="18">
                  <c:v>-1.2367398E-2</c:v>
                </c:pt>
                <c:pt idx="19">
                  <c:v>-1.0610448999999999E-2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AA_T_pho_ty!$A$33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AA_T_pho_ty!$B$33:$U$33</c:f>
              <c:numCache>
                <c:formatCode>General</c:formatCode>
                <c:ptCount val="20"/>
                <c:pt idx="0">
                  <c:v>-20.29515</c:v>
                </c:pt>
                <c:pt idx="1">
                  <c:v>-5.9454190000000002</c:v>
                </c:pt>
                <c:pt idx="2">
                  <c:v>-1.725482</c:v>
                </c:pt>
                <c:pt idx="3">
                  <c:v>-0.72246600000000005</c:v>
                </c:pt>
                <c:pt idx="4">
                  <c:v>-0.47888120000000001</c:v>
                </c:pt>
                <c:pt idx="5">
                  <c:v>-0.3072954</c:v>
                </c:pt>
                <c:pt idx="6">
                  <c:v>-0.2075631</c:v>
                </c:pt>
                <c:pt idx="7">
                  <c:v>-0.13131380000000001</c:v>
                </c:pt>
                <c:pt idx="8">
                  <c:v>-9.8971389000000007E-2</c:v>
                </c:pt>
                <c:pt idx="9">
                  <c:v>-7.4098460000000005E-2</c:v>
                </c:pt>
                <c:pt idx="10">
                  <c:v>-6.8162687E-2</c:v>
                </c:pt>
                <c:pt idx="11">
                  <c:v>-5.4731204999999998E-2</c:v>
                </c:pt>
                <c:pt idx="12">
                  <c:v>-4.5394570000000002E-2</c:v>
                </c:pt>
                <c:pt idx="13">
                  <c:v>-3.8731056999999999E-2</c:v>
                </c:pt>
                <c:pt idx="14">
                  <c:v>-3.4923590999999997E-2</c:v>
                </c:pt>
                <c:pt idx="15">
                  <c:v>-2.6909494999999999E-2</c:v>
                </c:pt>
                <c:pt idx="16">
                  <c:v>-2.4659372999999998E-2</c:v>
                </c:pt>
                <c:pt idx="17">
                  <c:v>-2.5261663E-2</c:v>
                </c:pt>
                <c:pt idx="18">
                  <c:v>-2.5841837999999999E-2</c:v>
                </c:pt>
                <c:pt idx="19">
                  <c:v>-2.5825547000000001E-2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AA_T_pho_ty!$A$34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AA_T_pho_ty!$B$34:$U$34</c:f>
              <c:numCache>
                <c:formatCode>General</c:formatCode>
                <c:ptCount val="20"/>
                <c:pt idx="0">
                  <c:v>-20.358419999999999</c:v>
                </c:pt>
                <c:pt idx="1">
                  <c:v>-5.8181909999999997</c:v>
                </c:pt>
                <c:pt idx="2">
                  <c:v>-1.6630149999999999</c:v>
                </c:pt>
                <c:pt idx="3">
                  <c:v>-0.73423210000000005</c:v>
                </c:pt>
                <c:pt idx="4">
                  <c:v>-0.4568065</c:v>
                </c:pt>
                <c:pt idx="5">
                  <c:v>-0.28472920000000002</c:v>
                </c:pt>
                <c:pt idx="6">
                  <c:v>-0.20499909999999999</c:v>
                </c:pt>
                <c:pt idx="7">
                  <c:v>-0.13903270000000001</c:v>
                </c:pt>
                <c:pt idx="8">
                  <c:v>-9.8178819000000001E-2</c:v>
                </c:pt>
                <c:pt idx="9">
                  <c:v>-6.8842298999999996E-2</c:v>
                </c:pt>
                <c:pt idx="10">
                  <c:v>-4.5935847000000002E-2</c:v>
                </c:pt>
                <c:pt idx="11">
                  <c:v>-4.1416931999999997E-2</c:v>
                </c:pt>
                <c:pt idx="12">
                  <c:v>-3.2519020000000003E-2</c:v>
                </c:pt>
                <c:pt idx="13">
                  <c:v>-2.4891032E-2</c:v>
                </c:pt>
                <c:pt idx="14">
                  <c:v>-2.4483437E-2</c:v>
                </c:pt>
                <c:pt idx="15">
                  <c:v>-2.3095712000000001E-2</c:v>
                </c:pt>
                <c:pt idx="16">
                  <c:v>-2.1001611E-2</c:v>
                </c:pt>
                <c:pt idx="17">
                  <c:v>-1.7818870000000001E-2</c:v>
                </c:pt>
                <c:pt idx="18">
                  <c:v>-1.6575079E-2</c:v>
                </c:pt>
                <c:pt idx="19">
                  <c:v>-1.6575079E-2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AA_T_pho_ty!$A$35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AA_T_pho_ty!$B$35:$U$35</c:f>
              <c:numCache>
                <c:formatCode>General</c:formatCode>
                <c:ptCount val="20"/>
                <c:pt idx="0">
                  <c:v>-40.18535</c:v>
                </c:pt>
                <c:pt idx="1">
                  <c:v>-23.873850000000001</c:v>
                </c:pt>
                <c:pt idx="2">
                  <c:v>-13.103529999999999</c:v>
                </c:pt>
                <c:pt idx="3">
                  <c:v>-8.2629610000000007</c:v>
                </c:pt>
                <c:pt idx="4">
                  <c:v>-5.8608969999999996</c:v>
                </c:pt>
                <c:pt idx="5">
                  <c:v>-4.1936650000000002</c:v>
                </c:pt>
                <c:pt idx="6">
                  <c:v>-3.1822789999999999</c:v>
                </c:pt>
                <c:pt idx="7">
                  <c:v>-2.4663650000000001</c:v>
                </c:pt>
                <c:pt idx="8">
                  <c:v>-1.9450639999999999</c:v>
                </c:pt>
                <c:pt idx="9">
                  <c:v>-1.465117</c:v>
                </c:pt>
                <c:pt idx="10">
                  <c:v>-1.315922</c:v>
                </c:pt>
                <c:pt idx="11">
                  <c:v>-1.1692940000000001</c:v>
                </c:pt>
                <c:pt idx="12">
                  <c:v>-0.98870159999999996</c:v>
                </c:pt>
                <c:pt idx="13">
                  <c:v>-0.88058009999999998</c:v>
                </c:pt>
                <c:pt idx="14">
                  <c:v>-0.76462319999999995</c:v>
                </c:pt>
                <c:pt idx="15">
                  <c:v>-0.71129799999999999</c:v>
                </c:pt>
                <c:pt idx="16">
                  <c:v>-0.64494019999999996</c:v>
                </c:pt>
                <c:pt idx="17">
                  <c:v>-0.59937419999999997</c:v>
                </c:pt>
                <c:pt idx="18">
                  <c:v>-0.56092600000000004</c:v>
                </c:pt>
                <c:pt idx="19">
                  <c:v>-0.50582490000000002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AA_T_pho_ty!$A$36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AA_T_pho_ty!$B$36:$U$36</c:f>
              <c:numCache>
                <c:formatCode>General</c:formatCode>
                <c:ptCount val="20"/>
                <c:pt idx="0">
                  <c:v>-47.170259999999999</c:v>
                </c:pt>
                <c:pt idx="1">
                  <c:v>-29.077809999999999</c:v>
                </c:pt>
                <c:pt idx="2">
                  <c:v>-15.98753</c:v>
                </c:pt>
                <c:pt idx="3">
                  <c:v>-10.168799999999999</c:v>
                </c:pt>
                <c:pt idx="4">
                  <c:v>-7.2367800000000004</c:v>
                </c:pt>
                <c:pt idx="5">
                  <c:v>-5.1525350000000003</c:v>
                </c:pt>
                <c:pt idx="6">
                  <c:v>-4.1572480000000001</c:v>
                </c:pt>
                <c:pt idx="7">
                  <c:v>-3.2480980000000002</c:v>
                </c:pt>
                <c:pt idx="8">
                  <c:v>-2.620174</c:v>
                </c:pt>
                <c:pt idx="9">
                  <c:v>-2.0898210000000002</c:v>
                </c:pt>
                <c:pt idx="10">
                  <c:v>-1.7950360000000001</c:v>
                </c:pt>
                <c:pt idx="11">
                  <c:v>-1.5840749999999999</c:v>
                </c:pt>
                <c:pt idx="12">
                  <c:v>-1.3646119999999999</c:v>
                </c:pt>
                <c:pt idx="13">
                  <c:v>-1.222397</c:v>
                </c:pt>
                <c:pt idx="14">
                  <c:v>-1.067879</c:v>
                </c:pt>
                <c:pt idx="15">
                  <c:v>-0.98377910000000002</c:v>
                </c:pt>
                <c:pt idx="16">
                  <c:v>-0.87727999999999995</c:v>
                </c:pt>
                <c:pt idx="17">
                  <c:v>-0.78802059999999996</c:v>
                </c:pt>
                <c:pt idx="18">
                  <c:v>-0.72288490000000005</c:v>
                </c:pt>
                <c:pt idx="19">
                  <c:v>-0.68354769999999998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AA_T_pho_ty!$A$37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AA_T_pho_ty!$B$2:$U$2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AA_T_pho_ty!$B$37:$U$37</c:f>
              <c:numCache>
                <c:formatCode>General</c:formatCode>
                <c:ptCount val="20"/>
                <c:pt idx="0">
                  <c:v>-46.146610000000003</c:v>
                </c:pt>
                <c:pt idx="1">
                  <c:v>-29.375530000000001</c:v>
                </c:pt>
                <c:pt idx="2">
                  <c:v>-16.549399999999999</c:v>
                </c:pt>
                <c:pt idx="3">
                  <c:v>-10.98043</c:v>
                </c:pt>
                <c:pt idx="4">
                  <c:v>-8.1972679999999993</c:v>
                </c:pt>
                <c:pt idx="5">
                  <c:v>-6.2326899999999998</c:v>
                </c:pt>
                <c:pt idx="6">
                  <c:v>-5.2008770000000002</c:v>
                </c:pt>
                <c:pt idx="7">
                  <c:v>-4.4127409999999996</c:v>
                </c:pt>
                <c:pt idx="8">
                  <c:v>-3.787099</c:v>
                </c:pt>
                <c:pt idx="9">
                  <c:v>-3.245539</c:v>
                </c:pt>
                <c:pt idx="10">
                  <c:v>-2.8781330000000001</c:v>
                </c:pt>
                <c:pt idx="11">
                  <c:v>-2.5640779999999999</c:v>
                </c:pt>
                <c:pt idx="12">
                  <c:v>-2.3627440000000002</c:v>
                </c:pt>
                <c:pt idx="13">
                  <c:v>-2.1366499999999999</c:v>
                </c:pt>
                <c:pt idx="14">
                  <c:v>-1.905041</c:v>
                </c:pt>
                <c:pt idx="15">
                  <c:v>-1.758561</c:v>
                </c:pt>
                <c:pt idx="16">
                  <c:v>-1.628007</c:v>
                </c:pt>
                <c:pt idx="17">
                  <c:v>-1.5518730000000001</c:v>
                </c:pt>
                <c:pt idx="18">
                  <c:v>-1.4460029999999999</c:v>
                </c:pt>
                <c:pt idx="19">
                  <c:v>-1.3665179999999999</c:v>
                </c:pt>
              </c:numCache>
            </c:numRef>
          </c:yVal>
          <c:smooth val="1"/>
        </c:ser>
        <c:axId val="60427648"/>
        <c:axId val="60441728"/>
      </c:scatterChart>
      <c:valAx>
        <c:axId val="6042764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41728"/>
        <c:crosses val="autoZero"/>
        <c:crossBetween val="midCat"/>
      </c:valAx>
      <c:valAx>
        <c:axId val="60441728"/>
        <c:scaling>
          <c:orientation val="minMax"/>
        </c:scaling>
        <c:axPos val="l"/>
        <c:numFmt formatCode="General" sourceLinked="1"/>
        <c:tickLblPos val="nextTo"/>
        <c:crossAx val="604276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8958508311461066"/>
          <c:y val="0.13541703120443277"/>
          <c:w val="0.39130555555555557"/>
          <c:h val="0.83717191601049867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1782440152055713E-2"/>
          <c:y val="3.5218143330814813E-2"/>
          <c:w val="0.61098389728310976"/>
          <c:h val="0.88531586604806833"/>
        </c:manualLayout>
      </c:layout>
      <c:scatterChart>
        <c:scatterStyle val="smoothMarker"/>
        <c:ser>
          <c:idx val="0"/>
          <c:order val="0"/>
          <c:tx>
            <c:strRef>
              <c:f>AA_phi_pat!$A$3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AA_phi_pat!$B$3:$U$3</c:f>
              <c:numCache>
                <c:formatCode>General</c:formatCode>
                <c:ptCount val="20"/>
                <c:pt idx="0">
                  <c:v>7.0394003E-3</c:v>
                </c:pt>
                <c:pt idx="1">
                  <c:v>6.9736852000000004E-3</c:v>
                </c:pt>
                <c:pt idx="2">
                  <c:v>6.6768783000000003E-3</c:v>
                </c:pt>
                <c:pt idx="3">
                  <c:v>6.5983250000000004E-3</c:v>
                </c:pt>
                <c:pt idx="4">
                  <c:v>6.5474119000000002E-3</c:v>
                </c:pt>
                <c:pt idx="5">
                  <c:v>6.4294249999999999E-3</c:v>
                </c:pt>
                <c:pt idx="6">
                  <c:v>6.4591411999999999E-3</c:v>
                </c:pt>
                <c:pt idx="7">
                  <c:v>6.4828754000000001E-3</c:v>
                </c:pt>
                <c:pt idx="8">
                  <c:v>6.4619960999999998E-3</c:v>
                </c:pt>
                <c:pt idx="9">
                  <c:v>6.3466047999999999E-3</c:v>
                </c:pt>
                <c:pt idx="10">
                  <c:v>6.8813581000000002E-3</c:v>
                </c:pt>
                <c:pt idx="11">
                  <c:v>6.8637063000000003E-3</c:v>
                </c:pt>
                <c:pt idx="12">
                  <c:v>6.8456856999999996E-3</c:v>
                </c:pt>
                <c:pt idx="13">
                  <c:v>6.6895434000000002E-3</c:v>
                </c:pt>
                <c:pt idx="14">
                  <c:v>6.6856657999999998E-3</c:v>
                </c:pt>
                <c:pt idx="15">
                  <c:v>6.6643943999999998E-3</c:v>
                </c:pt>
                <c:pt idx="16">
                  <c:v>6.5178260999999996E-3</c:v>
                </c:pt>
                <c:pt idx="17">
                  <c:v>6.6861552000000001E-3</c:v>
                </c:pt>
                <c:pt idx="18">
                  <c:v>6.7119887000000001E-3</c:v>
                </c:pt>
                <c:pt idx="19">
                  <c:v>6.8199154999999999E-3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AA_phi_pat!$A$4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AA_phi_pat!$B$4:$U$4</c:f>
              <c:numCache>
                <c:formatCode>General</c:formatCode>
                <c:ptCount val="20"/>
                <c:pt idx="0">
                  <c:v>6.3140284999999999E-3</c:v>
                </c:pt>
                <c:pt idx="1">
                  <c:v>6.3401888999999999E-3</c:v>
                </c:pt>
                <c:pt idx="2">
                  <c:v>6.1883138999999998E-3</c:v>
                </c:pt>
                <c:pt idx="3">
                  <c:v>6.1695598999999997E-3</c:v>
                </c:pt>
                <c:pt idx="4">
                  <c:v>6.1314856000000001E-3</c:v>
                </c:pt>
                <c:pt idx="5">
                  <c:v>5.9825097999999998E-3</c:v>
                </c:pt>
                <c:pt idx="6">
                  <c:v>6.0584056000000004E-3</c:v>
                </c:pt>
                <c:pt idx="7">
                  <c:v>6.1687953E-3</c:v>
                </c:pt>
                <c:pt idx="8">
                  <c:v>6.2731378999999997E-3</c:v>
                </c:pt>
                <c:pt idx="9">
                  <c:v>6.1659538000000003E-3</c:v>
                </c:pt>
                <c:pt idx="10">
                  <c:v>6.6276154999999996E-3</c:v>
                </c:pt>
                <c:pt idx="11">
                  <c:v>6.6769966000000004E-3</c:v>
                </c:pt>
                <c:pt idx="12">
                  <c:v>6.6228121999999997E-3</c:v>
                </c:pt>
                <c:pt idx="13">
                  <c:v>6.5310964999999999E-3</c:v>
                </c:pt>
                <c:pt idx="14">
                  <c:v>6.5594134000000002E-3</c:v>
                </c:pt>
                <c:pt idx="15">
                  <c:v>6.6375108000000004E-3</c:v>
                </c:pt>
                <c:pt idx="16">
                  <c:v>6.5862726999999996E-3</c:v>
                </c:pt>
                <c:pt idx="17">
                  <c:v>6.5937228999999997E-3</c:v>
                </c:pt>
                <c:pt idx="18">
                  <c:v>6.5578696999999998E-3</c:v>
                </c:pt>
                <c:pt idx="19">
                  <c:v>6.5859886999999999E-3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AA_phi_pat!$A$5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AA_phi_pat!$B$5:$U$5</c:f>
              <c:numCache>
                <c:formatCode>General</c:formatCode>
                <c:ptCount val="20"/>
                <c:pt idx="0">
                  <c:v>6.3898996000000003E-3</c:v>
                </c:pt>
                <c:pt idx="1">
                  <c:v>6.4251641999999998E-3</c:v>
                </c:pt>
                <c:pt idx="2">
                  <c:v>6.2448330999999996E-3</c:v>
                </c:pt>
                <c:pt idx="3">
                  <c:v>6.2364163000000004E-3</c:v>
                </c:pt>
                <c:pt idx="4">
                  <c:v>6.2214573999999998E-3</c:v>
                </c:pt>
                <c:pt idx="5">
                  <c:v>6.1892186999999996E-3</c:v>
                </c:pt>
                <c:pt idx="6">
                  <c:v>6.2133259999999999E-3</c:v>
                </c:pt>
                <c:pt idx="7">
                  <c:v>6.2456600999999997E-3</c:v>
                </c:pt>
                <c:pt idx="8">
                  <c:v>6.2929546000000001E-3</c:v>
                </c:pt>
                <c:pt idx="9">
                  <c:v>6.2065106000000004E-3</c:v>
                </c:pt>
                <c:pt idx="10">
                  <c:v>6.6936775E-3</c:v>
                </c:pt>
                <c:pt idx="11">
                  <c:v>6.7193946000000003E-3</c:v>
                </c:pt>
                <c:pt idx="12">
                  <c:v>6.7554512000000001E-3</c:v>
                </c:pt>
                <c:pt idx="13">
                  <c:v>6.7220661000000001E-3</c:v>
                </c:pt>
                <c:pt idx="14">
                  <c:v>6.8082841999999996E-3</c:v>
                </c:pt>
                <c:pt idx="15">
                  <c:v>6.8451837000000001E-3</c:v>
                </c:pt>
                <c:pt idx="16">
                  <c:v>6.6164084999999996E-3</c:v>
                </c:pt>
                <c:pt idx="17">
                  <c:v>6.6985530000000003E-3</c:v>
                </c:pt>
                <c:pt idx="18">
                  <c:v>6.6876779000000003E-3</c:v>
                </c:pt>
                <c:pt idx="19">
                  <c:v>6.7164180999999996E-3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AA_phi_pat!$A$6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AA_phi_pat!$B$6:$U$6</c:f>
              <c:numCache>
                <c:formatCode>General</c:formatCode>
                <c:ptCount val="20"/>
                <c:pt idx="0">
                  <c:v>5.0343308000000003E-3</c:v>
                </c:pt>
                <c:pt idx="1">
                  <c:v>5.0023207E-3</c:v>
                </c:pt>
                <c:pt idx="2">
                  <c:v>4.6638395000000001E-3</c:v>
                </c:pt>
                <c:pt idx="3">
                  <c:v>4.5335977000000001E-3</c:v>
                </c:pt>
                <c:pt idx="4">
                  <c:v>4.4327917999999996E-3</c:v>
                </c:pt>
                <c:pt idx="5">
                  <c:v>4.3012657999999997E-3</c:v>
                </c:pt>
                <c:pt idx="6">
                  <c:v>4.2082504000000003E-3</c:v>
                </c:pt>
                <c:pt idx="7">
                  <c:v>4.1183881000000002E-3</c:v>
                </c:pt>
                <c:pt idx="8">
                  <c:v>4.2352318000000002E-3</c:v>
                </c:pt>
                <c:pt idx="9">
                  <c:v>4.1707489E-3</c:v>
                </c:pt>
                <c:pt idx="10">
                  <c:v>4.4884536999999997E-3</c:v>
                </c:pt>
                <c:pt idx="11">
                  <c:v>4.4696811000000001E-3</c:v>
                </c:pt>
                <c:pt idx="12">
                  <c:v>4.4305328999999999E-3</c:v>
                </c:pt>
                <c:pt idx="13">
                  <c:v>4.3251979999999997E-3</c:v>
                </c:pt>
                <c:pt idx="14">
                  <c:v>4.2785918000000003E-3</c:v>
                </c:pt>
                <c:pt idx="15">
                  <c:v>4.2305071999999997E-3</c:v>
                </c:pt>
                <c:pt idx="16">
                  <c:v>4.2190226000000004E-3</c:v>
                </c:pt>
                <c:pt idx="17">
                  <c:v>4.2377020999999999E-3</c:v>
                </c:pt>
                <c:pt idx="18">
                  <c:v>4.2389636000000003E-3</c:v>
                </c:pt>
                <c:pt idx="19">
                  <c:v>4.2466585999999997E-3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AA_phi_pat!$A$7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AA_phi_pat!$B$7:$U$7</c:f>
              <c:numCache>
                <c:formatCode>General</c:formatCode>
                <c:ptCount val="20"/>
                <c:pt idx="0">
                  <c:v>5.2517001000000002E-3</c:v>
                </c:pt>
                <c:pt idx="1">
                  <c:v>5.2292980000000003E-3</c:v>
                </c:pt>
                <c:pt idx="2">
                  <c:v>4.9144471999999998E-3</c:v>
                </c:pt>
                <c:pt idx="3">
                  <c:v>4.7189016000000004E-3</c:v>
                </c:pt>
                <c:pt idx="4">
                  <c:v>4.6156262999999999E-3</c:v>
                </c:pt>
                <c:pt idx="5">
                  <c:v>4.4565847999999998E-3</c:v>
                </c:pt>
                <c:pt idx="6">
                  <c:v>4.3702936000000001E-3</c:v>
                </c:pt>
                <c:pt idx="7">
                  <c:v>4.3514874000000004E-3</c:v>
                </c:pt>
                <c:pt idx="8">
                  <c:v>4.4780751000000002E-3</c:v>
                </c:pt>
                <c:pt idx="9">
                  <c:v>4.4220485999999998E-3</c:v>
                </c:pt>
                <c:pt idx="10">
                  <c:v>4.8115644999999997E-3</c:v>
                </c:pt>
                <c:pt idx="11">
                  <c:v>4.8768594999999996E-3</c:v>
                </c:pt>
                <c:pt idx="12">
                  <c:v>4.8671095000000003E-3</c:v>
                </c:pt>
                <c:pt idx="13">
                  <c:v>4.7739260000000004E-3</c:v>
                </c:pt>
                <c:pt idx="14">
                  <c:v>4.7165886000000001E-3</c:v>
                </c:pt>
                <c:pt idx="15">
                  <c:v>4.6927985000000004E-3</c:v>
                </c:pt>
                <c:pt idx="16">
                  <c:v>4.7045322000000001E-3</c:v>
                </c:pt>
                <c:pt idx="17">
                  <c:v>4.7292471999999999E-3</c:v>
                </c:pt>
                <c:pt idx="18">
                  <c:v>4.7251586999999999E-3</c:v>
                </c:pt>
                <c:pt idx="19">
                  <c:v>4.7282162000000004E-3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AA_phi_pat!$A$8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AA_phi_pat!$B$8:$U$8</c:f>
              <c:numCache>
                <c:formatCode>General</c:formatCode>
                <c:ptCount val="20"/>
                <c:pt idx="0">
                  <c:v>5.1106642999999997E-3</c:v>
                </c:pt>
                <c:pt idx="1">
                  <c:v>5.1072957000000002E-3</c:v>
                </c:pt>
                <c:pt idx="2">
                  <c:v>4.7442815000000001E-3</c:v>
                </c:pt>
                <c:pt idx="3">
                  <c:v>4.4523914999999997E-3</c:v>
                </c:pt>
                <c:pt idx="4">
                  <c:v>4.3946569999999997E-3</c:v>
                </c:pt>
                <c:pt idx="5">
                  <c:v>4.2715087000000001E-3</c:v>
                </c:pt>
                <c:pt idx="6">
                  <c:v>4.1792909999999999E-3</c:v>
                </c:pt>
                <c:pt idx="7">
                  <c:v>4.0444247000000003E-3</c:v>
                </c:pt>
                <c:pt idx="8">
                  <c:v>4.1202931000000002E-3</c:v>
                </c:pt>
                <c:pt idx="9">
                  <c:v>4.1476013000000004E-3</c:v>
                </c:pt>
                <c:pt idx="10">
                  <c:v>4.5181763999999998E-3</c:v>
                </c:pt>
                <c:pt idx="11">
                  <c:v>4.4951402E-3</c:v>
                </c:pt>
                <c:pt idx="12">
                  <c:v>4.4312793999999999E-3</c:v>
                </c:pt>
                <c:pt idx="13">
                  <c:v>4.3470389E-3</c:v>
                </c:pt>
                <c:pt idx="14">
                  <c:v>4.2385664000000002E-3</c:v>
                </c:pt>
                <c:pt idx="15">
                  <c:v>4.1856113999999998E-3</c:v>
                </c:pt>
                <c:pt idx="16">
                  <c:v>4.1776783999999999E-3</c:v>
                </c:pt>
                <c:pt idx="17">
                  <c:v>4.1486229999999997E-3</c:v>
                </c:pt>
                <c:pt idx="18">
                  <c:v>4.1976677999999998E-3</c:v>
                </c:pt>
                <c:pt idx="19">
                  <c:v>4.2104241000000004E-3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AA_phi_pat!$A$9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AA_phi_pat!$B$9:$U$9</c:f>
              <c:numCache>
                <c:formatCode>General</c:formatCode>
                <c:ptCount val="20"/>
                <c:pt idx="0">
                  <c:v>5.1248594999999996E-3</c:v>
                </c:pt>
                <c:pt idx="1">
                  <c:v>5.1435240999999996E-3</c:v>
                </c:pt>
                <c:pt idx="2">
                  <c:v>4.8432424999999999E-3</c:v>
                </c:pt>
                <c:pt idx="3">
                  <c:v>4.590495E-3</c:v>
                </c:pt>
                <c:pt idx="4">
                  <c:v>4.4962930999999998E-3</c:v>
                </c:pt>
                <c:pt idx="5">
                  <c:v>4.3611131000000003E-3</c:v>
                </c:pt>
                <c:pt idx="6">
                  <c:v>4.2671575000000003E-3</c:v>
                </c:pt>
                <c:pt idx="7">
                  <c:v>4.1713095000000004E-3</c:v>
                </c:pt>
                <c:pt idx="8">
                  <c:v>4.2544165999999998E-3</c:v>
                </c:pt>
                <c:pt idx="9">
                  <c:v>4.146935E-3</c:v>
                </c:pt>
                <c:pt idx="10">
                  <c:v>4.4767703000000002E-3</c:v>
                </c:pt>
                <c:pt idx="11">
                  <c:v>4.567265E-3</c:v>
                </c:pt>
                <c:pt idx="12">
                  <c:v>4.5081875E-3</c:v>
                </c:pt>
                <c:pt idx="13">
                  <c:v>4.3699801999999999E-3</c:v>
                </c:pt>
                <c:pt idx="14">
                  <c:v>4.3326257999999999E-3</c:v>
                </c:pt>
                <c:pt idx="15">
                  <c:v>4.2561428000000004E-3</c:v>
                </c:pt>
                <c:pt idx="16">
                  <c:v>4.2055859000000003E-3</c:v>
                </c:pt>
                <c:pt idx="17">
                  <c:v>4.2038928000000001E-3</c:v>
                </c:pt>
                <c:pt idx="18">
                  <c:v>4.1756205999999999E-3</c:v>
                </c:pt>
                <c:pt idx="19">
                  <c:v>4.1678278000000001E-3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AA_phi_pat!$A$10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AA_phi_pat!$B$10:$U$10</c:f>
              <c:numCache>
                <c:formatCode>General</c:formatCode>
                <c:ptCount val="20"/>
                <c:pt idx="0">
                  <c:v>5.8104428000000001E-3</c:v>
                </c:pt>
                <c:pt idx="1">
                  <c:v>5.7370596999999999E-3</c:v>
                </c:pt>
                <c:pt idx="2">
                  <c:v>5.4335258999999997E-3</c:v>
                </c:pt>
                <c:pt idx="3">
                  <c:v>5.2557932E-3</c:v>
                </c:pt>
                <c:pt idx="4">
                  <c:v>5.2055870000000002E-3</c:v>
                </c:pt>
                <c:pt idx="5">
                  <c:v>5.1389751000000001E-3</c:v>
                </c:pt>
                <c:pt idx="6">
                  <c:v>5.1872697999999998E-3</c:v>
                </c:pt>
                <c:pt idx="7">
                  <c:v>5.0902645999999999E-3</c:v>
                </c:pt>
                <c:pt idx="8">
                  <c:v>5.1775522999999999E-3</c:v>
                </c:pt>
                <c:pt idx="9">
                  <c:v>5.1538963000000004E-3</c:v>
                </c:pt>
                <c:pt idx="10">
                  <c:v>5.6841555000000004E-3</c:v>
                </c:pt>
                <c:pt idx="11">
                  <c:v>5.6518493000000001E-3</c:v>
                </c:pt>
                <c:pt idx="12">
                  <c:v>5.6107086E-3</c:v>
                </c:pt>
                <c:pt idx="13">
                  <c:v>5.4490453999999997E-3</c:v>
                </c:pt>
                <c:pt idx="14">
                  <c:v>5.4971813E-3</c:v>
                </c:pt>
                <c:pt idx="15">
                  <c:v>5.4516931999999997E-3</c:v>
                </c:pt>
                <c:pt idx="16">
                  <c:v>5.2634123999999996E-3</c:v>
                </c:pt>
                <c:pt idx="17">
                  <c:v>5.2918330999999997E-3</c:v>
                </c:pt>
                <c:pt idx="18">
                  <c:v>5.273181E-3</c:v>
                </c:pt>
                <c:pt idx="19">
                  <c:v>5.3796651999999997E-3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AA_phi_pat!$A$11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AA_phi_pat!$B$11:$U$11</c:f>
              <c:numCache>
                <c:formatCode>General</c:formatCode>
                <c:ptCount val="20"/>
                <c:pt idx="0">
                  <c:v>5.8352993999999997E-3</c:v>
                </c:pt>
                <c:pt idx="1">
                  <c:v>5.7649234999999997E-3</c:v>
                </c:pt>
                <c:pt idx="2">
                  <c:v>5.4706293E-3</c:v>
                </c:pt>
                <c:pt idx="3">
                  <c:v>5.2834474000000003E-3</c:v>
                </c:pt>
                <c:pt idx="4">
                  <c:v>5.2216062000000002E-3</c:v>
                </c:pt>
                <c:pt idx="5">
                  <c:v>5.1761842000000004E-3</c:v>
                </c:pt>
                <c:pt idx="6">
                  <c:v>5.1972846999999997E-3</c:v>
                </c:pt>
                <c:pt idx="7">
                  <c:v>5.0467630000000001E-3</c:v>
                </c:pt>
                <c:pt idx="8">
                  <c:v>5.0633168000000003E-3</c:v>
                </c:pt>
                <c:pt idx="9">
                  <c:v>4.9579847000000002E-3</c:v>
                </c:pt>
                <c:pt idx="10">
                  <c:v>5.4359747999999999E-3</c:v>
                </c:pt>
                <c:pt idx="11">
                  <c:v>5.4770176999999996E-3</c:v>
                </c:pt>
                <c:pt idx="12">
                  <c:v>5.4895602999999998E-3</c:v>
                </c:pt>
                <c:pt idx="13">
                  <c:v>5.3686769999999997E-3</c:v>
                </c:pt>
                <c:pt idx="14">
                  <c:v>5.3950463999999998E-3</c:v>
                </c:pt>
                <c:pt idx="15">
                  <c:v>5.3258860000000002E-3</c:v>
                </c:pt>
                <c:pt idx="16">
                  <c:v>5.2221739E-3</c:v>
                </c:pt>
                <c:pt idx="17">
                  <c:v>5.2666919999999999E-3</c:v>
                </c:pt>
                <c:pt idx="18">
                  <c:v>5.3387801E-3</c:v>
                </c:pt>
                <c:pt idx="19">
                  <c:v>5.3101097999999998E-3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AA_phi_pat!$A$12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AA_phi_pat!$B$12:$U$12</c:f>
              <c:numCache>
                <c:formatCode>General</c:formatCode>
                <c:ptCount val="20"/>
                <c:pt idx="0">
                  <c:v>4.8921206E-3</c:v>
                </c:pt>
                <c:pt idx="1">
                  <c:v>4.8535247000000004E-3</c:v>
                </c:pt>
                <c:pt idx="2">
                  <c:v>4.6527189999999996E-3</c:v>
                </c:pt>
                <c:pt idx="3">
                  <c:v>4.4202366999999999E-3</c:v>
                </c:pt>
                <c:pt idx="4">
                  <c:v>4.3065678000000001E-3</c:v>
                </c:pt>
                <c:pt idx="5">
                  <c:v>4.3497426000000004E-3</c:v>
                </c:pt>
                <c:pt idx="6">
                  <c:v>4.3131992999999999E-3</c:v>
                </c:pt>
                <c:pt idx="7">
                  <c:v>4.2481044999999997E-3</c:v>
                </c:pt>
                <c:pt idx="8">
                  <c:v>4.2837216000000001E-3</c:v>
                </c:pt>
                <c:pt idx="9">
                  <c:v>4.2131384999999997E-3</c:v>
                </c:pt>
                <c:pt idx="10">
                  <c:v>4.5356340999999998E-3</c:v>
                </c:pt>
                <c:pt idx="11">
                  <c:v>4.6125823000000002E-3</c:v>
                </c:pt>
                <c:pt idx="12">
                  <c:v>4.5068640999999998E-3</c:v>
                </c:pt>
                <c:pt idx="13">
                  <c:v>4.4573918000000001E-3</c:v>
                </c:pt>
                <c:pt idx="14">
                  <c:v>4.4867759999999996E-3</c:v>
                </c:pt>
                <c:pt idx="15">
                  <c:v>4.4714137999999999E-3</c:v>
                </c:pt>
                <c:pt idx="16">
                  <c:v>4.3108132999999998E-3</c:v>
                </c:pt>
                <c:pt idx="17">
                  <c:v>4.4281570999999999E-3</c:v>
                </c:pt>
                <c:pt idx="18">
                  <c:v>4.4271750000000002E-3</c:v>
                </c:pt>
                <c:pt idx="19">
                  <c:v>4.3933786999999997E-3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AA_phi_pat!$A$13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AA_phi_pat!$B$13:$U$13</c:f>
              <c:numCache>
                <c:formatCode>General</c:formatCode>
                <c:ptCount val="20"/>
                <c:pt idx="0">
                  <c:v>4.8809754999999998E-3</c:v>
                </c:pt>
                <c:pt idx="1">
                  <c:v>4.8013800000000001E-3</c:v>
                </c:pt>
                <c:pt idx="2">
                  <c:v>4.5856958999999997E-3</c:v>
                </c:pt>
                <c:pt idx="3">
                  <c:v>4.3960279000000001E-3</c:v>
                </c:pt>
                <c:pt idx="4">
                  <c:v>4.3778708000000001E-3</c:v>
                </c:pt>
                <c:pt idx="5">
                  <c:v>4.2848367999999996E-3</c:v>
                </c:pt>
                <c:pt idx="6">
                  <c:v>4.2771459999999999E-3</c:v>
                </c:pt>
                <c:pt idx="7">
                  <c:v>4.1942591999999997E-3</c:v>
                </c:pt>
                <c:pt idx="8">
                  <c:v>4.1944807999999998E-3</c:v>
                </c:pt>
                <c:pt idx="9">
                  <c:v>4.1559678999999999E-3</c:v>
                </c:pt>
                <c:pt idx="10">
                  <c:v>4.4701480999999998E-3</c:v>
                </c:pt>
                <c:pt idx="11">
                  <c:v>4.5237979000000003E-3</c:v>
                </c:pt>
                <c:pt idx="12">
                  <c:v>4.4631525000000003E-3</c:v>
                </c:pt>
                <c:pt idx="13">
                  <c:v>4.4416118999999997E-3</c:v>
                </c:pt>
                <c:pt idx="14">
                  <c:v>4.3701073000000003E-3</c:v>
                </c:pt>
                <c:pt idx="15">
                  <c:v>4.4450699000000002E-3</c:v>
                </c:pt>
                <c:pt idx="16">
                  <c:v>4.2527494999999998E-3</c:v>
                </c:pt>
                <c:pt idx="17">
                  <c:v>4.2727245000000001E-3</c:v>
                </c:pt>
                <c:pt idx="18">
                  <c:v>4.3367320000000003E-3</c:v>
                </c:pt>
                <c:pt idx="19">
                  <c:v>4.3458220999999997E-3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AA_phi_pat!$A$14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AA_phi_pat!$B$14:$U$14</c:f>
              <c:numCache>
                <c:formatCode>General</c:formatCode>
                <c:ptCount val="20"/>
                <c:pt idx="0">
                  <c:v>4.8967124999999998E-3</c:v>
                </c:pt>
                <c:pt idx="1">
                  <c:v>4.8776441E-3</c:v>
                </c:pt>
                <c:pt idx="2">
                  <c:v>4.6282639000000004E-3</c:v>
                </c:pt>
                <c:pt idx="3">
                  <c:v>4.5070088999999997E-3</c:v>
                </c:pt>
                <c:pt idx="4">
                  <c:v>4.4495608000000002E-3</c:v>
                </c:pt>
                <c:pt idx="5">
                  <c:v>4.4048498E-3</c:v>
                </c:pt>
                <c:pt idx="6">
                  <c:v>4.4091553000000002E-3</c:v>
                </c:pt>
                <c:pt idx="7">
                  <c:v>4.3736039999999997E-3</c:v>
                </c:pt>
                <c:pt idx="8">
                  <c:v>4.3686599999999999E-3</c:v>
                </c:pt>
                <c:pt idx="9">
                  <c:v>4.2712367000000001E-3</c:v>
                </c:pt>
                <c:pt idx="10">
                  <c:v>4.6369740999999999E-3</c:v>
                </c:pt>
                <c:pt idx="11">
                  <c:v>4.6625299999999998E-3</c:v>
                </c:pt>
                <c:pt idx="12">
                  <c:v>4.6453453E-3</c:v>
                </c:pt>
                <c:pt idx="13">
                  <c:v>4.6971939000000004E-3</c:v>
                </c:pt>
                <c:pt idx="14">
                  <c:v>4.8046559000000004E-3</c:v>
                </c:pt>
                <c:pt idx="15">
                  <c:v>4.7964356000000001E-3</c:v>
                </c:pt>
                <c:pt idx="16">
                  <c:v>4.5903617999999997E-3</c:v>
                </c:pt>
                <c:pt idx="17">
                  <c:v>4.6357806000000001E-3</c:v>
                </c:pt>
                <c:pt idx="18">
                  <c:v>4.6103042999999996E-3</c:v>
                </c:pt>
                <c:pt idx="19">
                  <c:v>4.6527809000000003E-3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AA_phi_pat!$A$15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AA_phi_pat!$B$15:$U$15</c:f>
              <c:numCache>
                <c:formatCode>General</c:formatCode>
                <c:ptCount val="20"/>
                <c:pt idx="0">
                  <c:v>4.6578636000000001E-3</c:v>
                </c:pt>
                <c:pt idx="1">
                  <c:v>4.6519567000000003E-3</c:v>
                </c:pt>
                <c:pt idx="2">
                  <c:v>4.4370581999999999E-3</c:v>
                </c:pt>
                <c:pt idx="3">
                  <c:v>4.3007564000000003E-3</c:v>
                </c:pt>
                <c:pt idx="4">
                  <c:v>4.1820434999999996E-3</c:v>
                </c:pt>
                <c:pt idx="5">
                  <c:v>4.1062929999999996E-3</c:v>
                </c:pt>
                <c:pt idx="6">
                  <c:v>4.0949899999999997E-3</c:v>
                </c:pt>
                <c:pt idx="7">
                  <c:v>4.0766224000000004E-3</c:v>
                </c:pt>
                <c:pt idx="8">
                  <c:v>4.0894062000000004E-3</c:v>
                </c:pt>
                <c:pt idx="9">
                  <c:v>4.0468559999999997E-3</c:v>
                </c:pt>
                <c:pt idx="10">
                  <c:v>4.4017298999999999E-3</c:v>
                </c:pt>
                <c:pt idx="11">
                  <c:v>4.4955704000000001E-3</c:v>
                </c:pt>
                <c:pt idx="12">
                  <c:v>4.4797943000000002E-3</c:v>
                </c:pt>
                <c:pt idx="13">
                  <c:v>4.4135423E-3</c:v>
                </c:pt>
                <c:pt idx="14">
                  <c:v>4.5367274000000001E-3</c:v>
                </c:pt>
                <c:pt idx="15">
                  <c:v>4.5482344000000001E-3</c:v>
                </c:pt>
                <c:pt idx="16">
                  <c:v>4.4323675999999998E-3</c:v>
                </c:pt>
                <c:pt idx="17">
                  <c:v>4.4756546000000001E-3</c:v>
                </c:pt>
                <c:pt idx="18">
                  <c:v>4.4980365999999997E-3</c:v>
                </c:pt>
                <c:pt idx="19">
                  <c:v>4.5541729999999999E-3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AA_phi_pat!$A$16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AA_phi_pat!$B$16:$U$16</c:f>
              <c:numCache>
                <c:formatCode>General</c:formatCode>
                <c:ptCount val="20"/>
                <c:pt idx="0">
                  <c:v>6.1511602000000002E-3</c:v>
                </c:pt>
                <c:pt idx="1">
                  <c:v>6.1060693000000001E-3</c:v>
                </c:pt>
                <c:pt idx="2">
                  <c:v>5.8183805000000003E-3</c:v>
                </c:pt>
                <c:pt idx="3">
                  <c:v>5.6092347999999997E-3</c:v>
                </c:pt>
                <c:pt idx="4">
                  <c:v>5.5278641999999996E-3</c:v>
                </c:pt>
                <c:pt idx="5">
                  <c:v>5.4529347000000002E-3</c:v>
                </c:pt>
                <c:pt idx="6">
                  <c:v>5.5262554E-3</c:v>
                </c:pt>
                <c:pt idx="7">
                  <c:v>5.5060567999999999E-3</c:v>
                </c:pt>
                <c:pt idx="8">
                  <c:v>5.5594043999999997E-3</c:v>
                </c:pt>
                <c:pt idx="9">
                  <c:v>5.3718313999999998E-3</c:v>
                </c:pt>
                <c:pt idx="10">
                  <c:v>5.8548241000000003E-3</c:v>
                </c:pt>
                <c:pt idx="11">
                  <c:v>5.8902054999999997E-3</c:v>
                </c:pt>
                <c:pt idx="12">
                  <c:v>5.8498405999999996E-3</c:v>
                </c:pt>
                <c:pt idx="13">
                  <c:v>5.7310518000000003E-3</c:v>
                </c:pt>
                <c:pt idx="14">
                  <c:v>5.8112876000000003E-3</c:v>
                </c:pt>
                <c:pt idx="15">
                  <c:v>5.8287112000000004E-3</c:v>
                </c:pt>
                <c:pt idx="16">
                  <c:v>5.7083265999999999E-3</c:v>
                </c:pt>
                <c:pt idx="17">
                  <c:v>5.7420138999999997E-3</c:v>
                </c:pt>
                <c:pt idx="18">
                  <c:v>5.747884E-3</c:v>
                </c:pt>
                <c:pt idx="19">
                  <c:v>5.7485927999999997E-3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AA_phi_pat!$A$17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AA_phi_pat!$B$17:$U$17</c:f>
              <c:numCache>
                <c:formatCode>General</c:formatCode>
                <c:ptCount val="20"/>
                <c:pt idx="0">
                  <c:v>6.1269547000000002E-3</c:v>
                </c:pt>
                <c:pt idx="1">
                  <c:v>6.0833221999999996E-3</c:v>
                </c:pt>
                <c:pt idx="2">
                  <c:v>5.8107133999999996E-3</c:v>
                </c:pt>
                <c:pt idx="3">
                  <c:v>5.6081810000000003E-3</c:v>
                </c:pt>
                <c:pt idx="4">
                  <c:v>5.5620977999999996E-3</c:v>
                </c:pt>
                <c:pt idx="5">
                  <c:v>5.4904734999999998E-3</c:v>
                </c:pt>
                <c:pt idx="6">
                  <c:v>5.4951180000000002E-3</c:v>
                </c:pt>
                <c:pt idx="7">
                  <c:v>5.4880338999999997E-3</c:v>
                </c:pt>
                <c:pt idx="8">
                  <c:v>5.5686453999999998E-3</c:v>
                </c:pt>
                <c:pt idx="9">
                  <c:v>5.4571604999999997E-3</c:v>
                </c:pt>
                <c:pt idx="10">
                  <c:v>5.8900732999999997E-3</c:v>
                </c:pt>
                <c:pt idx="11">
                  <c:v>5.8630280999999998E-3</c:v>
                </c:pt>
                <c:pt idx="12">
                  <c:v>5.8079361999999997E-3</c:v>
                </c:pt>
                <c:pt idx="13">
                  <c:v>5.7228315E-3</c:v>
                </c:pt>
                <c:pt idx="14">
                  <c:v>5.7576867000000004E-3</c:v>
                </c:pt>
                <c:pt idx="15">
                  <c:v>5.8531724000000004E-3</c:v>
                </c:pt>
                <c:pt idx="16">
                  <c:v>5.7339653999999999E-3</c:v>
                </c:pt>
                <c:pt idx="17">
                  <c:v>5.7274741000000002E-3</c:v>
                </c:pt>
                <c:pt idx="18">
                  <c:v>5.7373792E-3</c:v>
                </c:pt>
                <c:pt idx="19">
                  <c:v>5.6526242000000003E-3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AA_phi_pat!$A$18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AA_phi_pat!$B$18:$U$18</c:f>
              <c:numCache>
                <c:formatCode>General</c:formatCode>
                <c:ptCount val="20"/>
                <c:pt idx="0">
                  <c:v>6.3131591000000001E-3</c:v>
                </c:pt>
                <c:pt idx="1">
                  <c:v>6.2713296999999998E-3</c:v>
                </c:pt>
                <c:pt idx="2">
                  <c:v>5.9676356999999996E-3</c:v>
                </c:pt>
                <c:pt idx="3">
                  <c:v>5.7852548000000004E-3</c:v>
                </c:pt>
                <c:pt idx="4">
                  <c:v>5.7246596999999998E-3</c:v>
                </c:pt>
                <c:pt idx="5">
                  <c:v>5.5950488999999999E-3</c:v>
                </c:pt>
                <c:pt idx="6">
                  <c:v>5.6303530000000003E-3</c:v>
                </c:pt>
                <c:pt idx="7">
                  <c:v>5.6246459E-3</c:v>
                </c:pt>
                <c:pt idx="8">
                  <c:v>5.7104853999999997E-3</c:v>
                </c:pt>
                <c:pt idx="9">
                  <c:v>5.603963E-3</c:v>
                </c:pt>
                <c:pt idx="10">
                  <c:v>6.0525047999999996E-3</c:v>
                </c:pt>
                <c:pt idx="11">
                  <c:v>6.0445153999999996E-3</c:v>
                </c:pt>
                <c:pt idx="12">
                  <c:v>6.0216654E-3</c:v>
                </c:pt>
                <c:pt idx="13">
                  <c:v>5.9299599000000001E-3</c:v>
                </c:pt>
                <c:pt idx="14">
                  <c:v>5.9179113999999998E-3</c:v>
                </c:pt>
                <c:pt idx="15">
                  <c:v>5.9230005999999997E-3</c:v>
                </c:pt>
                <c:pt idx="16">
                  <c:v>5.7591144000000002E-3</c:v>
                </c:pt>
                <c:pt idx="17">
                  <c:v>5.8245915000000002E-3</c:v>
                </c:pt>
                <c:pt idx="18">
                  <c:v>5.8447602000000001E-3</c:v>
                </c:pt>
                <c:pt idx="19">
                  <c:v>5.8543099999999997E-3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AA_phi_pat!$A$19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AA_phi_pat!$B$19:$U$19</c:f>
              <c:numCache>
                <c:formatCode>General</c:formatCode>
                <c:ptCount val="20"/>
                <c:pt idx="0">
                  <c:v>5.8047408000000003E-3</c:v>
                </c:pt>
                <c:pt idx="1">
                  <c:v>5.7893833E-3</c:v>
                </c:pt>
                <c:pt idx="2">
                  <c:v>5.5618654000000002E-3</c:v>
                </c:pt>
                <c:pt idx="3">
                  <c:v>5.4819821000000003E-3</c:v>
                </c:pt>
                <c:pt idx="4">
                  <c:v>5.4093407999999997E-3</c:v>
                </c:pt>
                <c:pt idx="5">
                  <c:v>5.3311060000000004E-3</c:v>
                </c:pt>
                <c:pt idx="6">
                  <c:v>5.3235888E-3</c:v>
                </c:pt>
                <c:pt idx="7">
                  <c:v>5.2944751999999999E-3</c:v>
                </c:pt>
                <c:pt idx="8">
                  <c:v>5.3368844000000002E-3</c:v>
                </c:pt>
                <c:pt idx="9">
                  <c:v>5.1840608999999998E-3</c:v>
                </c:pt>
                <c:pt idx="10">
                  <c:v>5.5901058999999996E-3</c:v>
                </c:pt>
                <c:pt idx="11">
                  <c:v>5.6606620000000003E-3</c:v>
                </c:pt>
                <c:pt idx="12">
                  <c:v>5.6151276999999999E-3</c:v>
                </c:pt>
                <c:pt idx="13">
                  <c:v>5.5362032999999996E-3</c:v>
                </c:pt>
                <c:pt idx="14">
                  <c:v>5.5468002999999998E-3</c:v>
                </c:pt>
                <c:pt idx="15">
                  <c:v>5.6006106999999996E-3</c:v>
                </c:pt>
                <c:pt idx="16">
                  <c:v>5.4679713E-3</c:v>
                </c:pt>
                <c:pt idx="17">
                  <c:v>5.5133789000000001E-3</c:v>
                </c:pt>
                <c:pt idx="18">
                  <c:v>5.5285823000000003E-3</c:v>
                </c:pt>
                <c:pt idx="19">
                  <c:v>5.5852686000000002E-3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AA_phi_pat!$A$20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AA_phi_pat!$B$20:$U$20</c:f>
              <c:numCache>
                <c:formatCode>General</c:formatCode>
                <c:ptCount val="20"/>
                <c:pt idx="0">
                  <c:v>5.8336387999999998E-3</c:v>
                </c:pt>
                <c:pt idx="1">
                  <c:v>5.7873437000000002E-3</c:v>
                </c:pt>
                <c:pt idx="2">
                  <c:v>5.5276611999999998E-3</c:v>
                </c:pt>
                <c:pt idx="3">
                  <c:v>5.4214327000000001E-3</c:v>
                </c:pt>
                <c:pt idx="4">
                  <c:v>5.3480313999999998E-3</c:v>
                </c:pt>
                <c:pt idx="5">
                  <c:v>5.2469539999999999E-3</c:v>
                </c:pt>
                <c:pt idx="6">
                  <c:v>5.2893078000000003E-3</c:v>
                </c:pt>
                <c:pt idx="7">
                  <c:v>5.2621452999999999E-3</c:v>
                </c:pt>
                <c:pt idx="8">
                  <c:v>5.2987108999999998E-3</c:v>
                </c:pt>
                <c:pt idx="9">
                  <c:v>5.1995777000000002E-3</c:v>
                </c:pt>
                <c:pt idx="10">
                  <c:v>5.6046550000000001E-3</c:v>
                </c:pt>
                <c:pt idx="11">
                  <c:v>5.5688713000000001E-3</c:v>
                </c:pt>
                <c:pt idx="12">
                  <c:v>5.5116773999999997E-3</c:v>
                </c:pt>
                <c:pt idx="13">
                  <c:v>5.4363053999999999E-3</c:v>
                </c:pt>
                <c:pt idx="14">
                  <c:v>5.4807956000000003E-3</c:v>
                </c:pt>
                <c:pt idx="15">
                  <c:v>5.4625031000000001E-3</c:v>
                </c:pt>
                <c:pt idx="16">
                  <c:v>5.3213284999999999E-3</c:v>
                </c:pt>
                <c:pt idx="17">
                  <c:v>5.3453323999999997E-3</c:v>
                </c:pt>
                <c:pt idx="18">
                  <c:v>5.3485516000000002E-3</c:v>
                </c:pt>
                <c:pt idx="19">
                  <c:v>5.4076015999999999E-3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AA_phi_pat!$A$21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AA_phi_pat!$B$21:$U$21</c:f>
              <c:numCache>
                <c:formatCode>General</c:formatCode>
                <c:ptCount val="20"/>
                <c:pt idx="0">
                  <c:v>5.8127687999999997E-3</c:v>
                </c:pt>
                <c:pt idx="1">
                  <c:v>5.7578873999999999E-3</c:v>
                </c:pt>
                <c:pt idx="2">
                  <c:v>5.5091827999999999E-3</c:v>
                </c:pt>
                <c:pt idx="3">
                  <c:v>5.4066903000000001E-3</c:v>
                </c:pt>
                <c:pt idx="4">
                  <c:v>5.3496257999999996E-3</c:v>
                </c:pt>
                <c:pt idx="5">
                  <c:v>5.2379621000000001E-3</c:v>
                </c:pt>
                <c:pt idx="6">
                  <c:v>5.2882750000000003E-3</c:v>
                </c:pt>
                <c:pt idx="7">
                  <c:v>5.2449302999999997E-3</c:v>
                </c:pt>
                <c:pt idx="8">
                  <c:v>5.2975443999999997E-3</c:v>
                </c:pt>
                <c:pt idx="9">
                  <c:v>5.1560546000000004E-3</c:v>
                </c:pt>
                <c:pt idx="10">
                  <c:v>5.5356807999999997E-3</c:v>
                </c:pt>
                <c:pt idx="11">
                  <c:v>5.5735656000000001E-3</c:v>
                </c:pt>
                <c:pt idx="12">
                  <c:v>5.5250763E-3</c:v>
                </c:pt>
                <c:pt idx="13">
                  <c:v>5.4743225E-3</c:v>
                </c:pt>
                <c:pt idx="14">
                  <c:v>5.4930294999999997E-3</c:v>
                </c:pt>
                <c:pt idx="15">
                  <c:v>5.4808239999999996E-3</c:v>
                </c:pt>
                <c:pt idx="16">
                  <c:v>5.3375666000000004E-3</c:v>
                </c:pt>
                <c:pt idx="17">
                  <c:v>5.3993128000000001E-3</c:v>
                </c:pt>
                <c:pt idx="18">
                  <c:v>5.4317367999999998E-3</c:v>
                </c:pt>
                <c:pt idx="19">
                  <c:v>5.4269256000000002E-3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AA_phi_pat!$A$22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AA_phi_pat!$B$22:$U$22</c:f>
              <c:numCache>
                <c:formatCode>General</c:formatCode>
                <c:ptCount val="20"/>
                <c:pt idx="0">
                  <c:v>5.7683665999999998E-3</c:v>
                </c:pt>
                <c:pt idx="1">
                  <c:v>5.7303375E-3</c:v>
                </c:pt>
                <c:pt idx="2">
                  <c:v>5.4903369999999996E-3</c:v>
                </c:pt>
                <c:pt idx="3">
                  <c:v>5.3904163999999996E-3</c:v>
                </c:pt>
                <c:pt idx="4">
                  <c:v>5.2899262000000004E-3</c:v>
                </c:pt>
                <c:pt idx="5">
                  <c:v>5.2455328000000001E-3</c:v>
                </c:pt>
                <c:pt idx="6">
                  <c:v>5.2534113999999996E-3</c:v>
                </c:pt>
                <c:pt idx="7">
                  <c:v>5.2482300000000004E-3</c:v>
                </c:pt>
                <c:pt idx="8">
                  <c:v>5.275053E-3</c:v>
                </c:pt>
                <c:pt idx="9">
                  <c:v>5.1660938000000003E-3</c:v>
                </c:pt>
                <c:pt idx="10">
                  <c:v>5.5736954999999998E-3</c:v>
                </c:pt>
                <c:pt idx="11">
                  <c:v>5.5882553999999996E-3</c:v>
                </c:pt>
                <c:pt idx="12">
                  <c:v>5.5025676000000001E-3</c:v>
                </c:pt>
                <c:pt idx="13">
                  <c:v>5.4526185E-3</c:v>
                </c:pt>
                <c:pt idx="14">
                  <c:v>5.4648370000000002E-3</c:v>
                </c:pt>
                <c:pt idx="15">
                  <c:v>5.4735946000000002E-3</c:v>
                </c:pt>
                <c:pt idx="16">
                  <c:v>5.3393868999999997E-3</c:v>
                </c:pt>
                <c:pt idx="17">
                  <c:v>5.398328E-3</c:v>
                </c:pt>
                <c:pt idx="18">
                  <c:v>5.4321279999999996E-3</c:v>
                </c:pt>
                <c:pt idx="19">
                  <c:v>5.4499413999999999E-3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AA_phi_pat!$A$23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AA_phi_pat!$B$23:$U$23</c:f>
              <c:numCache>
                <c:formatCode>General</c:formatCode>
                <c:ptCount val="20"/>
                <c:pt idx="0">
                  <c:v>5.8540162000000001E-3</c:v>
                </c:pt>
                <c:pt idx="1">
                  <c:v>5.8137396999999999E-3</c:v>
                </c:pt>
                <c:pt idx="2">
                  <c:v>5.5657132E-3</c:v>
                </c:pt>
                <c:pt idx="3">
                  <c:v>5.4581085999999999E-3</c:v>
                </c:pt>
                <c:pt idx="4">
                  <c:v>5.3552175000000004E-3</c:v>
                </c:pt>
                <c:pt idx="5">
                  <c:v>5.2787983E-3</c:v>
                </c:pt>
                <c:pt idx="6">
                  <c:v>5.3051356000000001E-3</c:v>
                </c:pt>
                <c:pt idx="7">
                  <c:v>5.3200163E-3</c:v>
                </c:pt>
                <c:pt idx="8">
                  <c:v>5.3450171999999997E-3</c:v>
                </c:pt>
                <c:pt idx="9">
                  <c:v>5.1962490999999996E-3</c:v>
                </c:pt>
                <c:pt idx="10">
                  <c:v>5.5601466000000004E-3</c:v>
                </c:pt>
                <c:pt idx="11">
                  <c:v>5.5939498999999998E-3</c:v>
                </c:pt>
                <c:pt idx="12">
                  <c:v>5.5426586999999996E-3</c:v>
                </c:pt>
                <c:pt idx="13">
                  <c:v>5.4859975E-3</c:v>
                </c:pt>
                <c:pt idx="14">
                  <c:v>5.4866037999999999E-3</c:v>
                </c:pt>
                <c:pt idx="15">
                  <c:v>5.4976922000000003E-3</c:v>
                </c:pt>
                <c:pt idx="16">
                  <c:v>5.2930494000000003E-3</c:v>
                </c:pt>
                <c:pt idx="17">
                  <c:v>5.3345998999999996E-3</c:v>
                </c:pt>
                <c:pt idx="18">
                  <c:v>5.3834952000000004E-3</c:v>
                </c:pt>
                <c:pt idx="19">
                  <c:v>5.3935149000000002E-3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AA_phi_pat!$A$24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AA_phi_pat!$B$24:$U$24</c:f>
              <c:numCache>
                <c:formatCode>General</c:formatCode>
                <c:ptCount val="20"/>
                <c:pt idx="0">
                  <c:v>5.8062226E-3</c:v>
                </c:pt>
                <c:pt idx="1">
                  <c:v>5.7530076999999999E-3</c:v>
                </c:pt>
                <c:pt idx="2">
                  <c:v>5.5051483000000002E-3</c:v>
                </c:pt>
                <c:pt idx="3">
                  <c:v>5.4216808999999998E-3</c:v>
                </c:pt>
                <c:pt idx="4">
                  <c:v>5.3531671999999999E-3</c:v>
                </c:pt>
                <c:pt idx="5">
                  <c:v>5.2783168000000002E-3</c:v>
                </c:pt>
                <c:pt idx="6">
                  <c:v>5.2548092999999997E-3</c:v>
                </c:pt>
                <c:pt idx="7">
                  <c:v>5.2330982999999999E-3</c:v>
                </c:pt>
                <c:pt idx="8">
                  <c:v>5.2614519000000002E-3</c:v>
                </c:pt>
                <c:pt idx="9">
                  <c:v>5.1237395999999998E-3</c:v>
                </c:pt>
                <c:pt idx="10">
                  <c:v>5.5473381999999998E-3</c:v>
                </c:pt>
                <c:pt idx="11">
                  <c:v>5.5789016E-3</c:v>
                </c:pt>
                <c:pt idx="12">
                  <c:v>5.4734553999999996E-3</c:v>
                </c:pt>
                <c:pt idx="13">
                  <c:v>5.4117920999999999E-3</c:v>
                </c:pt>
                <c:pt idx="14">
                  <c:v>5.4547531000000002E-3</c:v>
                </c:pt>
                <c:pt idx="15">
                  <c:v>5.4902405999999997E-3</c:v>
                </c:pt>
                <c:pt idx="16">
                  <c:v>5.3060353000000003E-3</c:v>
                </c:pt>
                <c:pt idx="17">
                  <c:v>5.4084518999999998E-3</c:v>
                </c:pt>
                <c:pt idx="18">
                  <c:v>5.3786258E-3</c:v>
                </c:pt>
                <c:pt idx="19">
                  <c:v>5.4007103000000001E-3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AA_phi_pat!$A$25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AA_phi_pat!$B$25:$U$25</c:f>
              <c:numCache>
                <c:formatCode>General</c:formatCode>
                <c:ptCount val="20"/>
                <c:pt idx="0">
                  <c:v>5.8450797000000002E-3</c:v>
                </c:pt>
                <c:pt idx="1">
                  <c:v>5.8000255000000001E-3</c:v>
                </c:pt>
                <c:pt idx="2">
                  <c:v>5.541476E-3</c:v>
                </c:pt>
                <c:pt idx="3">
                  <c:v>5.4686316E-3</c:v>
                </c:pt>
                <c:pt idx="4">
                  <c:v>5.3639802999999996E-3</c:v>
                </c:pt>
                <c:pt idx="5">
                  <c:v>5.3163011999999999E-3</c:v>
                </c:pt>
                <c:pt idx="6">
                  <c:v>5.3327838000000001E-3</c:v>
                </c:pt>
                <c:pt idx="7">
                  <c:v>5.3280871E-3</c:v>
                </c:pt>
                <c:pt idx="8">
                  <c:v>5.3508147000000004E-3</c:v>
                </c:pt>
                <c:pt idx="9">
                  <c:v>5.2094995E-3</c:v>
                </c:pt>
                <c:pt idx="10">
                  <c:v>5.5846515999999997E-3</c:v>
                </c:pt>
                <c:pt idx="11">
                  <c:v>5.5663613999999998E-3</c:v>
                </c:pt>
                <c:pt idx="12">
                  <c:v>5.4869107E-3</c:v>
                </c:pt>
                <c:pt idx="13">
                  <c:v>5.4644988999999998E-3</c:v>
                </c:pt>
                <c:pt idx="14">
                  <c:v>5.4644905000000004E-3</c:v>
                </c:pt>
                <c:pt idx="15">
                  <c:v>5.4796649999999999E-3</c:v>
                </c:pt>
                <c:pt idx="16">
                  <c:v>5.3443001000000002E-3</c:v>
                </c:pt>
                <c:pt idx="17">
                  <c:v>5.3173331999999997E-3</c:v>
                </c:pt>
                <c:pt idx="18">
                  <c:v>5.3653307000000004E-3</c:v>
                </c:pt>
                <c:pt idx="19">
                  <c:v>5.3866039999999997E-3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AA_phi_pat!$A$26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AA_phi_pat!$B$26:$U$26</c:f>
              <c:numCache>
                <c:formatCode>General</c:formatCode>
                <c:ptCount val="20"/>
                <c:pt idx="0">
                  <c:v>6.1105760000000004E-3</c:v>
                </c:pt>
                <c:pt idx="1">
                  <c:v>6.0860310000000004E-3</c:v>
                </c:pt>
                <c:pt idx="2">
                  <c:v>5.8209333E-3</c:v>
                </c:pt>
                <c:pt idx="3">
                  <c:v>5.6620422E-3</c:v>
                </c:pt>
                <c:pt idx="4">
                  <c:v>5.6162672000000004E-3</c:v>
                </c:pt>
                <c:pt idx="5">
                  <c:v>5.5882431999999998E-3</c:v>
                </c:pt>
                <c:pt idx="6">
                  <c:v>5.6169419999999998E-3</c:v>
                </c:pt>
                <c:pt idx="7">
                  <c:v>5.5827200000000002E-3</c:v>
                </c:pt>
                <c:pt idx="8">
                  <c:v>5.6504277000000002E-3</c:v>
                </c:pt>
                <c:pt idx="9">
                  <c:v>5.5171717000000002E-3</c:v>
                </c:pt>
                <c:pt idx="10">
                  <c:v>5.9427706999999998E-3</c:v>
                </c:pt>
                <c:pt idx="11">
                  <c:v>5.9660794000000001E-3</c:v>
                </c:pt>
                <c:pt idx="12">
                  <c:v>5.9175338000000003E-3</c:v>
                </c:pt>
                <c:pt idx="13">
                  <c:v>5.8508520000000001E-3</c:v>
                </c:pt>
                <c:pt idx="14">
                  <c:v>5.8839410000000002E-3</c:v>
                </c:pt>
                <c:pt idx="15">
                  <c:v>5.8924258E-3</c:v>
                </c:pt>
                <c:pt idx="16">
                  <c:v>5.7184588999999999E-3</c:v>
                </c:pt>
                <c:pt idx="17">
                  <c:v>5.7821725000000001E-3</c:v>
                </c:pt>
                <c:pt idx="18">
                  <c:v>5.7379077000000002E-3</c:v>
                </c:pt>
                <c:pt idx="19">
                  <c:v>5.7549643999999997E-3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AA_phi_pat!$A$27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AA_phi_pat!$B$27:$U$27</c:f>
              <c:numCache>
                <c:formatCode>General</c:formatCode>
                <c:ptCount val="20"/>
                <c:pt idx="0">
                  <c:v>5.8004544000000002E-3</c:v>
                </c:pt>
                <c:pt idx="1">
                  <c:v>5.7546087000000003E-3</c:v>
                </c:pt>
                <c:pt idx="2">
                  <c:v>5.4983716000000004E-3</c:v>
                </c:pt>
                <c:pt idx="3">
                  <c:v>5.4274685999999997E-3</c:v>
                </c:pt>
                <c:pt idx="4">
                  <c:v>5.3241373999999998E-3</c:v>
                </c:pt>
                <c:pt idx="5">
                  <c:v>5.2905525000000002E-3</c:v>
                </c:pt>
                <c:pt idx="6">
                  <c:v>5.2798408999999999E-3</c:v>
                </c:pt>
                <c:pt idx="7">
                  <c:v>5.2495505999999997E-3</c:v>
                </c:pt>
                <c:pt idx="8">
                  <c:v>5.2934028000000003E-3</c:v>
                </c:pt>
                <c:pt idx="9">
                  <c:v>5.1617045000000002E-3</c:v>
                </c:pt>
                <c:pt idx="10">
                  <c:v>5.6007621E-3</c:v>
                </c:pt>
                <c:pt idx="11">
                  <c:v>5.5836052999999998E-3</c:v>
                </c:pt>
                <c:pt idx="12">
                  <c:v>5.5241346999999998E-3</c:v>
                </c:pt>
                <c:pt idx="13">
                  <c:v>5.4194205000000001E-3</c:v>
                </c:pt>
                <c:pt idx="14">
                  <c:v>5.4283263000000003E-3</c:v>
                </c:pt>
                <c:pt idx="15">
                  <c:v>5.4342211E-3</c:v>
                </c:pt>
                <c:pt idx="16">
                  <c:v>5.3453826999999999E-3</c:v>
                </c:pt>
                <c:pt idx="17">
                  <c:v>5.4112411999999999E-3</c:v>
                </c:pt>
                <c:pt idx="18">
                  <c:v>5.3908908999999996E-3</c:v>
                </c:pt>
                <c:pt idx="19">
                  <c:v>5.4341075000000003E-3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AA_phi_pat!$A$28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AA_phi_pat!$B$28:$U$28</c:f>
              <c:numCache>
                <c:formatCode>General</c:formatCode>
                <c:ptCount val="20"/>
                <c:pt idx="0">
                  <c:v>5.8068787000000004E-3</c:v>
                </c:pt>
                <c:pt idx="1">
                  <c:v>5.7602208000000002E-3</c:v>
                </c:pt>
                <c:pt idx="2">
                  <c:v>5.518808E-3</c:v>
                </c:pt>
                <c:pt idx="3">
                  <c:v>5.4279501000000004E-3</c:v>
                </c:pt>
                <c:pt idx="4">
                  <c:v>5.3364904999999999E-3</c:v>
                </c:pt>
                <c:pt idx="5">
                  <c:v>5.2794911999999999E-3</c:v>
                </c:pt>
                <c:pt idx="6">
                  <c:v>5.2673872999999998E-3</c:v>
                </c:pt>
                <c:pt idx="7">
                  <c:v>5.2041146000000003E-3</c:v>
                </c:pt>
                <c:pt idx="8">
                  <c:v>5.2722651000000004E-3</c:v>
                </c:pt>
                <c:pt idx="9">
                  <c:v>5.1546092000000002E-3</c:v>
                </c:pt>
                <c:pt idx="10">
                  <c:v>5.5745467999999999E-3</c:v>
                </c:pt>
                <c:pt idx="11">
                  <c:v>5.5814488000000004E-3</c:v>
                </c:pt>
                <c:pt idx="12">
                  <c:v>5.5153401999999997E-3</c:v>
                </c:pt>
                <c:pt idx="13">
                  <c:v>5.4561658999999997E-3</c:v>
                </c:pt>
                <c:pt idx="14">
                  <c:v>5.4647741E-3</c:v>
                </c:pt>
                <c:pt idx="15">
                  <c:v>5.4650428000000001E-3</c:v>
                </c:pt>
                <c:pt idx="16">
                  <c:v>5.3409976000000003E-3</c:v>
                </c:pt>
                <c:pt idx="17">
                  <c:v>5.3949467999999997E-3</c:v>
                </c:pt>
                <c:pt idx="18">
                  <c:v>5.3602195999999996E-3</c:v>
                </c:pt>
                <c:pt idx="19">
                  <c:v>5.3629777000000003E-3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AA_phi_pat!$A$29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AA_phi_pat!$B$29:$U$29</c:f>
              <c:numCache>
                <c:formatCode>General</c:formatCode>
                <c:ptCount val="20"/>
                <c:pt idx="0">
                  <c:v>5.7421918000000001E-3</c:v>
                </c:pt>
                <c:pt idx="1">
                  <c:v>5.6694411000000004E-3</c:v>
                </c:pt>
                <c:pt idx="2">
                  <c:v>5.4295715E-3</c:v>
                </c:pt>
                <c:pt idx="3">
                  <c:v>5.3452876999999996E-3</c:v>
                </c:pt>
                <c:pt idx="4">
                  <c:v>5.2244975000000004E-3</c:v>
                </c:pt>
                <c:pt idx="5">
                  <c:v>5.1317764000000004E-3</c:v>
                </c:pt>
                <c:pt idx="6">
                  <c:v>5.1165014E-3</c:v>
                </c:pt>
                <c:pt idx="7">
                  <c:v>5.0230142999999998E-3</c:v>
                </c:pt>
                <c:pt idx="8">
                  <c:v>5.0688660999999996E-3</c:v>
                </c:pt>
                <c:pt idx="9">
                  <c:v>4.9372963000000004E-3</c:v>
                </c:pt>
                <c:pt idx="10">
                  <c:v>5.3174631000000002E-3</c:v>
                </c:pt>
                <c:pt idx="11">
                  <c:v>5.3717983000000002E-3</c:v>
                </c:pt>
                <c:pt idx="12">
                  <c:v>5.3157574000000001E-3</c:v>
                </c:pt>
                <c:pt idx="13">
                  <c:v>5.2401326E-3</c:v>
                </c:pt>
                <c:pt idx="14">
                  <c:v>5.2391738E-3</c:v>
                </c:pt>
                <c:pt idx="15">
                  <c:v>5.2746125000000003E-3</c:v>
                </c:pt>
                <c:pt idx="16">
                  <c:v>5.1536554999999998E-3</c:v>
                </c:pt>
                <c:pt idx="17">
                  <c:v>5.1965806999999999E-3</c:v>
                </c:pt>
                <c:pt idx="18">
                  <c:v>5.3121308000000002E-3</c:v>
                </c:pt>
                <c:pt idx="19">
                  <c:v>5.3367125999999997E-3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AA_phi_pat!$A$30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AA_phi_pat!$B$30:$U$30</c:f>
              <c:numCache>
                <c:formatCode>General</c:formatCode>
                <c:ptCount val="20"/>
                <c:pt idx="0">
                  <c:v>6.6621372999999999E-3</c:v>
                </c:pt>
                <c:pt idx="1">
                  <c:v>6.6965478E-3</c:v>
                </c:pt>
                <c:pt idx="2">
                  <c:v>6.5068258000000002E-3</c:v>
                </c:pt>
                <c:pt idx="3">
                  <c:v>6.4431786999999997E-3</c:v>
                </c:pt>
                <c:pt idx="4">
                  <c:v>6.4128665000000003E-3</c:v>
                </c:pt>
                <c:pt idx="5">
                  <c:v>6.3251304000000001E-3</c:v>
                </c:pt>
                <c:pt idx="6">
                  <c:v>6.3994726999999996E-3</c:v>
                </c:pt>
                <c:pt idx="7">
                  <c:v>6.5034102000000003E-3</c:v>
                </c:pt>
                <c:pt idx="8">
                  <c:v>6.5725356999999998E-3</c:v>
                </c:pt>
                <c:pt idx="9">
                  <c:v>6.4699071999999996E-3</c:v>
                </c:pt>
                <c:pt idx="10">
                  <c:v>6.9305547999999996E-3</c:v>
                </c:pt>
                <c:pt idx="11">
                  <c:v>6.8898824999999997E-3</c:v>
                </c:pt>
                <c:pt idx="12">
                  <c:v>6.9471257999999996E-3</c:v>
                </c:pt>
                <c:pt idx="13">
                  <c:v>6.8536485000000001E-3</c:v>
                </c:pt>
                <c:pt idx="14">
                  <c:v>6.8154321000000002E-3</c:v>
                </c:pt>
                <c:pt idx="15">
                  <c:v>6.8549602000000003E-3</c:v>
                </c:pt>
                <c:pt idx="16">
                  <c:v>6.8034832E-3</c:v>
                </c:pt>
                <c:pt idx="17">
                  <c:v>6.8978620999999999E-3</c:v>
                </c:pt>
                <c:pt idx="18">
                  <c:v>6.8732686000000003E-3</c:v>
                </c:pt>
                <c:pt idx="19">
                  <c:v>6.8994280999999996E-3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AA_phi_pat!$A$31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AA_phi_pat!$B$31:$U$31</c:f>
              <c:numCache>
                <c:formatCode>General</c:formatCode>
                <c:ptCount val="20"/>
                <c:pt idx="0">
                  <c:v>6.6929477999999997E-3</c:v>
                </c:pt>
                <c:pt idx="1">
                  <c:v>6.7406072999999997E-3</c:v>
                </c:pt>
                <c:pt idx="2">
                  <c:v>6.4852199999999999E-3</c:v>
                </c:pt>
                <c:pt idx="3">
                  <c:v>6.4319972999999997E-3</c:v>
                </c:pt>
                <c:pt idx="4">
                  <c:v>6.3293482999999999E-3</c:v>
                </c:pt>
                <c:pt idx="5">
                  <c:v>6.2495129999999999E-3</c:v>
                </c:pt>
                <c:pt idx="6">
                  <c:v>6.3034385000000004E-3</c:v>
                </c:pt>
                <c:pt idx="7">
                  <c:v>6.3642491999999998E-3</c:v>
                </c:pt>
                <c:pt idx="8">
                  <c:v>6.3614398000000003E-3</c:v>
                </c:pt>
                <c:pt idx="9">
                  <c:v>6.2540755999999998E-3</c:v>
                </c:pt>
                <c:pt idx="10">
                  <c:v>6.7460890999999999E-3</c:v>
                </c:pt>
                <c:pt idx="11">
                  <c:v>6.743303E-3</c:v>
                </c:pt>
                <c:pt idx="12">
                  <c:v>6.7228330000000001E-3</c:v>
                </c:pt>
                <c:pt idx="13">
                  <c:v>6.6606536999999997E-3</c:v>
                </c:pt>
                <c:pt idx="14">
                  <c:v>6.6762962E-3</c:v>
                </c:pt>
                <c:pt idx="15">
                  <c:v>6.7068003000000003E-3</c:v>
                </c:pt>
                <c:pt idx="16">
                  <c:v>6.5539995999999998E-3</c:v>
                </c:pt>
                <c:pt idx="17">
                  <c:v>6.5946872000000002E-3</c:v>
                </c:pt>
                <c:pt idx="18">
                  <c:v>6.5711666999999996E-3</c:v>
                </c:pt>
                <c:pt idx="19">
                  <c:v>6.5831513999999999E-3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AA_phi_pat!$A$32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AA_phi_pat!$B$32:$U$32</c:f>
              <c:numCache>
                <c:formatCode>General</c:formatCode>
                <c:ptCount val="20"/>
                <c:pt idx="0">
                  <c:v>6.9991345999999999E-3</c:v>
                </c:pt>
                <c:pt idx="1">
                  <c:v>7.0667439000000002E-3</c:v>
                </c:pt>
                <c:pt idx="2">
                  <c:v>6.8749036000000001E-3</c:v>
                </c:pt>
                <c:pt idx="3">
                  <c:v>6.8348031E-3</c:v>
                </c:pt>
                <c:pt idx="4">
                  <c:v>6.8005742999999999E-3</c:v>
                </c:pt>
                <c:pt idx="5">
                  <c:v>6.8069682000000001E-3</c:v>
                </c:pt>
                <c:pt idx="6">
                  <c:v>6.9008105999999996E-3</c:v>
                </c:pt>
                <c:pt idx="7">
                  <c:v>7.0446212999999997E-3</c:v>
                </c:pt>
                <c:pt idx="8">
                  <c:v>7.1482975000000002E-3</c:v>
                </c:pt>
                <c:pt idx="9">
                  <c:v>7.0790699999999998E-3</c:v>
                </c:pt>
                <c:pt idx="10">
                  <c:v>7.6446895999999999E-3</c:v>
                </c:pt>
                <c:pt idx="11">
                  <c:v>7.6348045999999996E-3</c:v>
                </c:pt>
                <c:pt idx="12">
                  <c:v>7.6426039000000003E-3</c:v>
                </c:pt>
                <c:pt idx="13">
                  <c:v>7.5203949000000004E-3</c:v>
                </c:pt>
                <c:pt idx="14">
                  <c:v>7.5226724000000003E-3</c:v>
                </c:pt>
                <c:pt idx="15">
                  <c:v>7.6288730000000004E-3</c:v>
                </c:pt>
                <c:pt idx="16">
                  <c:v>7.4627757999999999E-3</c:v>
                </c:pt>
                <c:pt idx="17">
                  <c:v>7.5186901000000002E-3</c:v>
                </c:pt>
                <c:pt idx="18">
                  <c:v>7.4658896999999997E-3</c:v>
                </c:pt>
                <c:pt idx="19">
                  <c:v>7.4206181E-3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AA_phi_pat!$A$33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AA_phi_pat!$B$33:$U$33</c:f>
              <c:numCache>
                <c:formatCode>General</c:formatCode>
                <c:ptCount val="20"/>
                <c:pt idx="0">
                  <c:v>7.0772450000000002E-3</c:v>
                </c:pt>
                <c:pt idx="1">
                  <c:v>7.1500903000000001E-3</c:v>
                </c:pt>
                <c:pt idx="2">
                  <c:v>6.9635836E-3</c:v>
                </c:pt>
                <c:pt idx="3">
                  <c:v>6.8586319999999999E-3</c:v>
                </c:pt>
                <c:pt idx="4">
                  <c:v>6.8813911999999998E-3</c:v>
                </c:pt>
                <c:pt idx="5">
                  <c:v>6.9024228000000003E-3</c:v>
                </c:pt>
                <c:pt idx="6">
                  <c:v>7.0690205000000002E-3</c:v>
                </c:pt>
                <c:pt idx="7">
                  <c:v>7.1597555999999996E-3</c:v>
                </c:pt>
                <c:pt idx="8">
                  <c:v>7.2915688999999999E-3</c:v>
                </c:pt>
                <c:pt idx="9">
                  <c:v>7.1575320000000003E-3</c:v>
                </c:pt>
                <c:pt idx="10">
                  <c:v>7.7271754999999999E-3</c:v>
                </c:pt>
                <c:pt idx="11">
                  <c:v>7.6827900000000001E-3</c:v>
                </c:pt>
                <c:pt idx="12">
                  <c:v>7.7624E-3</c:v>
                </c:pt>
                <c:pt idx="13">
                  <c:v>7.7080433E-3</c:v>
                </c:pt>
                <c:pt idx="14">
                  <c:v>7.7320313999999996E-3</c:v>
                </c:pt>
                <c:pt idx="15">
                  <c:v>7.8137590999999996E-3</c:v>
                </c:pt>
                <c:pt idx="16">
                  <c:v>7.6169901999999998E-3</c:v>
                </c:pt>
                <c:pt idx="17">
                  <c:v>7.7303145E-3</c:v>
                </c:pt>
                <c:pt idx="18">
                  <c:v>7.6406490999999998E-3</c:v>
                </c:pt>
                <c:pt idx="19">
                  <c:v>7.6241475000000001E-3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AA_phi_pat!$A$34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AA_phi_pat!$B$34:$U$34</c:f>
              <c:numCache>
                <c:formatCode>General</c:formatCode>
                <c:ptCount val="20"/>
                <c:pt idx="0">
                  <c:v>7.0629660000000004E-3</c:v>
                </c:pt>
                <c:pt idx="1">
                  <c:v>7.1349628000000002E-3</c:v>
                </c:pt>
                <c:pt idx="2">
                  <c:v>6.9204723000000001E-3</c:v>
                </c:pt>
                <c:pt idx="3">
                  <c:v>6.8440306999999999E-3</c:v>
                </c:pt>
                <c:pt idx="4">
                  <c:v>6.8375644999999997E-3</c:v>
                </c:pt>
                <c:pt idx="5">
                  <c:v>6.8740983999999996E-3</c:v>
                </c:pt>
                <c:pt idx="6">
                  <c:v>7.0525733999999996E-3</c:v>
                </c:pt>
                <c:pt idx="7">
                  <c:v>7.2527225000000002E-3</c:v>
                </c:pt>
                <c:pt idx="8">
                  <c:v>7.3547730999999998E-3</c:v>
                </c:pt>
                <c:pt idx="9">
                  <c:v>7.2165355000000002E-3</c:v>
                </c:pt>
                <c:pt idx="10">
                  <c:v>7.7318949999999999E-3</c:v>
                </c:pt>
                <c:pt idx="11">
                  <c:v>7.6997940999999999E-3</c:v>
                </c:pt>
                <c:pt idx="12">
                  <c:v>7.7301738999999998E-3</c:v>
                </c:pt>
                <c:pt idx="13">
                  <c:v>7.6831114000000004E-3</c:v>
                </c:pt>
                <c:pt idx="14">
                  <c:v>7.6698666000000002E-3</c:v>
                </c:pt>
                <c:pt idx="15">
                  <c:v>7.7951988E-3</c:v>
                </c:pt>
                <c:pt idx="16">
                  <c:v>7.6249311999999998E-3</c:v>
                </c:pt>
                <c:pt idx="17">
                  <c:v>7.7222944000000003E-3</c:v>
                </c:pt>
                <c:pt idx="18">
                  <c:v>7.7278757999999998E-3</c:v>
                </c:pt>
                <c:pt idx="19">
                  <c:v>7.6971868999999998E-3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AA_phi_pat!$A$35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AA_phi_pat!$B$35:$U$35</c:f>
              <c:numCache>
                <c:formatCode>General</c:formatCode>
                <c:ptCount val="20"/>
                <c:pt idx="0">
                  <c:v>5.0113266000000002E-3</c:v>
                </c:pt>
                <c:pt idx="1">
                  <c:v>5.0485492999999999E-3</c:v>
                </c:pt>
                <c:pt idx="2">
                  <c:v>4.8807067999999997E-3</c:v>
                </c:pt>
                <c:pt idx="3">
                  <c:v>4.8018688999999998E-3</c:v>
                </c:pt>
                <c:pt idx="4">
                  <c:v>4.7638276999999998E-3</c:v>
                </c:pt>
                <c:pt idx="5">
                  <c:v>4.6962490000000004E-3</c:v>
                </c:pt>
                <c:pt idx="6">
                  <c:v>4.7505437000000001E-3</c:v>
                </c:pt>
                <c:pt idx="7">
                  <c:v>4.7106127999999997E-3</c:v>
                </c:pt>
                <c:pt idx="8">
                  <c:v>4.7157570000000001E-3</c:v>
                </c:pt>
                <c:pt idx="9">
                  <c:v>4.6186852E-3</c:v>
                </c:pt>
                <c:pt idx="10">
                  <c:v>5.0087292E-3</c:v>
                </c:pt>
                <c:pt idx="11">
                  <c:v>5.0468761000000001E-3</c:v>
                </c:pt>
                <c:pt idx="12">
                  <c:v>5.0356495000000003E-3</c:v>
                </c:pt>
                <c:pt idx="13">
                  <c:v>4.9734940000000002E-3</c:v>
                </c:pt>
                <c:pt idx="14">
                  <c:v>4.9256100000000004E-3</c:v>
                </c:pt>
                <c:pt idx="15">
                  <c:v>4.9187861999999997E-3</c:v>
                </c:pt>
                <c:pt idx="16">
                  <c:v>4.9050882999999998E-3</c:v>
                </c:pt>
                <c:pt idx="17">
                  <c:v>5.0017163000000003E-3</c:v>
                </c:pt>
                <c:pt idx="18">
                  <c:v>5.0367336E-3</c:v>
                </c:pt>
                <c:pt idx="19">
                  <c:v>5.1297065999999997E-3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AA_phi_pat!$A$36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AA_phi_pat!$B$36:$U$36</c:f>
              <c:numCache>
                <c:formatCode>General</c:formatCode>
                <c:ptCount val="20"/>
                <c:pt idx="0">
                  <c:v>5.0357602999999999E-3</c:v>
                </c:pt>
                <c:pt idx="1">
                  <c:v>5.0757644000000001E-3</c:v>
                </c:pt>
                <c:pt idx="2">
                  <c:v>4.8971804999999998E-3</c:v>
                </c:pt>
                <c:pt idx="3">
                  <c:v>4.8495834000000003E-3</c:v>
                </c:pt>
                <c:pt idx="4">
                  <c:v>4.7972863999999997E-3</c:v>
                </c:pt>
                <c:pt idx="5">
                  <c:v>4.7545456E-3</c:v>
                </c:pt>
                <c:pt idx="6">
                  <c:v>4.7891530999999996E-3</c:v>
                </c:pt>
                <c:pt idx="7">
                  <c:v>4.7969952999999997E-3</c:v>
                </c:pt>
                <c:pt idx="8">
                  <c:v>4.8736986000000003E-3</c:v>
                </c:pt>
                <c:pt idx="9">
                  <c:v>4.7821625999999997E-3</c:v>
                </c:pt>
                <c:pt idx="10">
                  <c:v>5.1756933999999996E-3</c:v>
                </c:pt>
                <c:pt idx="11">
                  <c:v>5.2510732999999999E-3</c:v>
                </c:pt>
                <c:pt idx="12">
                  <c:v>5.23677E-3</c:v>
                </c:pt>
                <c:pt idx="13">
                  <c:v>5.1554375999999999E-3</c:v>
                </c:pt>
                <c:pt idx="14">
                  <c:v>5.2065508999999998E-3</c:v>
                </c:pt>
                <c:pt idx="15">
                  <c:v>5.2370359E-3</c:v>
                </c:pt>
                <c:pt idx="16">
                  <c:v>5.2100788000000002E-3</c:v>
                </c:pt>
                <c:pt idx="17">
                  <c:v>5.2849975999999998E-3</c:v>
                </c:pt>
                <c:pt idx="18">
                  <c:v>5.3360452999999999E-3</c:v>
                </c:pt>
                <c:pt idx="19">
                  <c:v>5.3632185000000001E-3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AA_phi_pat!$A$37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AA_phi_pat!$B$2:$U$2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AA_phi_pat!$B$37:$U$37</c:f>
              <c:numCache>
                <c:formatCode>General</c:formatCode>
                <c:ptCount val="20"/>
                <c:pt idx="0">
                  <c:v>4.9130898000000001E-3</c:v>
                </c:pt>
                <c:pt idx="1">
                  <c:v>4.8843984999999996E-3</c:v>
                </c:pt>
                <c:pt idx="2">
                  <c:v>4.6799490000000001E-3</c:v>
                </c:pt>
                <c:pt idx="3">
                  <c:v>4.6071339999999997E-3</c:v>
                </c:pt>
                <c:pt idx="4">
                  <c:v>4.5608990000000002E-3</c:v>
                </c:pt>
                <c:pt idx="5">
                  <c:v>4.5025869999999997E-3</c:v>
                </c:pt>
                <c:pt idx="6">
                  <c:v>4.4929831999999999E-3</c:v>
                </c:pt>
                <c:pt idx="7">
                  <c:v>4.4436053999999999E-3</c:v>
                </c:pt>
                <c:pt idx="8">
                  <c:v>4.4579891999999999E-3</c:v>
                </c:pt>
                <c:pt idx="9">
                  <c:v>4.3609002999999997E-3</c:v>
                </c:pt>
                <c:pt idx="10">
                  <c:v>4.7143586000000003E-3</c:v>
                </c:pt>
                <c:pt idx="11">
                  <c:v>4.7101234000000002E-3</c:v>
                </c:pt>
                <c:pt idx="12">
                  <c:v>4.6982858000000002E-3</c:v>
                </c:pt>
                <c:pt idx="13">
                  <c:v>4.6214628999999997E-3</c:v>
                </c:pt>
                <c:pt idx="14">
                  <c:v>4.5779287E-3</c:v>
                </c:pt>
                <c:pt idx="15">
                  <c:v>4.5365281000000002E-3</c:v>
                </c:pt>
                <c:pt idx="16">
                  <c:v>4.4870982000000002E-3</c:v>
                </c:pt>
                <c:pt idx="17">
                  <c:v>4.5755552000000003E-3</c:v>
                </c:pt>
                <c:pt idx="18">
                  <c:v>4.7567342000000004E-3</c:v>
                </c:pt>
                <c:pt idx="19">
                  <c:v>4.7915746E-3</c:v>
                </c:pt>
              </c:numCache>
            </c:numRef>
          </c:yVal>
          <c:smooth val="1"/>
        </c:ser>
        <c:axId val="90532096"/>
        <c:axId val="90550656"/>
      </c:scatterChart>
      <c:valAx>
        <c:axId val="9053209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50656"/>
        <c:crosses val="autoZero"/>
        <c:crossBetween val="midCat"/>
      </c:valAx>
      <c:valAx>
        <c:axId val="90550656"/>
        <c:scaling>
          <c:orientation val="minMax"/>
        </c:scaling>
        <c:axPos val="l"/>
        <c:numFmt formatCode="General" sourceLinked="1"/>
        <c:tickLblPos val="nextTo"/>
        <c:crossAx val="90532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770639560357028"/>
          <c:y val="5.4484692189051311E-2"/>
          <c:w val="0.27105458399576049"/>
          <c:h val="0.86040824992038567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AA_T_phi_den!$B$3:$U$3</c:f>
              <c:numCache>
                <c:formatCode>General</c:formatCode>
                <c:ptCount val="20"/>
                <c:pt idx="0">
                  <c:v>1.9848189885851877E-2</c:v>
                </c:pt>
                <c:pt idx="1">
                  <c:v>2.0675902187161407E-2</c:v>
                </c:pt>
                <c:pt idx="2">
                  <c:v>2.1025691331126899E-2</c:v>
                </c:pt>
                <c:pt idx="3">
                  <c:v>2.1088568623449579E-2</c:v>
                </c:pt>
                <c:pt idx="4">
                  <c:v>2.1426696819706964E-2</c:v>
                </c:pt>
                <c:pt idx="5">
                  <c:v>2.1590806485582613E-2</c:v>
                </c:pt>
                <c:pt idx="6">
                  <c:v>2.1943079974120674E-2</c:v>
                </c:pt>
                <c:pt idx="7">
                  <c:v>2.2502368953310752E-2</c:v>
                </c:pt>
                <c:pt idx="8">
                  <c:v>2.2651148324344193E-2</c:v>
                </c:pt>
                <c:pt idx="9">
                  <c:v>2.2296622784161134E-2</c:v>
                </c:pt>
                <c:pt idx="10">
                  <c:v>2.4211323902577044E-2</c:v>
                </c:pt>
                <c:pt idx="11">
                  <c:v>2.4384407927211488E-2</c:v>
                </c:pt>
                <c:pt idx="12">
                  <c:v>2.4540451944202686E-2</c:v>
                </c:pt>
                <c:pt idx="13">
                  <c:v>2.4373857615239788E-2</c:v>
                </c:pt>
                <c:pt idx="14">
                  <c:v>2.435957172026176E-2</c:v>
                </c:pt>
                <c:pt idx="15">
                  <c:v>2.4635159074952066E-2</c:v>
                </c:pt>
                <c:pt idx="16">
                  <c:v>2.4046061366074702E-2</c:v>
                </c:pt>
                <c:pt idx="17">
                  <c:v>2.4902447303833265E-2</c:v>
                </c:pt>
                <c:pt idx="18">
                  <c:v>2.4481508861921627E-2</c:v>
                </c:pt>
                <c:pt idx="19">
                  <c:v>2.4492263770904958E-2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AA_T_phi_den!$B$21:$U$21</c:f>
              <c:numCache>
                <c:formatCode>General</c:formatCode>
                <c:ptCount val="20"/>
                <c:pt idx="0">
                  <c:v>1.819121827738002E-2</c:v>
                </c:pt>
                <c:pt idx="1">
                  <c:v>1.9426653822511082E-2</c:v>
                </c:pt>
                <c:pt idx="2">
                  <c:v>2.0212235339361836E-2</c:v>
                </c:pt>
                <c:pt idx="3">
                  <c:v>2.0167850507532715E-2</c:v>
                </c:pt>
                <c:pt idx="4">
                  <c:v>2.0460590977424607E-2</c:v>
                </c:pt>
                <c:pt idx="5">
                  <c:v>2.0378536906765873E-2</c:v>
                </c:pt>
                <c:pt idx="6">
                  <c:v>2.0787307391845117E-2</c:v>
                </c:pt>
                <c:pt idx="7">
                  <c:v>2.0732782699936069E-2</c:v>
                </c:pt>
                <c:pt idx="8">
                  <c:v>2.1081050383438226E-2</c:v>
                </c:pt>
                <c:pt idx="9">
                  <c:v>2.0579869894168927E-2</c:v>
                </c:pt>
                <c:pt idx="10">
                  <c:v>2.2179011574071684E-2</c:v>
                </c:pt>
                <c:pt idx="11">
                  <c:v>2.2406663320982047E-2</c:v>
                </c:pt>
                <c:pt idx="12">
                  <c:v>2.2324642891309053E-2</c:v>
                </c:pt>
                <c:pt idx="13">
                  <c:v>2.2190978933482798E-2</c:v>
                </c:pt>
                <c:pt idx="14">
                  <c:v>2.2333994220817058E-2</c:v>
                </c:pt>
                <c:pt idx="15">
                  <c:v>2.2374856764001888E-2</c:v>
                </c:pt>
                <c:pt idx="16">
                  <c:v>2.1752764295647004E-2</c:v>
                </c:pt>
                <c:pt idx="17">
                  <c:v>2.2010155723635606E-2</c:v>
                </c:pt>
                <c:pt idx="18">
                  <c:v>2.1939943621548115E-2</c:v>
                </c:pt>
                <c:pt idx="19">
                  <c:v>2.169925181503022E-2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AA_T_phi_den!$B$37:$U$37</c:f>
              <c:numCache>
                <c:formatCode>General</c:formatCode>
                <c:ptCount val="20"/>
                <c:pt idx="0">
                  <c:v>1.5341914333572624E-2</c:v>
                </c:pt>
                <c:pt idx="1">
                  <c:v>1.5825282510685636E-2</c:v>
                </c:pt>
                <c:pt idx="2">
                  <c:v>1.5744315699134311E-2</c:v>
                </c:pt>
                <c:pt idx="3">
                  <c:v>1.5435266147611121E-2</c:v>
                </c:pt>
                <c:pt idx="4">
                  <c:v>1.5513740748090803E-2</c:v>
                </c:pt>
                <c:pt idx="5">
                  <c:v>1.5461250996950926E-2</c:v>
                </c:pt>
                <c:pt idx="6">
                  <c:v>1.5598597818623322E-2</c:v>
                </c:pt>
                <c:pt idx="7">
                  <c:v>1.5499181357803754E-2</c:v>
                </c:pt>
                <c:pt idx="8">
                  <c:v>1.5652573217309174E-2</c:v>
                </c:pt>
                <c:pt idx="9">
                  <c:v>1.541880497091422E-2</c:v>
                </c:pt>
                <c:pt idx="10">
                  <c:v>1.673190101639967E-2</c:v>
                </c:pt>
                <c:pt idx="11">
                  <c:v>1.6813238433501645E-2</c:v>
                </c:pt>
                <c:pt idx="12">
                  <c:v>1.6812725612142823E-2</c:v>
                </c:pt>
                <c:pt idx="13">
                  <c:v>1.6576894104777303E-2</c:v>
                </c:pt>
                <c:pt idx="14">
                  <c:v>1.6476383351994316E-2</c:v>
                </c:pt>
                <c:pt idx="15">
                  <c:v>1.6381241601315367E-2</c:v>
                </c:pt>
                <c:pt idx="16">
                  <c:v>1.6076535819287006E-2</c:v>
                </c:pt>
                <c:pt idx="17">
                  <c:v>1.6326945367790204E-2</c:v>
                </c:pt>
                <c:pt idx="18">
                  <c:v>1.6345670268390101E-2</c:v>
                </c:pt>
                <c:pt idx="19">
                  <c:v>1.6323964291183931E-2</c:v>
                </c:pt>
              </c:numCache>
            </c:numRef>
          </c:yVal>
          <c:smooth val="1"/>
        </c:ser>
        <c:axId val="80748928"/>
        <c:axId val="80750848"/>
      </c:scatterChart>
      <c:valAx>
        <c:axId val="8074892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750848"/>
        <c:crosses val="autoZero"/>
        <c:crossBetween val="midCat"/>
      </c:valAx>
      <c:valAx>
        <c:axId val="80750848"/>
        <c:scaling>
          <c:orientation val="minMax"/>
        </c:scaling>
        <c:axPos val="l"/>
        <c:numFmt formatCode="General" sourceLinked="1"/>
        <c:tickLblPos val="nextTo"/>
        <c:crossAx val="80748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1094831616883412E-2"/>
          <c:y val="3.5106781612772711E-2"/>
          <c:w val="0.62686632379045093"/>
          <c:h val="0.88567850362578193"/>
        </c:manualLayout>
      </c:layout>
      <c:scatterChart>
        <c:scatterStyle val="smoothMarker"/>
        <c:ser>
          <c:idx val="0"/>
          <c:order val="0"/>
          <c:tx>
            <c:strRef>
              <c:f>AA_T_phi_den!$A$3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AA_T_phi_den!$B$3:$U$3</c:f>
              <c:numCache>
                <c:formatCode>General</c:formatCode>
                <c:ptCount val="20"/>
                <c:pt idx="0">
                  <c:v>1.9848189885851877E-2</c:v>
                </c:pt>
                <c:pt idx="1">
                  <c:v>2.0675902187161407E-2</c:v>
                </c:pt>
                <c:pt idx="2">
                  <c:v>2.1025691331126899E-2</c:v>
                </c:pt>
                <c:pt idx="3">
                  <c:v>2.1088568623449579E-2</c:v>
                </c:pt>
                <c:pt idx="4">
                  <c:v>2.1426696819706964E-2</c:v>
                </c:pt>
                <c:pt idx="5">
                  <c:v>2.1590806485582613E-2</c:v>
                </c:pt>
                <c:pt idx="6">
                  <c:v>2.1943079974120674E-2</c:v>
                </c:pt>
                <c:pt idx="7">
                  <c:v>2.2502368953310752E-2</c:v>
                </c:pt>
                <c:pt idx="8">
                  <c:v>2.2651148324344193E-2</c:v>
                </c:pt>
                <c:pt idx="9">
                  <c:v>2.2296622784161134E-2</c:v>
                </c:pt>
                <c:pt idx="10">
                  <c:v>2.4211323902577044E-2</c:v>
                </c:pt>
                <c:pt idx="11">
                  <c:v>2.4384407927211488E-2</c:v>
                </c:pt>
                <c:pt idx="12">
                  <c:v>2.4540451944202686E-2</c:v>
                </c:pt>
                <c:pt idx="13">
                  <c:v>2.4373857615239788E-2</c:v>
                </c:pt>
                <c:pt idx="14">
                  <c:v>2.435957172026176E-2</c:v>
                </c:pt>
                <c:pt idx="15">
                  <c:v>2.4635159074952066E-2</c:v>
                </c:pt>
                <c:pt idx="16">
                  <c:v>2.4046061366074702E-2</c:v>
                </c:pt>
                <c:pt idx="17">
                  <c:v>2.4902447303833265E-2</c:v>
                </c:pt>
                <c:pt idx="18">
                  <c:v>2.4481508861921627E-2</c:v>
                </c:pt>
                <c:pt idx="19">
                  <c:v>2.4492263770904958E-2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AA_T_phi_den!$A$4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AA_T_phi_den!$B$4:$U$4</c:f>
              <c:numCache>
                <c:formatCode>General</c:formatCode>
                <c:ptCount val="20"/>
                <c:pt idx="0">
                  <c:v>1.780675644910153E-2</c:v>
                </c:pt>
                <c:pt idx="1">
                  <c:v>1.8802532362535474E-2</c:v>
                </c:pt>
                <c:pt idx="2">
                  <c:v>1.9362091324445711E-2</c:v>
                </c:pt>
                <c:pt idx="3">
                  <c:v>1.9484580681713232E-2</c:v>
                </c:pt>
                <c:pt idx="4">
                  <c:v>1.9470512040787976E-2</c:v>
                </c:pt>
                <c:pt idx="5">
                  <c:v>1.9311525407434964E-2</c:v>
                </c:pt>
                <c:pt idx="6">
                  <c:v>1.9616432855159599E-2</c:v>
                </c:pt>
                <c:pt idx="7">
                  <c:v>1.9854399766246984E-2</c:v>
                </c:pt>
                <c:pt idx="8">
                  <c:v>2.0163241620213806E-2</c:v>
                </c:pt>
                <c:pt idx="9">
                  <c:v>1.9792231251947342E-2</c:v>
                </c:pt>
                <c:pt idx="10">
                  <c:v>2.1132364964299342E-2</c:v>
                </c:pt>
                <c:pt idx="11">
                  <c:v>2.1302557489570703E-2</c:v>
                </c:pt>
                <c:pt idx="12">
                  <c:v>2.1243607807837059E-2</c:v>
                </c:pt>
                <c:pt idx="13">
                  <c:v>2.0951047104624441E-2</c:v>
                </c:pt>
                <c:pt idx="14">
                  <c:v>2.1063449543133828E-2</c:v>
                </c:pt>
                <c:pt idx="15">
                  <c:v>2.1419184628747576E-2</c:v>
                </c:pt>
                <c:pt idx="16">
                  <c:v>2.1249355109687108E-2</c:v>
                </c:pt>
                <c:pt idx="17">
                  <c:v>2.1317401815833421E-2</c:v>
                </c:pt>
                <c:pt idx="18">
                  <c:v>2.1143156932734677E-2</c:v>
                </c:pt>
                <c:pt idx="19">
                  <c:v>2.1204141220999201E-2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AA_T_phi_den!$A$5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AA_T_phi_den!$B$5:$U$5</c:f>
              <c:numCache>
                <c:formatCode>General</c:formatCode>
                <c:ptCount val="20"/>
                <c:pt idx="0">
                  <c:v>2.0479997031195317E-2</c:v>
                </c:pt>
                <c:pt idx="1">
                  <c:v>2.2124693458591135E-2</c:v>
                </c:pt>
                <c:pt idx="2">
                  <c:v>2.2768998036461572E-2</c:v>
                </c:pt>
                <c:pt idx="3">
                  <c:v>2.2990327453913658E-2</c:v>
                </c:pt>
                <c:pt idx="4">
                  <c:v>2.3408987523376657E-2</c:v>
                </c:pt>
                <c:pt idx="5">
                  <c:v>2.3595540171600201E-2</c:v>
                </c:pt>
                <c:pt idx="6">
                  <c:v>2.3964803128135575E-2</c:v>
                </c:pt>
                <c:pt idx="7">
                  <c:v>2.440351832294526E-2</c:v>
                </c:pt>
                <c:pt idx="8">
                  <c:v>2.4787794343260131E-2</c:v>
                </c:pt>
                <c:pt idx="9">
                  <c:v>2.4527252728336991E-2</c:v>
                </c:pt>
                <c:pt idx="10">
                  <c:v>2.6518025402621676E-2</c:v>
                </c:pt>
                <c:pt idx="11">
                  <c:v>2.6755125955489487E-2</c:v>
                </c:pt>
                <c:pt idx="12">
                  <c:v>2.6982896327304946E-2</c:v>
                </c:pt>
                <c:pt idx="13">
                  <c:v>2.6970664973243592E-2</c:v>
                </c:pt>
                <c:pt idx="14">
                  <c:v>2.7361455837005201E-2</c:v>
                </c:pt>
                <c:pt idx="15">
                  <c:v>2.7714028749436487E-2</c:v>
                </c:pt>
                <c:pt idx="16">
                  <c:v>2.6767541420067834E-2</c:v>
                </c:pt>
                <c:pt idx="17">
                  <c:v>2.7158062339560491E-2</c:v>
                </c:pt>
                <c:pt idx="18">
                  <c:v>2.6936002237711459E-2</c:v>
                </c:pt>
                <c:pt idx="19">
                  <c:v>2.6928743389035923E-2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AA_T_phi_den!$A$6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AA_T_phi_den!$B$6:$U$6</c:f>
              <c:numCache>
                <c:formatCode>General</c:formatCode>
                <c:ptCount val="20"/>
                <c:pt idx="0">
                  <c:v>1.4681320898464455E-2</c:v>
                </c:pt>
                <c:pt idx="1">
                  <c:v>1.6368409685601076E-2</c:v>
                </c:pt>
                <c:pt idx="2">
                  <c:v>1.6025261976814181E-2</c:v>
                </c:pt>
                <c:pt idx="3">
                  <c:v>1.6173782027495698E-2</c:v>
                </c:pt>
                <c:pt idx="4">
                  <c:v>1.6230674595037933E-2</c:v>
                </c:pt>
                <c:pt idx="5">
                  <c:v>1.6136853519676069E-2</c:v>
                </c:pt>
                <c:pt idx="6">
                  <c:v>1.6062703312385324E-2</c:v>
                </c:pt>
                <c:pt idx="7">
                  <c:v>1.5874010330645102E-2</c:v>
                </c:pt>
                <c:pt idx="8">
                  <c:v>1.6476012910122958E-2</c:v>
                </c:pt>
                <c:pt idx="9">
                  <c:v>1.6332545900390155E-2</c:v>
                </c:pt>
                <c:pt idx="10">
                  <c:v>1.7712451099061634E-2</c:v>
                </c:pt>
                <c:pt idx="11">
                  <c:v>1.782215071447554E-2</c:v>
                </c:pt>
                <c:pt idx="12">
                  <c:v>1.7674973803782423E-2</c:v>
                </c:pt>
                <c:pt idx="13">
                  <c:v>1.7393051167224248E-2</c:v>
                </c:pt>
                <c:pt idx="14">
                  <c:v>1.7317701995520393E-2</c:v>
                </c:pt>
                <c:pt idx="15">
                  <c:v>1.7129000920671315E-2</c:v>
                </c:pt>
                <c:pt idx="16">
                  <c:v>1.7119979675675294E-2</c:v>
                </c:pt>
                <c:pt idx="17">
                  <c:v>1.7225619594681815E-2</c:v>
                </c:pt>
                <c:pt idx="18">
                  <c:v>1.7324132362150226E-2</c:v>
                </c:pt>
                <c:pt idx="19">
                  <c:v>1.7415447961806475E-2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AA_T_phi_den!$A$7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AA_T_phi_den!$B$7:$U$7</c:f>
              <c:numCache>
                <c:formatCode>General</c:formatCode>
                <c:ptCount val="20"/>
                <c:pt idx="0">
                  <c:v>1.5517896502048781E-2</c:v>
                </c:pt>
                <c:pt idx="1">
                  <c:v>1.7233572788867418E-2</c:v>
                </c:pt>
                <c:pt idx="2">
                  <c:v>1.7172911344013463E-2</c:v>
                </c:pt>
                <c:pt idx="3">
                  <c:v>1.7168300544302482E-2</c:v>
                </c:pt>
                <c:pt idx="4">
                  <c:v>1.7403814767483424E-2</c:v>
                </c:pt>
                <c:pt idx="5">
                  <c:v>1.710899365684352E-2</c:v>
                </c:pt>
                <c:pt idx="6">
                  <c:v>1.7044619241498488E-2</c:v>
                </c:pt>
                <c:pt idx="7">
                  <c:v>1.7174024184299291E-2</c:v>
                </c:pt>
                <c:pt idx="8">
                  <c:v>1.7772736242784026E-2</c:v>
                </c:pt>
                <c:pt idx="9">
                  <c:v>1.7718648187778911E-2</c:v>
                </c:pt>
                <c:pt idx="10">
                  <c:v>1.942516865987012E-2</c:v>
                </c:pt>
                <c:pt idx="11">
                  <c:v>1.9865794454216157E-2</c:v>
                </c:pt>
                <c:pt idx="12">
                  <c:v>1.9930792220349183E-2</c:v>
                </c:pt>
                <c:pt idx="13">
                  <c:v>1.9569237464676391E-2</c:v>
                </c:pt>
                <c:pt idx="14">
                  <c:v>1.9303712075166322E-2</c:v>
                </c:pt>
                <c:pt idx="15">
                  <c:v>1.9246048895560548E-2</c:v>
                </c:pt>
                <c:pt idx="16">
                  <c:v>1.9348947970309116E-2</c:v>
                </c:pt>
                <c:pt idx="17">
                  <c:v>1.9495778102087181E-2</c:v>
                </c:pt>
                <c:pt idx="18">
                  <c:v>1.9461785101729846E-2</c:v>
                </c:pt>
                <c:pt idx="19">
                  <c:v>1.9469626055558253E-2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AA_T_phi_den!$A$8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AA_T_phi_den!$B$8:$U$8</c:f>
              <c:numCache>
                <c:formatCode>General</c:formatCode>
                <c:ptCount val="20"/>
                <c:pt idx="0">
                  <c:v>1.5167363965082819E-2</c:v>
                </c:pt>
                <c:pt idx="1">
                  <c:v>1.6906836719655708E-2</c:v>
                </c:pt>
                <c:pt idx="2">
                  <c:v>1.6749752297573493E-2</c:v>
                </c:pt>
                <c:pt idx="3">
                  <c:v>1.6441429295513149E-2</c:v>
                </c:pt>
                <c:pt idx="4">
                  <c:v>1.6632731847502993E-2</c:v>
                </c:pt>
                <c:pt idx="5">
                  <c:v>1.6508015873687269E-2</c:v>
                </c:pt>
                <c:pt idx="6">
                  <c:v>1.6356187374574435E-2</c:v>
                </c:pt>
                <c:pt idx="7">
                  <c:v>1.6005641293399597E-2</c:v>
                </c:pt>
                <c:pt idx="8">
                  <c:v>1.6461277017705219E-2</c:v>
                </c:pt>
                <c:pt idx="9">
                  <c:v>1.6666134226501709E-2</c:v>
                </c:pt>
                <c:pt idx="10">
                  <c:v>1.8382516081975674E-2</c:v>
                </c:pt>
                <c:pt idx="11">
                  <c:v>1.8324003562636745E-2</c:v>
                </c:pt>
                <c:pt idx="12">
                  <c:v>1.8082920499876011E-2</c:v>
                </c:pt>
                <c:pt idx="13">
                  <c:v>1.7810889938128072E-2</c:v>
                </c:pt>
                <c:pt idx="14">
                  <c:v>1.7399759141932047E-2</c:v>
                </c:pt>
                <c:pt idx="15">
                  <c:v>1.738005951321683E-2</c:v>
                </c:pt>
                <c:pt idx="16">
                  <c:v>1.7343094485477994E-2</c:v>
                </c:pt>
                <c:pt idx="17">
                  <c:v>1.7214194797986797E-2</c:v>
                </c:pt>
                <c:pt idx="18">
                  <c:v>1.7397729196495949E-2</c:v>
                </c:pt>
                <c:pt idx="19">
                  <c:v>1.7435217210973252E-2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AA_T_phi_den!$A$9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AA_T_phi_den!$B$9:$U$9</c:f>
              <c:numCache>
                <c:formatCode>General</c:formatCode>
                <c:ptCount val="20"/>
                <c:pt idx="0">
                  <c:v>1.5195558685209868E-2</c:v>
                </c:pt>
                <c:pt idx="1">
                  <c:v>1.7031535465807424E-2</c:v>
                </c:pt>
                <c:pt idx="2">
                  <c:v>1.711017352032327E-2</c:v>
                </c:pt>
                <c:pt idx="3">
                  <c:v>1.6883822698271479E-2</c:v>
                </c:pt>
                <c:pt idx="4">
                  <c:v>1.6920724394993918E-2</c:v>
                </c:pt>
                <c:pt idx="5">
                  <c:v>1.6733790004122485E-2</c:v>
                </c:pt>
                <c:pt idx="6">
                  <c:v>1.6672885627521349E-2</c:v>
                </c:pt>
                <c:pt idx="7">
                  <c:v>1.6453918205296226E-2</c:v>
                </c:pt>
                <c:pt idx="8">
                  <c:v>1.6862565387489561E-2</c:v>
                </c:pt>
                <c:pt idx="9">
                  <c:v>1.652534530709155E-2</c:v>
                </c:pt>
                <c:pt idx="10">
                  <c:v>1.7973450236114318E-2</c:v>
                </c:pt>
                <c:pt idx="11">
                  <c:v>1.8410506468940397E-2</c:v>
                </c:pt>
                <c:pt idx="12">
                  <c:v>1.8185756933359991E-2</c:v>
                </c:pt>
                <c:pt idx="13">
                  <c:v>1.7601606535304078E-2</c:v>
                </c:pt>
                <c:pt idx="14">
                  <c:v>1.7531764334149495E-2</c:v>
                </c:pt>
                <c:pt idx="15">
                  <c:v>1.7287216965457097E-2</c:v>
                </c:pt>
                <c:pt idx="16">
                  <c:v>1.7158479899461392E-2</c:v>
                </c:pt>
                <c:pt idx="17">
                  <c:v>1.7184813559816561E-2</c:v>
                </c:pt>
                <c:pt idx="18">
                  <c:v>1.7095829574272567E-2</c:v>
                </c:pt>
                <c:pt idx="19">
                  <c:v>1.7049902855169715E-2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AA_T_phi_den!$A$10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AA_T_phi_den!$B$10:$U$10</c:f>
              <c:numCache>
                <c:formatCode>General</c:formatCode>
                <c:ptCount val="20"/>
                <c:pt idx="0">
                  <c:v>1.6569059134560395E-2</c:v>
                </c:pt>
                <c:pt idx="1">
                  <c:v>1.8366402354301255E-2</c:v>
                </c:pt>
                <c:pt idx="2">
                  <c:v>1.8460477915108103E-2</c:v>
                </c:pt>
                <c:pt idx="3">
                  <c:v>1.8768375062880444E-2</c:v>
                </c:pt>
                <c:pt idx="4">
                  <c:v>1.9113503031976127E-2</c:v>
                </c:pt>
                <c:pt idx="5">
                  <c:v>1.9290156529169128E-2</c:v>
                </c:pt>
                <c:pt idx="6">
                  <c:v>1.9714933017936143E-2</c:v>
                </c:pt>
                <c:pt idx="7">
                  <c:v>1.9597943708084108E-2</c:v>
                </c:pt>
                <c:pt idx="8">
                  <c:v>2.0144062607630783E-2</c:v>
                </c:pt>
                <c:pt idx="9">
                  <c:v>2.0196930654198936E-2</c:v>
                </c:pt>
                <c:pt idx="10">
                  <c:v>2.2369277739825749E-2</c:v>
                </c:pt>
                <c:pt idx="11">
                  <c:v>2.2348079885462082E-2</c:v>
                </c:pt>
                <c:pt idx="12">
                  <c:v>2.2298633090555471E-2</c:v>
                </c:pt>
                <c:pt idx="13">
                  <c:v>2.1707226207946802E-2</c:v>
                </c:pt>
                <c:pt idx="14">
                  <c:v>2.2015283297148434E-2</c:v>
                </c:pt>
                <c:pt idx="15">
                  <c:v>2.1965018742726442E-2</c:v>
                </c:pt>
                <c:pt idx="16">
                  <c:v>2.1295319938320026E-2</c:v>
                </c:pt>
                <c:pt idx="17">
                  <c:v>2.1649122792898323E-2</c:v>
                </c:pt>
                <c:pt idx="18">
                  <c:v>2.1533824850385071E-2</c:v>
                </c:pt>
                <c:pt idx="19">
                  <c:v>2.2129034951519494E-2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AA_T_phi_den!$A$11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AA_T_phi_den!$B$11:$U$11</c:f>
              <c:numCache>
                <c:formatCode>General</c:formatCode>
                <c:ptCount val="20"/>
                <c:pt idx="0">
                  <c:v>1.6537895166167913E-2</c:v>
                </c:pt>
                <c:pt idx="1">
                  <c:v>1.8384017122733666E-2</c:v>
                </c:pt>
                <c:pt idx="2">
                  <c:v>1.8592741692841901E-2</c:v>
                </c:pt>
                <c:pt idx="3">
                  <c:v>1.8746772024321113E-2</c:v>
                </c:pt>
                <c:pt idx="4">
                  <c:v>1.9083024240987484E-2</c:v>
                </c:pt>
                <c:pt idx="5">
                  <c:v>1.9380045993370076E-2</c:v>
                </c:pt>
                <c:pt idx="6">
                  <c:v>1.9806132667084437E-2</c:v>
                </c:pt>
                <c:pt idx="7">
                  <c:v>1.9609438580934099E-2</c:v>
                </c:pt>
                <c:pt idx="8">
                  <c:v>1.9953324274537287E-2</c:v>
                </c:pt>
                <c:pt idx="9">
                  <c:v>1.962459348433845E-2</c:v>
                </c:pt>
                <c:pt idx="10">
                  <c:v>2.2133110101965968E-2</c:v>
                </c:pt>
                <c:pt idx="11">
                  <c:v>2.2529753171541371E-2</c:v>
                </c:pt>
                <c:pt idx="12">
                  <c:v>2.266515344449925E-2</c:v>
                </c:pt>
                <c:pt idx="13">
                  <c:v>2.2382034001305059E-2</c:v>
                </c:pt>
                <c:pt idx="14">
                  <c:v>2.2495564700240361E-2</c:v>
                </c:pt>
                <c:pt idx="15">
                  <c:v>2.2253786972012926E-2</c:v>
                </c:pt>
                <c:pt idx="16">
                  <c:v>2.1900781659653618E-2</c:v>
                </c:pt>
                <c:pt idx="17">
                  <c:v>2.2162844111695234E-2</c:v>
                </c:pt>
                <c:pt idx="18">
                  <c:v>2.2525528139275688E-2</c:v>
                </c:pt>
                <c:pt idx="19">
                  <c:v>2.2405218709022172E-2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AA_T_phi_den!$A$12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AA_T_phi_den!$B$12:$U$12</c:f>
              <c:numCache>
                <c:formatCode>General</c:formatCode>
                <c:ptCount val="20"/>
                <c:pt idx="0">
                  <c:v>1.5304109020285608E-2</c:v>
                </c:pt>
                <c:pt idx="1">
                  <c:v>1.6344790817086178E-2</c:v>
                </c:pt>
                <c:pt idx="2">
                  <c:v>1.6580227300857994E-2</c:v>
                </c:pt>
                <c:pt idx="3">
                  <c:v>1.6257412413975041E-2</c:v>
                </c:pt>
                <c:pt idx="4">
                  <c:v>1.6061061931292728E-2</c:v>
                </c:pt>
                <c:pt idx="5">
                  <c:v>1.6497636447733582E-2</c:v>
                </c:pt>
                <c:pt idx="6">
                  <c:v>1.6552027670192457E-2</c:v>
                </c:pt>
                <c:pt idx="7">
                  <c:v>1.6358238740400047E-2</c:v>
                </c:pt>
                <c:pt idx="8">
                  <c:v>1.6510067063573015E-2</c:v>
                </c:pt>
                <c:pt idx="9">
                  <c:v>1.6299567306785966E-2</c:v>
                </c:pt>
                <c:pt idx="10">
                  <c:v>1.7655117586663892E-2</c:v>
                </c:pt>
                <c:pt idx="11">
                  <c:v>1.8168064795783232E-2</c:v>
                </c:pt>
                <c:pt idx="12">
                  <c:v>1.7753776271243048E-2</c:v>
                </c:pt>
                <c:pt idx="13">
                  <c:v>1.7563277895350893E-2</c:v>
                </c:pt>
                <c:pt idx="14">
                  <c:v>1.7732669858630305E-2</c:v>
                </c:pt>
                <c:pt idx="15">
                  <c:v>1.7704401508390973E-2</c:v>
                </c:pt>
                <c:pt idx="16">
                  <c:v>1.7039272683786705E-2</c:v>
                </c:pt>
                <c:pt idx="17">
                  <c:v>1.7640982020955813E-2</c:v>
                </c:pt>
                <c:pt idx="18">
                  <c:v>1.7625869066359861E-2</c:v>
                </c:pt>
                <c:pt idx="19">
                  <c:v>1.7636189596054511E-2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AA_T_phi_den!$A$13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AA_T_phi_den!$B$13:$U$13</c:f>
              <c:numCache>
                <c:formatCode>General</c:formatCode>
                <c:ptCount val="20"/>
                <c:pt idx="0">
                  <c:v>1.5145115111076161E-2</c:v>
                </c:pt>
                <c:pt idx="1">
                  <c:v>1.6314983039258039E-2</c:v>
                </c:pt>
                <c:pt idx="2">
                  <c:v>1.6276833101515481E-2</c:v>
                </c:pt>
                <c:pt idx="3">
                  <c:v>1.6188127853388537E-2</c:v>
                </c:pt>
                <c:pt idx="4">
                  <c:v>1.6439700961276948E-2</c:v>
                </c:pt>
                <c:pt idx="5">
                  <c:v>1.6205541977544598E-2</c:v>
                </c:pt>
                <c:pt idx="6">
                  <c:v>1.6405998826330839E-2</c:v>
                </c:pt>
                <c:pt idx="7">
                  <c:v>1.6202306599125721E-2</c:v>
                </c:pt>
                <c:pt idx="8">
                  <c:v>1.6288932403806796E-2</c:v>
                </c:pt>
                <c:pt idx="9">
                  <c:v>1.6184663864117162E-2</c:v>
                </c:pt>
                <c:pt idx="10">
                  <c:v>1.7448573076030226E-2</c:v>
                </c:pt>
                <c:pt idx="11">
                  <c:v>1.7643832382653234E-2</c:v>
                </c:pt>
                <c:pt idx="12">
                  <c:v>1.7472988819031345E-2</c:v>
                </c:pt>
                <c:pt idx="13">
                  <c:v>1.7554706289596402E-2</c:v>
                </c:pt>
                <c:pt idx="14">
                  <c:v>1.7183899789675529E-2</c:v>
                </c:pt>
                <c:pt idx="15">
                  <c:v>1.7481131908002094E-2</c:v>
                </c:pt>
                <c:pt idx="16">
                  <c:v>1.6714612499607703E-2</c:v>
                </c:pt>
                <c:pt idx="17">
                  <c:v>1.6858453635364926E-2</c:v>
                </c:pt>
                <c:pt idx="18">
                  <c:v>1.7153997359571453E-2</c:v>
                </c:pt>
                <c:pt idx="19">
                  <c:v>1.7138709962407211E-2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AA_T_phi_den!$A$14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AA_T_phi_den!$B$14:$U$14</c:f>
              <c:numCache>
                <c:formatCode>General</c:formatCode>
                <c:ptCount val="20"/>
                <c:pt idx="0">
                  <c:v>1.5513798834445777E-2</c:v>
                </c:pt>
                <c:pt idx="1">
                  <c:v>1.677339521158416E-2</c:v>
                </c:pt>
                <c:pt idx="2">
                  <c:v>1.6796182683254463E-2</c:v>
                </c:pt>
                <c:pt idx="3">
                  <c:v>1.6893970198944785E-2</c:v>
                </c:pt>
                <c:pt idx="4">
                  <c:v>1.7075418234291095E-2</c:v>
                </c:pt>
                <c:pt idx="5">
                  <c:v>1.7064228259111414E-2</c:v>
                </c:pt>
                <c:pt idx="6">
                  <c:v>1.7227123217441753E-2</c:v>
                </c:pt>
                <c:pt idx="7">
                  <c:v>1.7193631668426052E-2</c:v>
                </c:pt>
                <c:pt idx="8">
                  <c:v>1.7243146120369073E-2</c:v>
                </c:pt>
                <c:pt idx="9">
                  <c:v>1.6957384449085535E-2</c:v>
                </c:pt>
                <c:pt idx="10">
                  <c:v>1.8561548218143091E-2</c:v>
                </c:pt>
                <c:pt idx="11">
                  <c:v>1.8938124373397584E-2</c:v>
                </c:pt>
                <c:pt idx="12">
                  <c:v>1.8902335308277288E-2</c:v>
                </c:pt>
                <c:pt idx="13">
                  <c:v>1.9120161221330225E-2</c:v>
                </c:pt>
                <c:pt idx="14">
                  <c:v>1.9623830169810647E-2</c:v>
                </c:pt>
                <c:pt idx="15">
                  <c:v>1.9624062817107248E-2</c:v>
                </c:pt>
                <c:pt idx="16">
                  <c:v>1.8806222537792409E-2</c:v>
                </c:pt>
                <c:pt idx="17">
                  <c:v>1.8944806140049404E-2</c:v>
                </c:pt>
                <c:pt idx="18">
                  <c:v>1.8806610788430909E-2</c:v>
                </c:pt>
                <c:pt idx="19">
                  <c:v>1.9035973320637462E-2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AA_T_phi_den!$A$15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AA_T_phi_den!$B$15:$U$15</c:f>
              <c:numCache>
                <c:formatCode>General</c:formatCode>
                <c:ptCount val="20"/>
                <c:pt idx="0">
                  <c:v>1.5650590131999983E-2</c:v>
                </c:pt>
                <c:pt idx="1">
                  <c:v>1.6276839348227587E-2</c:v>
                </c:pt>
                <c:pt idx="2">
                  <c:v>1.6225198914580057E-2</c:v>
                </c:pt>
                <c:pt idx="3">
                  <c:v>1.5746518176389522E-2</c:v>
                </c:pt>
                <c:pt idx="4">
                  <c:v>1.5543375129906037E-2</c:v>
                </c:pt>
                <c:pt idx="5">
                  <c:v>1.5388264942283686E-2</c:v>
                </c:pt>
                <c:pt idx="6">
                  <c:v>1.5463349263952809E-2</c:v>
                </c:pt>
                <c:pt idx="7">
                  <c:v>1.5481310232485319E-2</c:v>
                </c:pt>
                <c:pt idx="8">
                  <c:v>1.5663836301531241E-2</c:v>
                </c:pt>
                <c:pt idx="9">
                  <c:v>1.5471674398955519E-2</c:v>
                </c:pt>
                <c:pt idx="10">
                  <c:v>1.6952510634621078E-2</c:v>
                </c:pt>
                <c:pt idx="11">
                  <c:v>1.7361952399684497E-2</c:v>
                </c:pt>
                <c:pt idx="12">
                  <c:v>1.7405099603136555E-2</c:v>
                </c:pt>
                <c:pt idx="13">
                  <c:v>1.7182400441602352E-2</c:v>
                </c:pt>
                <c:pt idx="14">
                  <c:v>1.7774129793789582E-2</c:v>
                </c:pt>
                <c:pt idx="15">
                  <c:v>1.7843032200646432E-2</c:v>
                </c:pt>
                <c:pt idx="16">
                  <c:v>1.7301655236054786E-2</c:v>
                </c:pt>
                <c:pt idx="17">
                  <c:v>1.741258200258473E-2</c:v>
                </c:pt>
                <c:pt idx="18">
                  <c:v>1.7198259121123768E-2</c:v>
                </c:pt>
                <c:pt idx="19">
                  <c:v>1.704084760200298E-2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AA_T_phi_den!$A$16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AA_T_phi_den!$B$16:$U$16</c:f>
              <c:numCache>
                <c:formatCode>General</c:formatCode>
                <c:ptCount val="20"/>
                <c:pt idx="0">
                  <c:v>1.695683652403502E-2</c:v>
                </c:pt>
                <c:pt idx="1">
                  <c:v>1.9320448382905295E-2</c:v>
                </c:pt>
                <c:pt idx="2">
                  <c:v>2.0278781686240779E-2</c:v>
                </c:pt>
                <c:pt idx="3">
                  <c:v>2.040827963945881E-2</c:v>
                </c:pt>
                <c:pt idx="4">
                  <c:v>2.0629674365242125E-2</c:v>
                </c:pt>
                <c:pt idx="5">
                  <c:v>2.0760312884215881E-2</c:v>
                </c:pt>
                <c:pt idx="6">
                  <c:v>2.1358962594291937E-2</c:v>
                </c:pt>
                <c:pt idx="7">
                  <c:v>2.1471487122016256E-2</c:v>
                </c:pt>
                <c:pt idx="8">
                  <c:v>2.1783051791343152E-2</c:v>
                </c:pt>
                <c:pt idx="9">
                  <c:v>2.1203053719612588E-2</c:v>
                </c:pt>
                <c:pt idx="10">
                  <c:v>2.3252936801260272E-2</c:v>
                </c:pt>
                <c:pt idx="11">
                  <c:v>2.3615475427954235E-2</c:v>
                </c:pt>
                <c:pt idx="12">
                  <c:v>2.3551644171888063E-2</c:v>
                </c:pt>
                <c:pt idx="13">
                  <c:v>2.3156935062547141E-2</c:v>
                </c:pt>
                <c:pt idx="14">
                  <c:v>2.3540209341517342E-2</c:v>
                </c:pt>
                <c:pt idx="15">
                  <c:v>2.373308483486217E-2</c:v>
                </c:pt>
                <c:pt idx="16">
                  <c:v>2.3283624536273521E-2</c:v>
                </c:pt>
                <c:pt idx="17">
                  <c:v>2.3424444254817156E-2</c:v>
                </c:pt>
                <c:pt idx="18">
                  <c:v>2.3495275332198921E-2</c:v>
                </c:pt>
                <c:pt idx="19">
                  <c:v>2.3552906820628466E-2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AA_T_phi_den!$A$17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AA_T_phi_den!$B$17:$U$17</c:f>
              <c:numCache>
                <c:formatCode>General</c:formatCode>
                <c:ptCount val="20"/>
                <c:pt idx="0">
                  <c:v>1.6762256581364637E-2</c:v>
                </c:pt>
                <c:pt idx="1">
                  <c:v>1.923159852739624E-2</c:v>
                </c:pt>
                <c:pt idx="2">
                  <c:v>2.0238899551610581E-2</c:v>
                </c:pt>
                <c:pt idx="3">
                  <c:v>2.0419378276820683E-2</c:v>
                </c:pt>
                <c:pt idx="4">
                  <c:v>2.0827741591973557E-2</c:v>
                </c:pt>
                <c:pt idx="5">
                  <c:v>2.0886948454666567E-2</c:v>
                </c:pt>
                <c:pt idx="6">
                  <c:v>2.1117009664375058E-2</c:v>
                </c:pt>
                <c:pt idx="7">
                  <c:v>2.1246527785066485E-2</c:v>
                </c:pt>
                <c:pt idx="8">
                  <c:v>2.1791696345909169E-2</c:v>
                </c:pt>
                <c:pt idx="9">
                  <c:v>2.1406278493192672E-2</c:v>
                </c:pt>
                <c:pt idx="10">
                  <c:v>2.3203339066419814E-2</c:v>
                </c:pt>
                <c:pt idx="11">
                  <c:v>2.3401781242196662E-2</c:v>
                </c:pt>
                <c:pt idx="12">
                  <c:v>2.328299799610899E-2</c:v>
                </c:pt>
                <c:pt idx="13">
                  <c:v>2.2938219362719645E-2</c:v>
                </c:pt>
                <c:pt idx="14">
                  <c:v>2.3254123013654631E-2</c:v>
                </c:pt>
                <c:pt idx="15">
                  <c:v>2.3609651283204889E-2</c:v>
                </c:pt>
                <c:pt idx="16">
                  <c:v>2.3108401193785558E-2</c:v>
                </c:pt>
                <c:pt idx="17">
                  <c:v>2.3196045024485506E-2</c:v>
                </c:pt>
                <c:pt idx="18">
                  <c:v>2.3224508566841717E-2</c:v>
                </c:pt>
                <c:pt idx="19">
                  <c:v>2.286595502421878E-2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AA_T_phi_den!$A$18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AA_T_phi_den!$B$18:$U$18</c:f>
              <c:numCache>
                <c:formatCode>General</c:formatCode>
                <c:ptCount val="20"/>
                <c:pt idx="0">
                  <c:v>1.7082204462957599E-2</c:v>
                </c:pt>
                <c:pt idx="1">
                  <c:v>1.9432735744829541E-2</c:v>
                </c:pt>
                <c:pt idx="2">
                  <c:v>2.0435292147999332E-2</c:v>
                </c:pt>
                <c:pt idx="3">
                  <c:v>2.0758030844513598E-2</c:v>
                </c:pt>
                <c:pt idx="4">
                  <c:v>2.0985662143923466E-2</c:v>
                </c:pt>
                <c:pt idx="5">
                  <c:v>2.0861716245075251E-2</c:v>
                </c:pt>
                <c:pt idx="6">
                  <c:v>2.1294839957603316E-2</c:v>
                </c:pt>
                <c:pt idx="7">
                  <c:v>2.1556661416427307E-2</c:v>
                </c:pt>
                <c:pt idx="8">
                  <c:v>2.1851111466496084E-2</c:v>
                </c:pt>
                <c:pt idx="9">
                  <c:v>2.1496463408996348E-2</c:v>
                </c:pt>
                <c:pt idx="10">
                  <c:v>2.3373466869467809E-2</c:v>
                </c:pt>
                <c:pt idx="11">
                  <c:v>2.3477354797779688E-2</c:v>
                </c:pt>
                <c:pt idx="12">
                  <c:v>2.3512285463676848E-2</c:v>
                </c:pt>
                <c:pt idx="13">
                  <c:v>2.3308522244297889E-2</c:v>
                </c:pt>
                <c:pt idx="14">
                  <c:v>2.3326757677175475E-2</c:v>
                </c:pt>
                <c:pt idx="15">
                  <c:v>2.3551216063973136E-2</c:v>
                </c:pt>
                <c:pt idx="16">
                  <c:v>2.2875858667359313E-2</c:v>
                </c:pt>
                <c:pt idx="17">
                  <c:v>2.3179827357996896E-2</c:v>
                </c:pt>
                <c:pt idx="18">
                  <c:v>2.3245350540576231E-2</c:v>
                </c:pt>
                <c:pt idx="19">
                  <c:v>2.333614881834014E-2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AA_T_phi_den!$A$19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AA_T_phi_den!$B$19:$U$19</c:f>
              <c:numCache>
                <c:formatCode>General</c:formatCode>
                <c:ptCount val="20"/>
                <c:pt idx="0">
                  <c:v>1.8091664398357007E-2</c:v>
                </c:pt>
                <c:pt idx="1">
                  <c:v>1.9496735135483813E-2</c:v>
                </c:pt>
                <c:pt idx="2">
                  <c:v>2.0207759096135817E-2</c:v>
                </c:pt>
                <c:pt idx="3">
                  <c:v>2.0134709393066708E-2</c:v>
                </c:pt>
                <c:pt idx="4">
                  <c:v>2.0355078014202121E-2</c:v>
                </c:pt>
                <c:pt idx="5">
                  <c:v>2.0418857175023168E-2</c:v>
                </c:pt>
                <c:pt idx="6">
                  <c:v>2.0632440889075808E-2</c:v>
                </c:pt>
                <c:pt idx="7">
                  <c:v>2.0684683210604612E-2</c:v>
                </c:pt>
                <c:pt idx="8">
                  <c:v>2.1039152795421033E-2</c:v>
                </c:pt>
                <c:pt idx="9">
                  <c:v>2.0528295125637624E-2</c:v>
                </c:pt>
                <c:pt idx="10">
                  <c:v>2.2263147795320567E-2</c:v>
                </c:pt>
                <c:pt idx="11">
                  <c:v>2.2650524331895044E-2</c:v>
                </c:pt>
                <c:pt idx="12">
                  <c:v>2.2568209516814885E-2</c:v>
                </c:pt>
                <c:pt idx="13">
                  <c:v>2.2384473210652837E-2</c:v>
                </c:pt>
                <c:pt idx="14">
                  <c:v>2.2490303326724935E-2</c:v>
                </c:pt>
                <c:pt idx="15">
                  <c:v>2.2849791316128749E-2</c:v>
                </c:pt>
                <c:pt idx="16">
                  <c:v>2.2246576586196481E-2</c:v>
                </c:pt>
                <c:pt idx="17">
                  <c:v>2.2302112142984876E-2</c:v>
                </c:pt>
                <c:pt idx="18">
                  <c:v>2.2380844660159112E-2</c:v>
                </c:pt>
                <c:pt idx="19">
                  <c:v>2.2217685515327323E-2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AA_T_phi_den!$A$20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AA_T_phi_den!$B$20:$U$20</c:f>
              <c:numCache>
                <c:formatCode>General</c:formatCode>
                <c:ptCount val="20"/>
                <c:pt idx="0">
                  <c:v>1.8290760019961411E-2</c:v>
                </c:pt>
                <c:pt idx="1">
                  <c:v>1.95647790667835E-2</c:v>
                </c:pt>
                <c:pt idx="2">
                  <c:v>2.0330588188411328E-2</c:v>
                </c:pt>
                <c:pt idx="3">
                  <c:v>2.0238282897211999E-2</c:v>
                </c:pt>
                <c:pt idx="4">
                  <c:v>2.0456539955527851E-2</c:v>
                </c:pt>
                <c:pt idx="5">
                  <c:v>2.0487822011215132E-2</c:v>
                </c:pt>
                <c:pt idx="6">
                  <c:v>2.0791396850191303E-2</c:v>
                </c:pt>
                <c:pt idx="7">
                  <c:v>2.0824171273019349E-2</c:v>
                </c:pt>
                <c:pt idx="8">
                  <c:v>2.1132477899290153E-2</c:v>
                </c:pt>
                <c:pt idx="9">
                  <c:v>2.0839642212898368E-2</c:v>
                </c:pt>
                <c:pt idx="10">
                  <c:v>2.2526394734896454E-2</c:v>
                </c:pt>
                <c:pt idx="11">
                  <c:v>2.2500286479561236E-2</c:v>
                </c:pt>
                <c:pt idx="12">
                  <c:v>2.2295719549999662E-2</c:v>
                </c:pt>
                <c:pt idx="13">
                  <c:v>2.2067608954288009E-2</c:v>
                </c:pt>
                <c:pt idx="14">
                  <c:v>2.2288051433784564E-2</c:v>
                </c:pt>
                <c:pt idx="15">
                  <c:v>2.2234655149849496E-2</c:v>
                </c:pt>
                <c:pt idx="16">
                  <c:v>2.1752109677766359E-2</c:v>
                </c:pt>
                <c:pt idx="17">
                  <c:v>2.1849248362277952E-2</c:v>
                </c:pt>
                <c:pt idx="18">
                  <c:v>2.1629688734741238E-2</c:v>
                </c:pt>
                <c:pt idx="19">
                  <c:v>2.1596026759402726E-2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AA_T_phi_den!$A$21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AA_T_phi_den!$B$21:$U$21</c:f>
              <c:numCache>
                <c:formatCode>General</c:formatCode>
                <c:ptCount val="20"/>
                <c:pt idx="0">
                  <c:v>1.819121827738002E-2</c:v>
                </c:pt>
                <c:pt idx="1">
                  <c:v>1.9426653822511082E-2</c:v>
                </c:pt>
                <c:pt idx="2">
                  <c:v>2.0212235339361836E-2</c:v>
                </c:pt>
                <c:pt idx="3">
                  <c:v>2.0167850507532715E-2</c:v>
                </c:pt>
                <c:pt idx="4">
                  <c:v>2.0460590977424607E-2</c:v>
                </c:pt>
                <c:pt idx="5">
                  <c:v>2.0378536906765873E-2</c:v>
                </c:pt>
                <c:pt idx="6">
                  <c:v>2.0787307391845117E-2</c:v>
                </c:pt>
                <c:pt idx="7">
                  <c:v>2.0732782699936069E-2</c:v>
                </c:pt>
                <c:pt idx="8">
                  <c:v>2.1081050383438226E-2</c:v>
                </c:pt>
                <c:pt idx="9">
                  <c:v>2.0579869894168927E-2</c:v>
                </c:pt>
                <c:pt idx="10">
                  <c:v>2.2179011574071684E-2</c:v>
                </c:pt>
                <c:pt idx="11">
                  <c:v>2.2406663320982047E-2</c:v>
                </c:pt>
                <c:pt idx="12">
                  <c:v>2.2324642891309053E-2</c:v>
                </c:pt>
                <c:pt idx="13">
                  <c:v>2.2190978933482798E-2</c:v>
                </c:pt>
                <c:pt idx="14">
                  <c:v>2.2333994220817058E-2</c:v>
                </c:pt>
                <c:pt idx="15">
                  <c:v>2.2374856764001888E-2</c:v>
                </c:pt>
                <c:pt idx="16">
                  <c:v>2.1752764295647004E-2</c:v>
                </c:pt>
                <c:pt idx="17">
                  <c:v>2.2010155723635606E-2</c:v>
                </c:pt>
                <c:pt idx="18">
                  <c:v>2.1939943621548115E-2</c:v>
                </c:pt>
                <c:pt idx="19">
                  <c:v>2.169925181503022E-2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AA_T_phi_den!$A$22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AA_T_phi_den!$B$22:$U$22</c:f>
              <c:numCache>
                <c:formatCode>General</c:formatCode>
                <c:ptCount val="20"/>
                <c:pt idx="0">
                  <c:v>1.8159775283408616E-2</c:v>
                </c:pt>
                <c:pt idx="1">
                  <c:v>1.9480582460311421E-2</c:v>
                </c:pt>
                <c:pt idx="2">
                  <c:v>2.0214296130422749E-2</c:v>
                </c:pt>
                <c:pt idx="3">
                  <c:v>2.0065900751434936E-2</c:v>
                </c:pt>
                <c:pt idx="4">
                  <c:v>2.0187880238678214E-2</c:v>
                </c:pt>
                <c:pt idx="5">
                  <c:v>2.0362928672439464E-2</c:v>
                </c:pt>
                <c:pt idx="6">
                  <c:v>2.0628743882703422E-2</c:v>
                </c:pt>
                <c:pt idx="7">
                  <c:v>2.0798929968718547E-2</c:v>
                </c:pt>
                <c:pt idx="8">
                  <c:v>2.1081089149131323E-2</c:v>
                </c:pt>
                <c:pt idx="9">
                  <c:v>2.0700515817598898E-2</c:v>
                </c:pt>
                <c:pt idx="10">
                  <c:v>2.2369012920585293E-2</c:v>
                </c:pt>
                <c:pt idx="11">
                  <c:v>2.2498898365757861E-2</c:v>
                </c:pt>
                <c:pt idx="12">
                  <c:v>2.2195741053323573E-2</c:v>
                </c:pt>
                <c:pt idx="13">
                  <c:v>2.1999032612184166E-2</c:v>
                </c:pt>
                <c:pt idx="14">
                  <c:v>2.2149918373640682E-2</c:v>
                </c:pt>
                <c:pt idx="15">
                  <c:v>2.2281938392708169E-2</c:v>
                </c:pt>
                <c:pt idx="16">
                  <c:v>2.1735896084703086E-2</c:v>
                </c:pt>
                <c:pt idx="17">
                  <c:v>2.1831051659250107E-2</c:v>
                </c:pt>
                <c:pt idx="18">
                  <c:v>2.1916719456191537E-2</c:v>
                </c:pt>
                <c:pt idx="19">
                  <c:v>2.1781447016103263E-2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AA_T_phi_den!$A$23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AA_T_phi_den!$B$23:$U$23</c:f>
              <c:numCache>
                <c:formatCode>General</c:formatCode>
                <c:ptCount val="20"/>
                <c:pt idx="0">
                  <c:v>1.8394805687402302E-2</c:v>
                </c:pt>
                <c:pt idx="1">
                  <c:v>1.9680862863918739E-2</c:v>
                </c:pt>
                <c:pt idx="2">
                  <c:v>2.0481423639575634E-2</c:v>
                </c:pt>
                <c:pt idx="3">
                  <c:v>2.0393660235189313E-2</c:v>
                </c:pt>
                <c:pt idx="4">
                  <c:v>2.0541493018395175E-2</c:v>
                </c:pt>
                <c:pt idx="5">
                  <c:v>2.0589758106932209E-2</c:v>
                </c:pt>
                <c:pt idx="6">
                  <c:v>2.0861218250793977E-2</c:v>
                </c:pt>
                <c:pt idx="7">
                  <c:v>2.1110976593132293E-2</c:v>
                </c:pt>
                <c:pt idx="8">
                  <c:v>2.1343785006515167E-2</c:v>
                </c:pt>
                <c:pt idx="9">
                  <c:v>2.086507065782342E-2</c:v>
                </c:pt>
                <c:pt idx="10">
                  <c:v>2.235328631345165E-2</c:v>
                </c:pt>
                <c:pt idx="11">
                  <c:v>2.2564452224135313E-2</c:v>
                </c:pt>
                <c:pt idx="12">
                  <c:v>2.244103143745298E-2</c:v>
                </c:pt>
                <c:pt idx="13">
                  <c:v>2.2218539621529452E-2</c:v>
                </c:pt>
                <c:pt idx="14">
                  <c:v>2.225380554614605E-2</c:v>
                </c:pt>
                <c:pt idx="15">
                  <c:v>2.2435078443419264E-2</c:v>
                </c:pt>
                <c:pt idx="16">
                  <c:v>2.1588023607065656E-2</c:v>
                </c:pt>
                <c:pt idx="17">
                  <c:v>2.1741271592655147E-2</c:v>
                </c:pt>
                <c:pt idx="18">
                  <c:v>2.1795969837444154E-2</c:v>
                </c:pt>
                <c:pt idx="19">
                  <c:v>2.1591726341080385E-2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AA_T_phi_den!$A$24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AA_T_phi_den!$B$24:$U$24</c:f>
              <c:numCache>
                <c:formatCode>General</c:formatCode>
                <c:ptCount val="20"/>
                <c:pt idx="0">
                  <c:v>1.8166403429884376E-2</c:v>
                </c:pt>
                <c:pt idx="1">
                  <c:v>1.9418398251124295E-2</c:v>
                </c:pt>
                <c:pt idx="2">
                  <c:v>2.0153254949484372E-2</c:v>
                </c:pt>
                <c:pt idx="3">
                  <c:v>2.0034928446503737E-2</c:v>
                </c:pt>
                <c:pt idx="4">
                  <c:v>2.0298682937626052E-2</c:v>
                </c:pt>
                <c:pt idx="5">
                  <c:v>2.0354317565613404E-2</c:v>
                </c:pt>
                <c:pt idx="6">
                  <c:v>2.0507456908706295E-2</c:v>
                </c:pt>
                <c:pt idx="7">
                  <c:v>2.059250639344045E-2</c:v>
                </c:pt>
                <c:pt idx="8">
                  <c:v>2.0879809664715712E-2</c:v>
                </c:pt>
                <c:pt idx="9">
                  <c:v>2.043898438601191E-2</c:v>
                </c:pt>
                <c:pt idx="10">
                  <c:v>2.2239032990312432E-2</c:v>
                </c:pt>
                <c:pt idx="11">
                  <c:v>2.2434515169839839E-2</c:v>
                </c:pt>
                <c:pt idx="12">
                  <c:v>2.2116377269164256E-2</c:v>
                </c:pt>
                <c:pt idx="13">
                  <c:v>2.1937131919839495E-2</c:v>
                </c:pt>
                <c:pt idx="14">
                  <c:v>2.2162796213755311E-2</c:v>
                </c:pt>
                <c:pt idx="15">
                  <c:v>2.235938560160167E-2</c:v>
                </c:pt>
                <c:pt idx="16">
                  <c:v>2.1586896632327653E-2</c:v>
                </c:pt>
                <c:pt idx="17">
                  <c:v>2.1854154604660656E-2</c:v>
                </c:pt>
                <c:pt idx="18">
                  <c:v>2.1602164474476281E-2</c:v>
                </c:pt>
                <c:pt idx="19">
                  <c:v>2.1461190643013325E-2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AA_T_phi_den!$A$25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AA_T_phi_den!$B$25:$U$25</c:f>
              <c:numCache>
                <c:formatCode>General</c:formatCode>
                <c:ptCount val="20"/>
                <c:pt idx="0">
                  <c:v>1.8225259114219985E-2</c:v>
                </c:pt>
                <c:pt idx="1">
                  <c:v>1.9463553489118834E-2</c:v>
                </c:pt>
                <c:pt idx="2">
                  <c:v>2.0203121919219282E-2</c:v>
                </c:pt>
                <c:pt idx="3">
                  <c:v>2.0284422433538479E-2</c:v>
                </c:pt>
                <c:pt idx="4">
                  <c:v>2.0393340267940156E-2</c:v>
                </c:pt>
                <c:pt idx="5">
                  <c:v>2.0548454008788363E-2</c:v>
                </c:pt>
                <c:pt idx="6">
                  <c:v>2.0855802271367616E-2</c:v>
                </c:pt>
                <c:pt idx="7">
                  <c:v>2.0984627582350729E-2</c:v>
                </c:pt>
                <c:pt idx="8">
                  <c:v>2.1244099045434815E-2</c:v>
                </c:pt>
                <c:pt idx="9">
                  <c:v>2.0810981481993153E-2</c:v>
                </c:pt>
                <c:pt idx="10">
                  <c:v>2.2478152121530579E-2</c:v>
                </c:pt>
                <c:pt idx="11">
                  <c:v>2.2448993355320409E-2</c:v>
                </c:pt>
                <c:pt idx="12">
                  <c:v>2.2263584652540087E-2</c:v>
                </c:pt>
                <c:pt idx="13">
                  <c:v>2.2231128231010949E-2</c:v>
                </c:pt>
                <c:pt idx="14">
                  <c:v>2.2322044964345235E-2</c:v>
                </c:pt>
                <c:pt idx="15">
                  <c:v>2.2351755482397765E-2</c:v>
                </c:pt>
                <c:pt idx="16">
                  <c:v>2.1754867757062351E-2</c:v>
                </c:pt>
                <c:pt idx="17">
                  <c:v>2.1695308624157743E-2</c:v>
                </c:pt>
                <c:pt idx="18">
                  <c:v>2.1563134093937938E-2</c:v>
                </c:pt>
                <c:pt idx="19">
                  <c:v>2.1564784536399043E-2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AA_T_phi_den!$A$26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AA_T_phi_den!$B$26:$U$26</c:f>
              <c:numCache>
                <c:formatCode>General</c:formatCode>
                <c:ptCount val="20"/>
                <c:pt idx="0">
                  <c:v>1.6732885396121496E-2</c:v>
                </c:pt>
                <c:pt idx="1">
                  <c:v>1.9372060108587278E-2</c:v>
                </c:pt>
                <c:pt idx="2">
                  <c:v>2.0729753468523626E-2</c:v>
                </c:pt>
                <c:pt idx="3">
                  <c:v>2.1046784242222671E-2</c:v>
                </c:pt>
                <c:pt idx="4">
                  <c:v>2.1571953633022337E-2</c:v>
                </c:pt>
                <c:pt idx="5">
                  <c:v>2.1860441725819791E-2</c:v>
                </c:pt>
                <c:pt idx="6">
                  <c:v>2.2265627592925781E-2</c:v>
                </c:pt>
                <c:pt idx="7">
                  <c:v>2.2434165715169443E-2</c:v>
                </c:pt>
                <c:pt idx="8">
                  <c:v>2.274385617745044E-2</c:v>
                </c:pt>
                <c:pt idx="9">
                  <c:v>2.2388477701605208E-2</c:v>
                </c:pt>
                <c:pt idx="10">
                  <c:v>2.4185301407532528E-2</c:v>
                </c:pt>
                <c:pt idx="11">
                  <c:v>2.4380348181734894E-2</c:v>
                </c:pt>
                <c:pt idx="12">
                  <c:v>2.4379379452486274E-2</c:v>
                </c:pt>
                <c:pt idx="13">
                  <c:v>2.4101768092446071E-2</c:v>
                </c:pt>
                <c:pt idx="14">
                  <c:v>2.4342427349510899E-2</c:v>
                </c:pt>
                <c:pt idx="15">
                  <c:v>2.4365505156288707E-2</c:v>
                </c:pt>
                <c:pt idx="16">
                  <c:v>2.3643659300993613E-2</c:v>
                </c:pt>
                <c:pt idx="17">
                  <c:v>2.3943267745197283E-2</c:v>
                </c:pt>
                <c:pt idx="18">
                  <c:v>2.3791903270283261E-2</c:v>
                </c:pt>
                <c:pt idx="19">
                  <c:v>2.3897755934288317E-2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AA_T_phi_den!$A$27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AA_T_phi_den!$B$27:$U$27</c:f>
              <c:numCache>
                <c:formatCode>General</c:formatCode>
                <c:ptCount val="20"/>
                <c:pt idx="0">
                  <c:v>1.8015749121188061E-2</c:v>
                </c:pt>
                <c:pt idx="1">
                  <c:v>1.9337853997066865E-2</c:v>
                </c:pt>
                <c:pt idx="2">
                  <c:v>2.0084777521098492E-2</c:v>
                </c:pt>
                <c:pt idx="3">
                  <c:v>2.0041391005700508E-2</c:v>
                </c:pt>
                <c:pt idx="4">
                  <c:v>2.019661518261465E-2</c:v>
                </c:pt>
                <c:pt idx="5">
                  <c:v>2.0421696281772577E-2</c:v>
                </c:pt>
                <c:pt idx="6">
                  <c:v>2.0611267246415783E-2</c:v>
                </c:pt>
                <c:pt idx="7">
                  <c:v>2.0681596664004886E-2</c:v>
                </c:pt>
                <c:pt idx="8">
                  <c:v>2.0905477305762078E-2</c:v>
                </c:pt>
                <c:pt idx="9">
                  <c:v>2.0568446983720765E-2</c:v>
                </c:pt>
                <c:pt idx="10">
                  <c:v>2.2393980284504695E-2</c:v>
                </c:pt>
                <c:pt idx="11">
                  <c:v>2.2451184448986018E-2</c:v>
                </c:pt>
                <c:pt idx="12">
                  <c:v>2.2281848345875911E-2</c:v>
                </c:pt>
                <c:pt idx="13">
                  <c:v>2.1914442734202823E-2</c:v>
                </c:pt>
                <c:pt idx="14">
                  <c:v>2.199943564826741E-2</c:v>
                </c:pt>
                <c:pt idx="15">
                  <c:v>2.2048051351535761E-2</c:v>
                </c:pt>
                <c:pt idx="16">
                  <c:v>2.1671510880586779E-2</c:v>
                </c:pt>
                <c:pt idx="17">
                  <c:v>2.1813041805409866E-2</c:v>
                </c:pt>
                <c:pt idx="18">
                  <c:v>2.1644122640942183E-2</c:v>
                </c:pt>
                <c:pt idx="19">
                  <c:v>2.1606295283507434E-2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AA_T_phi_den!$A$28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AA_T_phi_den!$B$28:$U$28</c:f>
              <c:numCache>
                <c:formatCode>General</c:formatCode>
                <c:ptCount val="20"/>
                <c:pt idx="0">
                  <c:v>1.8169100520029648E-2</c:v>
                </c:pt>
                <c:pt idx="1">
                  <c:v>1.9404953763114283E-2</c:v>
                </c:pt>
                <c:pt idx="2">
                  <c:v>2.0189712633071028E-2</c:v>
                </c:pt>
                <c:pt idx="3">
                  <c:v>2.0069491389563689E-2</c:v>
                </c:pt>
                <c:pt idx="4">
                  <c:v>2.0245975050113073E-2</c:v>
                </c:pt>
                <c:pt idx="5">
                  <c:v>2.0369171351396643E-2</c:v>
                </c:pt>
                <c:pt idx="6">
                  <c:v>2.0574519825726889E-2</c:v>
                </c:pt>
                <c:pt idx="7">
                  <c:v>2.050140906122274E-2</c:v>
                </c:pt>
                <c:pt idx="8">
                  <c:v>2.0881369430029724E-2</c:v>
                </c:pt>
                <c:pt idx="9">
                  <c:v>2.0607002762103289E-2</c:v>
                </c:pt>
                <c:pt idx="10">
                  <c:v>2.2383978829303756E-2</c:v>
                </c:pt>
                <c:pt idx="11">
                  <c:v>2.2522062201641147E-2</c:v>
                </c:pt>
                <c:pt idx="12">
                  <c:v>2.2337688110219318E-2</c:v>
                </c:pt>
                <c:pt idx="13">
                  <c:v>2.2192349862561245E-2</c:v>
                </c:pt>
                <c:pt idx="14">
                  <c:v>2.2305560928005997E-2</c:v>
                </c:pt>
                <c:pt idx="15">
                  <c:v>2.2347606155543313E-2</c:v>
                </c:pt>
                <c:pt idx="16">
                  <c:v>2.1807805391038829E-2</c:v>
                </c:pt>
                <c:pt idx="17">
                  <c:v>2.1869143423440634E-2</c:v>
                </c:pt>
                <c:pt idx="18">
                  <c:v>2.1599788404197132E-2</c:v>
                </c:pt>
                <c:pt idx="19">
                  <c:v>2.1486181114794726E-2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AA_T_phi_den!$A$29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AA_T_phi_den!$B$29:$U$29</c:f>
              <c:numCache>
                <c:formatCode>General</c:formatCode>
                <c:ptCount val="20"/>
                <c:pt idx="0">
                  <c:v>1.7860945165830984E-2</c:v>
                </c:pt>
                <c:pt idx="1">
                  <c:v>1.8925771844876208E-2</c:v>
                </c:pt>
                <c:pt idx="2">
                  <c:v>1.9693783308856423E-2</c:v>
                </c:pt>
                <c:pt idx="3">
                  <c:v>1.9624417644958436E-2</c:v>
                </c:pt>
                <c:pt idx="4">
                  <c:v>1.975646318754315E-2</c:v>
                </c:pt>
                <c:pt idx="5">
                  <c:v>1.9717021193103625E-2</c:v>
                </c:pt>
                <c:pt idx="6">
                  <c:v>1.9877604041293268E-2</c:v>
                </c:pt>
                <c:pt idx="7">
                  <c:v>1.9742439820176153E-2</c:v>
                </c:pt>
                <c:pt idx="8">
                  <c:v>2.0076219614683113E-2</c:v>
                </c:pt>
                <c:pt idx="9">
                  <c:v>1.9747435139722373E-2</c:v>
                </c:pt>
                <c:pt idx="10">
                  <c:v>2.1374522110474643E-2</c:v>
                </c:pt>
                <c:pt idx="11">
                  <c:v>2.1745030450698557E-2</c:v>
                </c:pt>
                <c:pt idx="12">
                  <c:v>2.1599475842555154E-2</c:v>
                </c:pt>
                <c:pt idx="13">
                  <c:v>2.1341239976750685E-2</c:v>
                </c:pt>
                <c:pt idx="14">
                  <c:v>2.1353388620685896E-2</c:v>
                </c:pt>
                <c:pt idx="15">
                  <c:v>2.1542858529836527E-2</c:v>
                </c:pt>
                <c:pt idx="16">
                  <c:v>2.1104969913748012E-2</c:v>
                </c:pt>
                <c:pt idx="17">
                  <c:v>2.1227444362082921E-2</c:v>
                </c:pt>
                <c:pt idx="18">
                  <c:v>2.1386222883495502E-2</c:v>
                </c:pt>
                <c:pt idx="19">
                  <c:v>2.1342221788585206E-2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AA_T_phi_den!$A$30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AA_T_phi_den!$B$30:$U$30</c:f>
              <c:numCache>
                <c:formatCode>General</c:formatCode>
                <c:ptCount val="20"/>
                <c:pt idx="0">
                  <c:v>2.0722880185012314E-2</c:v>
                </c:pt>
                <c:pt idx="1">
                  <c:v>2.2637241494456974E-2</c:v>
                </c:pt>
                <c:pt idx="2">
                  <c:v>2.4037667773078458E-2</c:v>
                </c:pt>
                <c:pt idx="3">
                  <c:v>2.4185941530197781E-2</c:v>
                </c:pt>
                <c:pt idx="4">
                  <c:v>2.4538429130973417E-2</c:v>
                </c:pt>
                <c:pt idx="5">
                  <c:v>2.4672928434424483E-2</c:v>
                </c:pt>
                <c:pt idx="6">
                  <c:v>2.530742356665279E-2</c:v>
                </c:pt>
                <c:pt idx="7">
                  <c:v>2.5984393701408082E-2</c:v>
                </c:pt>
                <c:pt idx="8">
                  <c:v>2.637370533007868E-2</c:v>
                </c:pt>
                <c:pt idx="9">
                  <c:v>2.6113707715354949E-2</c:v>
                </c:pt>
                <c:pt idx="10">
                  <c:v>2.8101200056686031E-2</c:v>
                </c:pt>
                <c:pt idx="11">
                  <c:v>2.8068524826995581E-2</c:v>
                </c:pt>
                <c:pt idx="12">
                  <c:v>2.8351670243590751E-2</c:v>
                </c:pt>
                <c:pt idx="13">
                  <c:v>2.8058330694483165E-2</c:v>
                </c:pt>
                <c:pt idx="14">
                  <c:v>2.7927247538263603E-2</c:v>
                </c:pt>
                <c:pt idx="15">
                  <c:v>2.8160622999378916E-2</c:v>
                </c:pt>
                <c:pt idx="16">
                  <c:v>2.7911265347313391E-2</c:v>
                </c:pt>
                <c:pt idx="17">
                  <c:v>2.8248190667352052E-2</c:v>
                </c:pt>
                <c:pt idx="18">
                  <c:v>2.8094045462782196E-2</c:v>
                </c:pt>
                <c:pt idx="19">
                  <c:v>2.8051232577292359E-2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AA_T_phi_den!$A$31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AA_T_phi_den!$B$31:$U$31</c:f>
              <c:numCache>
                <c:formatCode>General</c:formatCode>
                <c:ptCount val="20"/>
                <c:pt idx="0">
                  <c:v>1.9965090429302969E-2</c:v>
                </c:pt>
                <c:pt idx="1">
                  <c:v>2.1356084531552851E-2</c:v>
                </c:pt>
                <c:pt idx="2">
                  <c:v>2.147246797838823E-2</c:v>
                </c:pt>
                <c:pt idx="3">
                  <c:v>2.1428536243197283E-2</c:v>
                </c:pt>
                <c:pt idx="4">
                  <c:v>2.15823739700307E-2</c:v>
                </c:pt>
                <c:pt idx="5">
                  <c:v>2.16882182072962E-2</c:v>
                </c:pt>
                <c:pt idx="6">
                  <c:v>2.2124365501555589E-2</c:v>
                </c:pt>
                <c:pt idx="7">
                  <c:v>2.2431469243584922E-2</c:v>
                </c:pt>
                <c:pt idx="8">
                  <c:v>2.2540442410368799E-2</c:v>
                </c:pt>
                <c:pt idx="9">
                  <c:v>2.2298521428262774E-2</c:v>
                </c:pt>
                <c:pt idx="10">
                  <c:v>2.4217367251318782E-2</c:v>
                </c:pt>
                <c:pt idx="11">
                  <c:v>2.4262811580907283E-2</c:v>
                </c:pt>
                <c:pt idx="12">
                  <c:v>2.4114563315797359E-2</c:v>
                </c:pt>
                <c:pt idx="13">
                  <c:v>2.3926424105170416E-2</c:v>
                </c:pt>
                <c:pt idx="14">
                  <c:v>2.3963189652122165E-2</c:v>
                </c:pt>
                <c:pt idx="15">
                  <c:v>2.4263744697491707E-2</c:v>
                </c:pt>
                <c:pt idx="16">
                  <c:v>2.3774530626115026E-2</c:v>
                </c:pt>
                <c:pt idx="17">
                  <c:v>2.3955346498011558E-2</c:v>
                </c:pt>
                <c:pt idx="18">
                  <c:v>2.3760559484026084E-2</c:v>
                </c:pt>
                <c:pt idx="19">
                  <c:v>2.3761842666547999E-2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AA_T_phi_den!$A$32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AA_T_phi_den!$B$32:$U$32</c:f>
              <c:numCache>
                <c:formatCode>General</c:formatCode>
                <c:ptCount val="20"/>
                <c:pt idx="0">
                  <c:v>1.9880960712967334E-2</c:v>
                </c:pt>
                <c:pt idx="1">
                  <c:v>2.318153594724089E-2</c:v>
                </c:pt>
                <c:pt idx="2">
                  <c:v>2.50691828367396E-2</c:v>
                </c:pt>
                <c:pt idx="3">
                  <c:v>2.6047302566964546E-2</c:v>
                </c:pt>
                <c:pt idx="4">
                  <c:v>2.6549687443107917E-2</c:v>
                </c:pt>
                <c:pt idx="5">
                  <c:v>2.6980878994638646E-2</c:v>
                </c:pt>
                <c:pt idx="6">
                  <c:v>2.7750486644069535E-2</c:v>
                </c:pt>
                <c:pt idx="7">
                  <c:v>2.8602029606858811E-2</c:v>
                </c:pt>
                <c:pt idx="8">
                  <c:v>2.917104338506676E-2</c:v>
                </c:pt>
                <c:pt idx="9">
                  <c:v>2.9109261862336328E-2</c:v>
                </c:pt>
                <c:pt idx="10">
                  <c:v>3.164607318237684E-2</c:v>
                </c:pt>
                <c:pt idx="11">
                  <c:v>3.1792957778998182E-2</c:v>
                </c:pt>
                <c:pt idx="12">
                  <c:v>3.1928032132886086E-2</c:v>
                </c:pt>
                <c:pt idx="13">
                  <c:v>3.1544269681972388E-2</c:v>
                </c:pt>
                <c:pt idx="14">
                  <c:v>3.1737324355037969E-2</c:v>
                </c:pt>
                <c:pt idx="15">
                  <c:v>3.2221700197835379E-2</c:v>
                </c:pt>
                <c:pt idx="16">
                  <c:v>3.1672778514333776E-2</c:v>
                </c:pt>
                <c:pt idx="17">
                  <c:v>3.1936457159728211E-2</c:v>
                </c:pt>
                <c:pt idx="18">
                  <c:v>3.1696104310105971E-2</c:v>
                </c:pt>
                <c:pt idx="19">
                  <c:v>3.1548080073520599E-2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AA_T_phi_den!$A$33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AA_T_phi_den!$B$33:$U$33</c:f>
              <c:numCache>
                <c:formatCode>General</c:formatCode>
                <c:ptCount val="20"/>
                <c:pt idx="0">
                  <c:v>2.0524792348188322E-2</c:v>
                </c:pt>
                <c:pt idx="1">
                  <c:v>2.3877318320524053E-2</c:v>
                </c:pt>
                <c:pt idx="2">
                  <c:v>2.533889603689219E-2</c:v>
                </c:pt>
                <c:pt idx="3">
                  <c:v>2.610354734509774E-2</c:v>
                </c:pt>
                <c:pt idx="4">
                  <c:v>2.6691445545480984E-2</c:v>
                </c:pt>
                <c:pt idx="5">
                  <c:v>2.7217937147665561E-2</c:v>
                </c:pt>
                <c:pt idx="6">
                  <c:v>2.8328978308030967E-2</c:v>
                </c:pt>
                <c:pt idx="7">
                  <c:v>2.9096117712039727E-2</c:v>
                </c:pt>
                <c:pt idx="8">
                  <c:v>2.9856307762376775E-2</c:v>
                </c:pt>
                <c:pt idx="9">
                  <c:v>2.9562451830990238E-2</c:v>
                </c:pt>
                <c:pt idx="10">
                  <c:v>3.2055379611150243E-2</c:v>
                </c:pt>
                <c:pt idx="11">
                  <c:v>3.2005986692509716E-2</c:v>
                </c:pt>
                <c:pt idx="12">
                  <c:v>3.2452867151304958E-2</c:v>
                </c:pt>
                <c:pt idx="13">
                  <c:v>3.2359592175867327E-2</c:v>
                </c:pt>
                <c:pt idx="14">
                  <c:v>3.2552201419533584E-2</c:v>
                </c:pt>
                <c:pt idx="15">
                  <c:v>3.2980910687861291E-2</c:v>
                </c:pt>
                <c:pt idx="16">
                  <c:v>3.2221992002980454E-2</c:v>
                </c:pt>
                <c:pt idx="17">
                  <c:v>3.2705811944029627E-2</c:v>
                </c:pt>
                <c:pt idx="18">
                  <c:v>3.2315992710632416E-2</c:v>
                </c:pt>
                <c:pt idx="19">
                  <c:v>3.222276739122866E-2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AA_T_phi_den!$A$34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AA_T_phi_den!$B$34:$U$34</c:f>
              <c:numCache>
                <c:formatCode>General</c:formatCode>
                <c:ptCount val="20"/>
                <c:pt idx="0">
                  <c:v>2.0437275313144581E-2</c:v>
                </c:pt>
                <c:pt idx="1">
                  <c:v>2.3874087718087737E-2</c:v>
                </c:pt>
                <c:pt idx="2">
                  <c:v>2.5263419112197445E-2</c:v>
                </c:pt>
                <c:pt idx="3">
                  <c:v>2.6030651532616963E-2</c:v>
                </c:pt>
                <c:pt idx="4">
                  <c:v>2.6623096155889873E-2</c:v>
                </c:pt>
                <c:pt idx="5">
                  <c:v>2.7228541494440928E-2</c:v>
                </c:pt>
                <c:pt idx="6">
                  <c:v>2.8271241883774688E-2</c:v>
                </c:pt>
                <c:pt idx="7">
                  <c:v>2.9456701269405139E-2</c:v>
                </c:pt>
                <c:pt idx="8">
                  <c:v>3.0149731001311564E-2</c:v>
                </c:pt>
                <c:pt idx="9">
                  <c:v>2.9855411990244104E-2</c:v>
                </c:pt>
                <c:pt idx="10">
                  <c:v>3.2228133384096136E-2</c:v>
                </c:pt>
                <c:pt idx="11">
                  <c:v>3.2173193125967822E-2</c:v>
                </c:pt>
                <c:pt idx="12">
                  <c:v>3.2470780828714692E-2</c:v>
                </c:pt>
                <c:pt idx="13">
                  <c:v>3.2395542185980446E-2</c:v>
                </c:pt>
                <c:pt idx="14">
                  <c:v>3.2383073756489418E-2</c:v>
                </c:pt>
                <c:pt idx="15">
                  <c:v>3.2945844364813175E-2</c:v>
                </c:pt>
                <c:pt idx="16">
                  <c:v>3.2300688068559139E-2</c:v>
                </c:pt>
                <c:pt idx="17">
                  <c:v>3.2769522206447847E-2</c:v>
                </c:pt>
                <c:pt idx="18">
                  <c:v>3.2851692331897657E-2</c:v>
                </c:pt>
                <c:pt idx="19">
                  <c:v>3.2706866847550441E-2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AA_T_phi_den!$A$35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AA_T_phi_den!$B$35:$U$35</c:f>
              <c:numCache>
                <c:formatCode>General</c:formatCode>
                <c:ptCount val="20"/>
                <c:pt idx="0">
                  <c:v>1.5446459060009009E-2</c:v>
                </c:pt>
                <c:pt idx="1">
                  <c:v>1.6294371116614588E-2</c:v>
                </c:pt>
                <c:pt idx="2">
                  <c:v>1.6419159299792308E-2</c:v>
                </c:pt>
                <c:pt idx="3">
                  <c:v>1.6258804382365322E-2</c:v>
                </c:pt>
                <c:pt idx="4">
                  <c:v>1.6432277334289595E-2</c:v>
                </c:pt>
                <c:pt idx="5">
                  <c:v>1.6395454692346358E-2</c:v>
                </c:pt>
                <c:pt idx="6">
                  <c:v>1.6858430609374354E-2</c:v>
                </c:pt>
                <c:pt idx="7">
                  <c:v>1.6921948133027786E-2</c:v>
                </c:pt>
                <c:pt idx="8">
                  <c:v>1.7096586583669367E-2</c:v>
                </c:pt>
                <c:pt idx="9">
                  <c:v>1.6939157911580044E-2</c:v>
                </c:pt>
                <c:pt idx="10">
                  <c:v>1.8483283717135507E-2</c:v>
                </c:pt>
                <c:pt idx="11">
                  <c:v>1.866599566280519E-2</c:v>
                </c:pt>
                <c:pt idx="12">
                  <c:v>1.8690552375464388E-2</c:v>
                </c:pt>
                <c:pt idx="13">
                  <c:v>1.8442545337585783E-2</c:v>
                </c:pt>
                <c:pt idx="14">
                  <c:v>1.8376348203921793E-2</c:v>
                </c:pt>
                <c:pt idx="15">
                  <c:v>1.8352230028939175E-2</c:v>
                </c:pt>
                <c:pt idx="16">
                  <c:v>1.8114635124373803E-2</c:v>
                </c:pt>
                <c:pt idx="17">
                  <c:v>1.8385013555143749E-2</c:v>
                </c:pt>
                <c:pt idx="18">
                  <c:v>1.8212081996866143E-2</c:v>
                </c:pt>
                <c:pt idx="19">
                  <c:v>1.8102296196608008E-2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AA_T_phi_den!$A$36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AA_T_phi_den!$B$36:$U$36</c:f>
              <c:numCache>
                <c:formatCode>General</c:formatCode>
                <c:ptCount val="20"/>
                <c:pt idx="0">
                  <c:v>1.5440951316231435E-2</c:v>
                </c:pt>
                <c:pt idx="1">
                  <c:v>1.625927578019256E-2</c:v>
                </c:pt>
                <c:pt idx="2">
                  <c:v>1.6416542010767671E-2</c:v>
                </c:pt>
                <c:pt idx="3">
                  <c:v>1.6325927046958174E-2</c:v>
                </c:pt>
                <c:pt idx="4">
                  <c:v>1.6494608093678996E-2</c:v>
                </c:pt>
                <c:pt idx="5">
                  <c:v>1.6597210560549205E-2</c:v>
                </c:pt>
                <c:pt idx="6">
                  <c:v>1.6853631005458124E-2</c:v>
                </c:pt>
                <c:pt idx="7">
                  <c:v>1.7055399728533795E-2</c:v>
                </c:pt>
                <c:pt idx="8">
                  <c:v>1.747861846358556E-2</c:v>
                </c:pt>
                <c:pt idx="9">
                  <c:v>1.7328005216695617E-2</c:v>
                </c:pt>
                <c:pt idx="10">
                  <c:v>1.8896505027849193E-2</c:v>
                </c:pt>
                <c:pt idx="11">
                  <c:v>1.9284100136152196E-2</c:v>
                </c:pt>
                <c:pt idx="12">
                  <c:v>1.9358902523207936E-2</c:v>
                </c:pt>
                <c:pt idx="13">
                  <c:v>1.9084863949808784E-2</c:v>
                </c:pt>
                <c:pt idx="14">
                  <c:v>1.9355679279940693E-2</c:v>
                </c:pt>
                <c:pt idx="15">
                  <c:v>1.9522887141812627E-2</c:v>
                </c:pt>
                <c:pt idx="16">
                  <c:v>1.9346848385945595E-2</c:v>
                </c:pt>
                <c:pt idx="17">
                  <c:v>1.9734417057325399E-2</c:v>
                </c:pt>
                <c:pt idx="18">
                  <c:v>1.9491453880056384E-2</c:v>
                </c:pt>
                <c:pt idx="19">
                  <c:v>1.9407289515072153E-2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AA_T_phi_den!$A$37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AA_T_phi_den!$B$2:$U$2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AA_T_phi_den!$B$37:$U$37</c:f>
              <c:numCache>
                <c:formatCode>General</c:formatCode>
                <c:ptCount val="20"/>
                <c:pt idx="0">
                  <c:v>1.5341914333572624E-2</c:v>
                </c:pt>
                <c:pt idx="1">
                  <c:v>1.5825282510685636E-2</c:v>
                </c:pt>
                <c:pt idx="2">
                  <c:v>1.5744315699134311E-2</c:v>
                </c:pt>
                <c:pt idx="3">
                  <c:v>1.5435266147611121E-2</c:v>
                </c:pt>
                <c:pt idx="4">
                  <c:v>1.5513740748090803E-2</c:v>
                </c:pt>
                <c:pt idx="5">
                  <c:v>1.5461250996950926E-2</c:v>
                </c:pt>
                <c:pt idx="6">
                  <c:v>1.5598597818623322E-2</c:v>
                </c:pt>
                <c:pt idx="7">
                  <c:v>1.5499181357803754E-2</c:v>
                </c:pt>
                <c:pt idx="8">
                  <c:v>1.5652573217309174E-2</c:v>
                </c:pt>
                <c:pt idx="9">
                  <c:v>1.541880497091422E-2</c:v>
                </c:pt>
                <c:pt idx="10">
                  <c:v>1.673190101639967E-2</c:v>
                </c:pt>
                <c:pt idx="11">
                  <c:v>1.6813238433501645E-2</c:v>
                </c:pt>
                <c:pt idx="12">
                  <c:v>1.6812725612142823E-2</c:v>
                </c:pt>
                <c:pt idx="13">
                  <c:v>1.6576894104777303E-2</c:v>
                </c:pt>
                <c:pt idx="14">
                  <c:v>1.6476383351994316E-2</c:v>
                </c:pt>
                <c:pt idx="15">
                  <c:v>1.6381241601315367E-2</c:v>
                </c:pt>
                <c:pt idx="16">
                  <c:v>1.6076535819287006E-2</c:v>
                </c:pt>
                <c:pt idx="17">
                  <c:v>1.6326945367790204E-2</c:v>
                </c:pt>
                <c:pt idx="18">
                  <c:v>1.6345670268390101E-2</c:v>
                </c:pt>
                <c:pt idx="19">
                  <c:v>1.6323964291183931E-2</c:v>
                </c:pt>
              </c:numCache>
            </c:numRef>
          </c:yVal>
          <c:smooth val="1"/>
        </c:ser>
        <c:axId val="96976896"/>
        <c:axId val="96978816"/>
      </c:scatterChart>
      <c:valAx>
        <c:axId val="9697689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978816"/>
        <c:crosses val="autoZero"/>
        <c:crossBetween val="midCat"/>
      </c:valAx>
      <c:valAx>
        <c:axId val="96978816"/>
        <c:scaling>
          <c:orientation val="minMax"/>
        </c:scaling>
        <c:axPos val="l"/>
        <c:numFmt formatCode="General" sourceLinked="1"/>
        <c:tickLblPos val="nextTo"/>
        <c:crossAx val="96976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144094901957544"/>
          <c:y val="7.0375400703370575E-2"/>
          <c:w val="0.27087756174461375"/>
          <c:h val="0.85768759142261364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AA_S_phi_den!$B$3:$U$3</c:f>
              <c:numCache>
                <c:formatCode>General</c:formatCode>
                <c:ptCount val="20"/>
                <c:pt idx="0">
                  <c:v>2.722913509125803E-2</c:v>
                </c:pt>
                <c:pt idx="1">
                  <c:v>2.7592642590684214E-2</c:v>
                </c:pt>
                <c:pt idx="2">
                  <c:v>2.7095562126074654E-2</c:v>
                </c:pt>
                <c:pt idx="3">
                  <c:v>2.6770758752363642E-2</c:v>
                </c:pt>
                <c:pt idx="4">
                  <c:v>2.6892443273748276E-2</c:v>
                </c:pt>
                <c:pt idx="5">
                  <c:v>2.6637009092313292E-2</c:v>
                </c:pt>
                <c:pt idx="6">
                  <c:v>2.695710953454834E-2</c:v>
                </c:pt>
                <c:pt idx="7">
                  <c:v>2.7215150018930882E-2</c:v>
                </c:pt>
                <c:pt idx="8">
                  <c:v>2.7218806211775994E-2</c:v>
                </c:pt>
                <c:pt idx="9">
                  <c:v>2.683487232843456E-2</c:v>
                </c:pt>
                <c:pt idx="10">
                  <c:v>2.9197980708577646E-2</c:v>
                </c:pt>
                <c:pt idx="11">
                  <c:v>2.9207919981832652E-2</c:v>
                </c:pt>
                <c:pt idx="12">
                  <c:v>2.918802673683964E-2</c:v>
                </c:pt>
                <c:pt idx="13">
                  <c:v>2.8593410910576642E-2</c:v>
                </c:pt>
                <c:pt idx="14">
                  <c:v>2.860825982697408E-2</c:v>
                </c:pt>
                <c:pt idx="15">
                  <c:v>2.8550684417237203E-2</c:v>
                </c:pt>
                <c:pt idx="16">
                  <c:v>2.7839042174911104E-2</c:v>
                </c:pt>
                <c:pt idx="17">
                  <c:v>2.8572776201115872E-2</c:v>
                </c:pt>
                <c:pt idx="18">
                  <c:v>2.8116065313021573E-2</c:v>
                </c:pt>
                <c:pt idx="19">
                  <c:v>2.7934861692393655E-2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AA_S_phi_den!$B$21:$U$21</c:f>
              <c:numCache>
                <c:formatCode>General</c:formatCode>
                <c:ptCount val="20"/>
                <c:pt idx="0">
                  <c:v>2.2547723202692289E-2</c:v>
                </c:pt>
                <c:pt idx="1">
                  <c:v>2.2807461868650344E-2</c:v>
                </c:pt>
                <c:pt idx="2">
                  <c:v>2.2338192275324433E-2</c:v>
                </c:pt>
                <c:pt idx="3">
                  <c:v>2.1757668229496742E-2</c:v>
                </c:pt>
                <c:pt idx="4">
                  <c:v>2.1800053436815004E-2</c:v>
                </c:pt>
                <c:pt idx="5">
                  <c:v>2.1522417089482514E-2</c:v>
                </c:pt>
                <c:pt idx="6">
                  <c:v>2.1870365036440565E-2</c:v>
                </c:pt>
                <c:pt idx="7">
                  <c:v>2.1803092865376846E-2</c:v>
                </c:pt>
                <c:pt idx="8">
                  <c:v>2.2112051230811103E-2</c:v>
                </c:pt>
                <c:pt idx="9">
                  <c:v>2.1599889873933957E-2</c:v>
                </c:pt>
                <c:pt idx="10">
                  <c:v>2.3266814643853204E-2</c:v>
                </c:pt>
                <c:pt idx="11">
                  <c:v>2.349163698339805E-2</c:v>
                </c:pt>
                <c:pt idx="12">
                  <c:v>2.3357508181262848E-2</c:v>
                </c:pt>
                <c:pt idx="13">
                  <c:v>2.318451983098244E-2</c:v>
                </c:pt>
                <c:pt idx="14">
                  <c:v>2.3309884022621054E-2</c:v>
                </c:pt>
                <c:pt idx="15">
                  <c:v>2.330327362804567E-2</c:v>
                </c:pt>
                <c:pt idx="16">
                  <c:v>2.2652685333563845E-2</c:v>
                </c:pt>
                <c:pt idx="17">
                  <c:v>2.2874242049995691E-2</c:v>
                </c:pt>
                <c:pt idx="18">
                  <c:v>2.2798328452955909E-2</c:v>
                </c:pt>
                <c:pt idx="19">
                  <c:v>2.2558507215863999E-2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AA_S_phi_den!$B$37:$U$37</c:f>
              <c:numCache>
                <c:formatCode>General</c:formatCode>
                <c:ptCount val="20"/>
                <c:pt idx="0">
                  <c:v>1.9054398801704717E-2</c:v>
                </c:pt>
                <c:pt idx="1">
                  <c:v>1.9368019246583306E-2</c:v>
                </c:pt>
                <c:pt idx="2">
                  <c:v>1.9018060980138196E-2</c:v>
                </c:pt>
                <c:pt idx="3">
                  <c:v>1.8654241811323757E-2</c:v>
                </c:pt>
                <c:pt idx="4">
                  <c:v>1.8707315547598E-2</c:v>
                </c:pt>
                <c:pt idx="5">
                  <c:v>1.8642619649453684E-2</c:v>
                </c:pt>
                <c:pt idx="6">
                  <c:v>1.8737678573969466E-2</c:v>
                </c:pt>
                <c:pt idx="7">
                  <c:v>1.8646418418693543E-2</c:v>
                </c:pt>
                <c:pt idx="8">
                  <c:v>1.8795221988588177E-2</c:v>
                </c:pt>
                <c:pt idx="9">
                  <c:v>1.846535826985992E-2</c:v>
                </c:pt>
                <c:pt idx="10">
                  <c:v>2.0019887370535186E-2</c:v>
                </c:pt>
                <c:pt idx="11">
                  <c:v>2.0064513204670779E-2</c:v>
                </c:pt>
                <c:pt idx="12">
                  <c:v>2.0074140996051277E-2</c:v>
                </c:pt>
                <c:pt idx="13">
                  <c:v>1.9779156228957848E-2</c:v>
                </c:pt>
                <c:pt idx="14">
                  <c:v>1.9631317679838119E-2</c:v>
                </c:pt>
                <c:pt idx="15">
                  <c:v>1.9485699579167553E-2</c:v>
                </c:pt>
                <c:pt idx="16">
                  <c:v>1.919964784350868E-2</c:v>
                </c:pt>
                <c:pt idx="17">
                  <c:v>1.954962087526102E-2</c:v>
                </c:pt>
                <c:pt idx="18">
                  <c:v>1.9395402781078781E-2</c:v>
                </c:pt>
                <c:pt idx="19">
                  <c:v>1.9362230982295277E-2</c:v>
                </c:pt>
              </c:numCache>
            </c:numRef>
          </c:yVal>
          <c:smooth val="1"/>
        </c:ser>
        <c:axId val="82330752"/>
        <c:axId val="82332672"/>
      </c:scatterChart>
      <c:valAx>
        <c:axId val="82330752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332672"/>
        <c:crosses val="autoZero"/>
        <c:crossBetween val="midCat"/>
      </c:valAx>
      <c:valAx>
        <c:axId val="82332672"/>
        <c:scaling>
          <c:orientation val="minMax"/>
        </c:scaling>
        <c:axPos val="l"/>
        <c:numFmt formatCode="General" sourceLinked="1"/>
        <c:tickLblPos val="nextTo"/>
        <c:crossAx val="82330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143718446803648E-2"/>
          <c:y val="3.5218143330814813E-2"/>
          <c:w val="0.60629372779589874"/>
          <c:h val="0.88531586604806833"/>
        </c:manualLayout>
      </c:layout>
      <c:scatterChart>
        <c:scatterStyle val="smoothMarker"/>
        <c:ser>
          <c:idx val="0"/>
          <c:order val="0"/>
          <c:tx>
            <c:strRef>
              <c:f>AA_S_phi_den!$A$3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AA_S_phi_den!$B$3:$U$3</c:f>
              <c:numCache>
                <c:formatCode>General</c:formatCode>
                <c:ptCount val="20"/>
                <c:pt idx="0">
                  <c:v>2.722913509125803E-2</c:v>
                </c:pt>
                <c:pt idx="1">
                  <c:v>2.7592642590684214E-2</c:v>
                </c:pt>
                <c:pt idx="2">
                  <c:v>2.7095562126074654E-2</c:v>
                </c:pt>
                <c:pt idx="3">
                  <c:v>2.6770758752363642E-2</c:v>
                </c:pt>
                <c:pt idx="4">
                  <c:v>2.6892443273748276E-2</c:v>
                </c:pt>
                <c:pt idx="5">
                  <c:v>2.6637009092313292E-2</c:v>
                </c:pt>
                <c:pt idx="6">
                  <c:v>2.695710953454834E-2</c:v>
                </c:pt>
                <c:pt idx="7">
                  <c:v>2.7215150018930882E-2</c:v>
                </c:pt>
                <c:pt idx="8">
                  <c:v>2.7218806211775994E-2</c:v>
                </c:pt>
                <c:pt idx="9">
                  <c:v>2.683487232843456E-2</c:v>
                </c:pt>
                <c:pt idx="10">
                  <c:v>2.9197980708577646E-2</c:v>
                </c:pt>
                <c:pt idx="11">
                  <c:v>2.9207919981832652E-2</c:v>
                </c:pt>
                <c:pt idx="12">
                  <c:v>2.918802673683964E-2</c:v>
                </c:pt>
                <c:pt idx="13">
                  <c:v>2.8593410910576642E-2</c:v>
                </c:pt>
                <c:pt idx="14">
                  <c:v>2.860825982697408E-2</c:v>
                </c:pt>
                <c:pt idx="15">
                  <c:v>2.8550684417237203E-2</c:v>
                </c:pt>
                <c:pt idx="16">
                  <c:v>2.7839042174911104E-2</c:v>
                </c:pt>
                <c:pt idx="17">
                  <c:v>2.8572776201115872E-2</c:v>
                </c:pt>
                <c:pt idx="18">
                  <c:v>2.8116065313021573E-2</c:v>
                </c:pt>
                <c:pt idx="19">
                  <c:v>2.7934861692393655E-2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AA_S_phi_den!$A$4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AA_S_phi_den!$B$4:$U$4</c:f>
              <c:numCache>
                <c:formatCode>General</c:formatCode>
                <c:ptCount val="20"/>
                <c:pt idx="0">
                  <c:v>2.4446354497740012E-2</c:v>
                </c:pt>
                <c:pt idx="1">
                  <c:v>2.508768298593566E-2</c:v>
                </c:pt>
                <c:pt idx="2">
                  <c:v>2.508697381426209E-2</c:v>
                </c:pt>
                <c:pt idx="3">
                  <c:v>2.5035799878764455E-2</c:v>
                </c:pt>
                <c:pt idx="4">
                  <c:v>2.5194807683947117E-2</c:v>
                </c:pt>
                <c:pt idx="5">
                  <c:v>2.4804569167337458E-2</c:v>
                </c:pt>
                <c:pt idx="6">
                  <c:v>2.5307625210599927E-2</c:v>
                </c:pt>
                <c:pt idx="7">
                  <c:v>2.5920759277995472E-2</c:v>
                </c:pt>
                <c:pt idx="8">
                  <c:v>2.6464616673872853E-2</c:v>
                </c:pt>
                <c:pt idx="9">
                  <c:v>2.6103067554892705E-2</c:v>
                </c:pt>
                <c:pt idx="10">
                  <c:v>2.8146145516361066E-2</c:v>
                </c:pt>
                <c:pt idx="11">
                  <c:v>2.8455063890528286E-2</c:v>
                </c:pt>
                <c:pt idx="12">
                  <c:v>2.8287233638130252E-2</c:v>
                </c:pt>
                <c:pt idx="13">
                  <c:v>2.7926249264459392E-2</c:v>
                </c:pt>
                <c:pt idx="14">
                  <c:v>2.808749092118425E-2</c:v>
                </c:pt>
                <c:pt idx="15">
                  <c:v>2.845477436524016E-2</c:v>
                </c:pt>
                <c:pt idx="16">
                  <c:v>2.8260581990965528E-2</c:v>
                </c:pt>
                <c:pt idx="17">
                  <c:v>2.8352964903553757E-2</c:v>
                </c:pt>
                <c:pt idx="18">
                  <c:v>2.7825690483334286E-2</c:v>
                </c:pt>
                <c:pt idx="19">
                  <c:v>2.7899839079020956E-2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AA_S_phi_den!$A$5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AA_S_phi_den!$B$5:$U$5</c:f>
              <c:numCache>
                <c:formatCode>General</c:formatCode>
                <c:ptCount val="20"/>
                <c:pt idx="0">
                  <c:v>2.4715514471504579E-2</c:v>
                </c:pt>
                <c:pt idx="1">
                  <c:v>2.5421534910542526E-2</c:v>
                </c:pt>
                <c:pt idx="2">
                  <c:v>2.5332863852738946E-2</c:v>
                </c:pt>
                <c:pt idx="3">
                  <c:v>2.5197355343050665E-2</c:v>
                </c:pt>
                <c:pt idx="4">
                  <c:v>2.5453971645492773E-2</c:v>
                </c:pt>
                <c:pt idx="5">
                  <c:v>2.5556661880522455E-2</c:v>
                </c:pt>
                <c:pt idx="6">
                  <c:v>2.5830283170866993E-2</c:v>
                </c:pt>
                <c:pt idx="7">
                  <c:v>2.6118290073287254E-2</c:v>
                </c:pt>
                <c:pt idx="8">
                  <c:v>2.6432659558379822E-2</c:v>
                </c:pt>
                <c:pt idx="9">
                  <c:v>2.6171817902065624E-2</c:v>
                </c:pt>
                <c:pt idx="10">
                  <c:v>2.8317478716704116E-2</c:v>
                </c:pt>
                <c:pt idx="11">
                  <c:v>2.8512273870346935E-2</c:v>
                </c:pt>
                <c:pt idx="12">
                  <c:v>2.8748976358058231E-2</c:v>
                </c:pt>
                <c:pt idx="13">
                  <c:v>2.8679488583017269E-2</c:v>
                </c:pt>
                <c:pt idx="14">
                  <c:v>2.9103569160160696E-2</c:v>
                </c:pt>
                <c:pt idx="15">
                  <c:v>2.9327750655313175E-2</c:v>
                </c:pt>
                <c:pt idx="16">
                  <c:v>2.83432643695943E-2</c:v>
                </c:pt>
                <c:pt idx="17">
                  <c:v>2.8737884860406925E-2</c:v>
                </c:pt>
                <c:pt idx="18">
                  <c:v>2.8498975275018275E-2</c:v>
                </c:pt>
                <c:pt idx="19">
                  <c:v>2.8489161807461399E-2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AA_S_phi_den!$A$6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AA_S_phi_den!$B$6:$U$6</c:f>
              <c:numCache>
                <c:formatCode>General</c:formatCode>
                <c:ptCount val="20"/>
                <c:pt idx="0">
                  <c:v>1.9203152903005408E-2</c:v>
                </c:pt>
                <c:pt idx="1">
                  <c:v>1.9456974697160356E-2</c:v>
                </c:pt>
                <c:pt idx="2">
                  <c:v>1.8663214003208715E-2</c:v>
                </c:pt>
                <c:pt idx="3">
                  <c:v>1.8456402561449869E-2</c:v>
                </c:pt>
                <c:pt idx="4">
                  <c:v>1.8265258778902123E-2</c:v>
                </c:pt>
                <c:pt idx="5">
                  <c:v>1.7868888045540796E-2</c:v>
                </c:pt>
                <c:pt idx="6">
                  <c:v>1.7604046249793569E-2</c:v>
                </c:pt>
                <c:pt idx="7">
                  <c:v>1.7313695063745103E-2</c:v>
                </c:pt>
                <c:pt idx="8">
                  <c:v>1.7885653207972748E-2</c:v>
                </c:pt>
                <c:pt idx="9">
                  <c:v>1.7678128924946537E-2</c:v>
                </c:pt>
                <c:pt idx="10">
                  <c:v>1.9079471255011665E-2</c:v>
                </c:pt>
                <c:pt idx="11">
                  <c:v>1.9039623163508095E-2</c:v>
                </c:pt>
                <c:pt idx="12">
                  <c:v>1.891780175071894E-2</c:v>
                </c:pt>
                <c:pt idx="13">
                  <c:v>1.8503804247868908E-2</c:v>
                </c:pt>
                <c:pt idx="14">
                  <c:v>1.8321820481017288E-2</c:v>
                </c:pt>
                <c:pt idx="15">
                  <c:v>1.814175496686268E-2</c:v>
                </c:pt>
                <c:pt idx="16">
                  <c:v>1.8110763310077358E-2</c:v>
                </c:pt>
                <c:pt idx="17">
                  <c:v>1.8211423346972625E-2</c:v>
                </c:pt>
                <c:pt idx="18">
                  <c:v>1.8233053789315053E-2</c:v>
                </c:pt>
                <c:pt idx="19">
                  <c:v>1.8290664676968771E-2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AA_S_phi_den!$A$7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AA_S_phi_den!$B$7:$U$7</c:f>
              <c:numCache>
                <c:formatCode>General</c:formatCode>
                <c:ptCount val="20"/>
                <c:pt idx="0">
                  <c:v>1.9809048546134404E-2</c:v>
                </c:pt>
                <c:pt idx="1">
                  <c:v>2.0278388916838693E-2</c:v>
                </c:pt>
                <c:pt idx="2">
                  <c:v>1.9625711337309722E-2</c:v>
                </c:pt>
                <c:pt idx="3">
                  <c:v>1.9187854538721197E-2</c:v>
                </c:pt>
                <c:pt idx="4">
                  <c:v>1.8997643422364083E-2</c:v>
                </c:pt>
                <c:pt idx="5">
                  <c:v>1.8507256674711658E-2</c:v>
                </c:pt>
                <c:pt idx="6">
                  <c:v>1.8285890280217525E-2</c:v>
                </c:pt>
                <c:pt idx="7">
                  <c:v>1.8310345306456879E-2</c:v>
                </c:pt>
                <c:pt idx="8">
                  <c:v>1.892448684188942E-2</c:v>
                </c:pt>
                <c:pt idx="9">
                  <c:v>1.8752325300503764E-2</c:v>
                </c:pt>
                <c:pt idx="10">
                  <c:v>2.0462005528473211E-2</c:v>
                </c:pt>
                <c:pt idx="11">
                  <c:v>2.0784301897810921E-2</c:v>
                </c:pt>
                <c:pt idx="12">
                  <c:v>2.0785110459578073E-2</c:v>
                </c:pt>
                <c:pt idx="13">
                  <c:v>2.0423114290702496E-2</c:v>
                </c:pt>
                <c:pt idx="14">
                  <c:v>2.0220496498601168E-2</c:v>
                </c:pt>
                <c:pt idx="15">
                  <c:v>2.0145092436806705E-2</c:v>
                </c:pt>
                <c:pt idx="16">
                  <c:v>2.0233198028071355E-2</c:v>
                </c:pt>
                <c:pt idx="17">
                  <c:v>2.0373876064170324E-2</c:v>
                </c:pt>
                <c:pt idx="18">
                  <c:v>2.0372659320675293E-2</c:v>
                </c:pt>
                <c:pt idx="19">
                  <c:v>2.0408409370315721E-2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AA_S_phi_den!$A$8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AA_S_phi_den!$B$8:$U$8</c:f>
              <c:numCache>
                <c:formatCode>General</c:formatCode>
                <c:ptCount val="20"/>
                <c:pt idx="0">
                  <c:v>1.9272060611289322E-2</c:v>
                </c:pt>
                <c:pt idx="1">
                  <c:v>1.9799722334340505E-2</c:v>
                </c:pt>
                <c:pt idx="2">
                  <c:v>1.8932345398290966E-2</c:v>
                </c:pt>
                <c:pt idx="3">
                  <c:v>1.8090272702595476E-2</c:v>
                </c:pt>
                <c:pt idx="4">
                  <c:v>1.8075022728473819E-2</c:v>
                </c:pt>
                <c:pt idx="5">
                  <c:v>1.7724447244744937E-2</c:v>
                </c:pt>
                <c:pt idx="6">
                  <c:v>1.7455503876324784E-2</c:v>
                </c:pt>
                <c:pt idx="7">
                  <c:v>1.6983814346894641E-2</c:v>
                </c:pt>
                <c:pt idx="8">
                  <c:v>1.7375168849607998E-2</c:v>
                </c:pt>
                <c:pt idx="9">
                  <c:v>1.7559296748452063E-2</c:v>
                </c:pt>
                <c:pt idx="10">
                  <c:v>1.9174941899359251E-2</c:v>
                </c:pt>
                <c:pt idx="11">
                  <c:v>1.9122682756398533E-2</c:v>
                </c:pt>
                <c:pt idx="12">
                  <c:v>1.8889438710908445E-2</c:v>
                </c:pt>
                <c:pt idx="13">
                  <c:v>1.8570240895102265E-2</c:v>
                </c:pt>
                <c:pt idx="14">
                  <c:v>1.8146299798412036E-2</c:v>
                </c:pt>
                <c:pt idx="15">
                  <c:v>1.7940713460266711E-2</c:v>
                </c:pt>
                <c:pt idx="16">
                  <c:v>1.7930983161522699E-2</c:v>
                </c:pt>
                <c:pt idx="17">
                  <c:v>1.7838490153876813E-2</c:v>
                </c:pt>
                <c:pt idx="18">
                  <c:v>1.8062266007634716E-2</c:v>
                </c:pt>
                <c:pt idx="19">
                  <c:v>1.8130516002264768E-2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AA_S_phi_den!$A$9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AA_S_phi_den!$B$9:$U$9</c:f>
              <c:numCache>
                <c:formatCode>General</c:formatCode>
                <c:ptCount val="20"/>
                <c:pt idx="0">
                  <c:v>1.932782020186026E-2</c:v>
                </c:pt>
                <c:pt idx="1">
                  <c:v>1.9942764292303652E-2</c:v>
                </c:pt>
                <c:pt idx="2">
                  <c:v>1.9335697565476935E-2</c:v>
                </c:pt>
                <c:pt idx="3">
                  <c:v>1.8652321886261529E-2</c:v>
                </c:pt>
                <c:pt idx="4">
                  <c:v>1.8494725075384483E-2</c:v>
                </c:pt>
                <c:pt idx="5">
                  <c:v>1.8100577519752595E-2</c:v>
                </c:pt>
                <c:pt idx="6">
                  <c:v>1.7836596430827713E-2</c:v>
                </c:pt>
                <c:pt idx="7">
                  <c:v>1.7526498284771107E-2</c:v>
                </c:pt>
                <c:pt idx="8">
                  <c:v>1.7952788149613395E-2</c:v>
                </c:pt>
                <c:pt idx="9">
                  <c:v>1.7562075729466237E-2</c:v>
                </c:pt>
                <c:pt idx="10">
                  <c:v>1.9010241418166235E-2</c:v>
                </c:pt>
                <c:pt idx="11">
                  <c:v>1.9436391711065912E-2</c:v>
                </c:pt>
                <c:pt idx="12">
                  <c:v>1.9227339228562786E-2</c:v>
                </c:pt>
                <c:pt idx="13">
                  <c:v>1.8677425593242897E-2</c:v>
                </c:pt>
                <c:pt idx="14">
                  <c:v>1.8558553127434638E-2</c:v>
                </c:pt>
                <c:pt idx="15">
                  <c:v>1.8253752454560988E-2</c:v>
                </c:pt>
                <c:pt idx="16">
                  <c:v>1.8063083608981075E-2</c:v>
                </c:pt>
                <c:pt idx="17">
                  <c:v>1.8077640783687829E-2</c:v>
                </c:pt>
                <c:pt idx="18">
                  <c:v>1.7970315147407656E-2</c:v>
                </c:pt>
                <c:pt idx="19">
                  <c:v>1.7954363909604157E-2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AA_S_phi_den!$A$10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AA_S_phi_den!$B$10:$U$10</c:f>
              <c:numCache>
                <c:formatCode>General</c:formatCode>
                <c:ptCount val="20"/>
                <c:pt idx="0">
                  <c:v>2.1880583286719598E-2</c:v>
                </c:pt>
                <c:pt idx="1">
                  <c:v>2.2209306983413824E-2</c:v>
                </c:pt>
                <c:pt idx="2">
                  <c:v>2.1665853177391003E-2</c:v>
                </c:pt>
                <c:pt idx="3">
                  <c:v>2.1349671472753757E-2</c:v>
                </c:pt>
                <c:pt idx="4">
                  <c:v>2.1418411882608061E-2</c:v>
                </c:pt>
                <c:pt idx="5">
                  <c:v>2.1337705771335647E-2</c:v>
                </c:pt>
                <c:pt idx="6">
                  <c:v>2.1689957055359924E-2</c:v>
                </c:pt>
                <c:pt idx="7">
                  <c:v>2.1409193983651438E-2</c:v>
                </c:pt>
                <c:pt idx="8">
                  <c:v>2.1875871001703909E-2</c:v>
                </c:pt>
                <c:pt idx="9">
                  <c:v>2.1867370155464121E-2</c:v>
                </c:pt>
                <c:pt idx="10">
                  <c:v>2.4192190960474279E-2</c:v>
                </c:pt>
                <c:pt idx="11">
                  <c:v>2.4098102297984501E-2</c:v>
                </c:pt>
                <c:pt idx="12">
                  <c:v>2.3984256192988124E-2</c:v>
                </c:pt>
                <c:pt idx="13">
                  <c:v>2.3334482834406818E-2</c:v>
                </c:pt>
                <c:pt idx="14">
                  <c:v>2.3589278356713889E-2</c:v>
                </c:pt>
                <c:pt idx="15">
                  <c:v>2.3415613051845273E-2</c:v>
                </c:pt>
                <c:pt idx="16">
                  <c:v>2.2645595751540747E-2</c:v>
                </c:pt>
                <c:pt idx="17">
                  <c:v>2.2799609781345334E-2</c:v>
                </c:pt>
                <c:pt idx="18">
                  <c:v>2.2741434369963589E-2</c:v>
                </c:pt>
                <c:pt idx="19">
                  <c:v>2.3216227253169679E-2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AA_S_phi_den!$A$11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AA_S_phi_den!$B$11:$U$11</c:f>
              <c:numCache>
                <c:formatCode>General</c:formatCode>
                <c:ptCount val="20"/>
                <c:pt idx="0">
                  <c:v>2.1955519320535823E-2</c:v>
                </c:pt>
                <c:pt idx="1">
                  <c:v>2.229837464065099E-2</c:v>
                </c:pt>
                <c:pt idx="2">
                  <c:v>2.1790534016073455E-2</c:v>
                </c:pt>
                <c:pt idx="3">
                  <c:v>2.1441979496342963E-2</c:v>
                </c:pt>
                <c:pt idx="4">
                  <c:v>2.1464025801827154E-2</c:v>
                </c:pt>
                <c:pt idx="5">
                  <c:v>2.147175504781336E-2</c:v>
                </c:pt>
                <c:pt idx="6">
                  <c:v>2.1709142131683658E-2</c:v>
                </c:pt>
                <c:pt idx="7">
                  <c:v>2.1199798367722265E-2</c:v>
                </c:pt>
                <c:pt idx="8">
                  <c:v>2.1366598303686889E-2</c:v>
                </c:pt>
                <c:pt idx="9">
                  <c:v>2.1004693015132456E-2</c:v>
                </c:pt>
                <c:pt idx="10">
                  <c:v>2.3089859745661228E-2</c:v>
                </c:pt>
                <c:pt idx="11">
                  <c:v>2.3316574816205925E-2</c:v>
                </c:pt>
                <c:pt idx="12">
                  <c:v>2.3426387880870619E-2</c:v>
                </c:pt>
                <c:pt idx="13">
                  <c:v>2.2959582428031262E-2</c:v>
                </c:pt>
                <c:pt idx="14">
                  <c:v>2.3110927856074198E-2</c:v>
                </c:pt>
                <c:pt idx="15">
                  <c:v>2.2844700036434115E-2</c:v>
                </c:pt>
                <c:pt idx="16">
                  <c:v>2.2442555193964521E-2</c:v>
                </c:pt>
                <c:pt idx="17">
                  <c:v>2.2666338925857718E-2</c:v>
                </c:pt>
                <c:pt idx="18">
                  <c:v>2.2985440441154276E-2</c:v>
                </c:pt>
                <c:pt idx="19">
                  <c:v>2.2877229208768765E-2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AA_S_phi_den!$A$12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AA_S_phi_den!$B$12:$U$12</c:f>
              <c:numCache>
                <c:formatCode>General</c:formatCode>
                <c:ptCount val="20"/>
                <c:pt idx="0">
                  <c:v>1.8394914568906299E-2</c:v>
                </c:pt>
                <c:pt idx="1">
                  <c:v>1.8766433181287814E-2</c:v>
                </c:pt>
                <c:pt idx="2">
                  <c:v>1.8535837294755084E-2</c:v>
                </c:pt>
                <c:pt idx="3">
                  <c:v>1.7938913310131522E-2</c:v>
                </c:pt>
                <c:pt idx="4">
                  <c:v>1.770189770711908E-2</c:v>
                </c:pt>
                <c:pt idx="5">
                  <c:v>1.8042169680280114E-2</c:v>
                </c:pt>
                <c:pt idx="6">
                  <c:v>1.8009924604668506E-2</c:v>
                </c:pt>
                <c:pt idx="7">
                  <c:v>1.7845911704221774E-2</c:v>
                </c:pt>
                <c:pt idx="8">
                  <c:v>1.8086531079428456E-2</c:v>
                </c:pt>
                <c:pt idx="9">
                  <c:v>1.7850804120601933E-2</c:v>
                </c:pt>
                <c:pt idx="10">
                  <c:v>1.9276586502057415E-2</c:v>
                </c:pt>
                <c:pt idx="11">
                  <c:v>1.9653281067554883E-2</c:v>
                </c:pt>
                <c:pt idx="12">
                  <c:v>1.9248222744346177E-2</c:v>
                </c:pt>
                <c:pt idx="13">
                  <c:v>1.9067703727028488E-2</c:v>
                </c:pt>
                <c:pt idx="14">
                  <c:v>1.9227061891313776E-2</c:v>
                </c:pt>
                <c:pt idx="15">
                  <c:v>1.9175743536992355E-2</c:v>
                </c:pt>
                <c:pt idx="16">
                  <c:v>1.852302546155454E-2</c:v>
                </c:pt>
                <c:pt idx="17">
                  <c:v>1.9050528579725546E-2</c:v>
                </c:pt>
                <c:pt idx="18">
                  <c:v>1.9051934949979893E-2</c:v>
                </c:pt>
                <c:pt idx="19">
                  <c:v>1.8917032475387608E-2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AA_S_phi_den!$A$13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AA_S_phi_den!$B$13:$U$13</c:f>
              <c:numCache>
                <c:formatCode>General</c:formatCode>
                <c:ptCount val="20"/>
                <c:pt idx="0">
                  <c:v>1.8365978128417192E-2</c:v>
                </c:pt>
                <c:pt idx="1">
                  <c:v>1.8576138262000722E-2</c:v>
                </c:pt>
                <c:pt idx="2">
                  <c:v>1.8272826329162762E-2</c:v>
                </c:pt>
                <c:pt idx="3">
                  <c:v>1.7848493970169712E-2</c:v>
                </c:pt>
                <c:pt idx="4">
                  <c:v>1.8006139579900177E-2</c:v>
                </c:pt>
                <c:pt idx="5">
                  <c:v>1.7777581315471757E-2</c:v>
                </c:pt>
                <c:pt idx="6">
                  <c:v>1.7876651363392528E-2</c:v>
                </c:pt>
                <c:pt idx="7">
                  <c:v>1.7629003110733149E-2</c:v>
                </c:pt>
                <c:pt idx="8">
                  <c:v>1.7698940064927834E-2</c:v>
                </c:pt>
                <c:pt idx="9">
                  <c:v>1.7596339536719727E-2</c:v>
                </c:pt>
                <c:pt idx="10">
                  <c:v>1.8995895207542711E-2</c:v>
                </c:pt>
                <c:pt idx="11">
                  <c:v>1.926655332672601E-2</c:v>
                </c:pt>
                <c:pt idx="12">
                  <c:v>1.9047128455015584E-2</c:v>
                </c:pt>
                <c:pt idx="13">
                  <c:v>1.898760514433457E-2</c:v>
                </c:pt>
                <c:pt idx="14">
                  <c:v>1.8717888622412183E-2</c:v>
                </c:pt>
                <c:pt idx="15">
                  <c:v>1.9061635320889524E-2</c:v>
                </c:pt>
                <c:pt idx="16">
                  <c:v>1.8273206756297653E-2</c:v>
                </c:pt>
                <c:pt idx="17">
                  <c:v>1.8381192472575702E-2</c:v>
                </c:pt>
                <c:pt idx="18">
                  <c:v>1.8662519356116531E-2</c:v>
                </c:pt>
                <c:pt idx="19">
                  <c:v>1.8710157924421884E-2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AA_S_phi_den!$A$14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AA_S_phi_den!$B$14:$U$14</c:f>
              <c:numCache>
                <c:formatCode>General</c:formatCode>
                <c:ptCount val="20"/>
                <c:pt idx="0">
                  <c:v>1.8408833710055618E-2</c:v>
                </c:pt>
                <c:pt idx="1">
                  <c:v>1.8855402139129739E-2</c:v>
                </c:pt>
                <c:pt idx="2">
                  <c:v>1.8426828157452307E-2</c:v>
                </c:pt>
                <c:pt idx="3">
                  <c:v>1.8278300920160556E-2</c:v>
                </c:pt>
                <c:pt idx="4">
                  <c:v>1.8279760425269201E-2</c:v>
                </c:pt>
                <c:pt idx="5">
                  <c:v>1.826282460825121E-2</c:v>
                </c:pt>
                <c:pt idx="6">
                  <c:v>1.8415838099935678E-2</c:v>
                </c:pt>
                <c:pt idx="7">
                  <c:v>1.8375990726244441E-2</c:v>
                </c:pt>
                <c:pt idx="8">
                  <c:v>1.843141082505996E-2</c:v>
                </c:pt>
                <c:pt idx="9">
                  <c:v>1.8095692868560932E-2</c:v>
                </c:pt>
                <c:pt idx="10">
                  <c:v>1.9703122096264635E-2</c:v>
                </c:pt>
                <c:pt idx="11">
                  <c:v>1.985946964939406E-2</c:v>
                </c:pt>
                <c:pt idx="12">
                  <c:v>1.9839244720931293E-2</c:v>
                </c:pt>
                <c:pt idx="13">
                  <c:v>2.0089945259116674E-2</c:v>
                </c:pt>
                <c:pt idx="14">
                  <c:v>2.0582340967008058E-2</c:v>
                </c:pt>
                <c:pt idx="15">
                  <c:v>2.0575497544606761E-2</c:v>
                </c:pt>
                <c:pt idx="16">
                  <c:v>1.9718801048808385E-2</c:v>
                </c:pt>
                <c:pt idx="17">
                  <c:v>1.9937225576123405E-2</c:v>
                </c:pt>
                <c:pt idx="18">
                  <c:v>1.9846553527239456E-2</c:v>
                </c:pt>
                <c:pt idx="19">
                  <c:v>2.0040984536038069E-2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AA_S_phi_den!$A$15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AA_S_phi_den!$B$15:$U$15</c:f>
              <c:numCache>
                <c:formatCode>General</c:formatCode>
                <c:ptCount val="20"/>
                <c:pt idx="0">
                  <c:v>1.8039726588386831E-2</c:v>
                </c:pt>
                <c:pt idx="1">
                  <c:v>1.8418762866369485E-2</c:v>
                </c:pt>
                <c:pt idx="2">
                  <c:v>1.8009366388737492E-2</c:v>
                </c:pt>
                <c:pt idx="3">
                  <c:v>1.7386557972060266E-2</c:v>
                </c:pt>
                <c:pt idx="4">
                  <c:v>1.710652388316598E-2</c:v>
                </c:pt>
                <c:pt idx="5">
                  <c:v>1.6948843764986607E-2</c:v>
                </c:pt>
                <c:pt idx="6">
                  <c:v>1.7012907545563123E-2</c:v>
                </c:pt>
                <c:pt idx="7">
                  <c:v>1.702805592783967E-2</c:v>
                </c:pt>
                <c:pt idx="8">
                  <c:v>1.7162837946346873E-2</c:v>
                </c:pt>
                <c:pt idx="9">
                  <c:v>1.7039085342924039E-2</c:v>
                </c:pt>
                <c:pt idx="10">
                  <c:v>1.8590861621438921E-2</c:v>
                </c:pt>
                <c:pt idx="11">
                  <c:v>1.9027571724784614E-2</c:v>
                </c:pt>
                <c:pt idx="12">
                  <c:v>1.9017430396826643E-2</c:v>
                </c:pt>
                <c:pt idx="13">
                  <c:v>1.8766904110479717E-2</c:v>
                </c:pt>
                <c:pt idx="14">
                  <c:v>1.9330260461524754E-2</c:v>
                </c:pt>
                <c:pt idx="15">
                  <c:v>1.9344588667582506E-2</c:v>
                </c:pt>
                <c:pt idx="16">
                  <c:v>1.8792700242403475E-2</c:v>
                </c:pt>
                <c:pt idx="17">
                  <c:v>1.8917829449831898E-2</c:v>
                </c:pt>
                <c:pt idx="18">
                  <c:v>1.8724593668137404E-2</c:v>
                </c:pt>
                <c:pt idx="19">
                  <c:v>1.8595924430992977E-2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AA_S_phi_den!$A$16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AA_S_phi_den!$B$16:$U$16</c:f>
              <c:numCache>
                <c:formatCode>General</c:formatCode>
                <c:ptCount val="20"/>
                <c:pt idx="0">
                  <c:v>2.3136881365882014E-2</c:v>
                </c:pt>
                <c:pt idx="1">
                  <c:v>2.3607224375147475E-2</c:v>
                </c:pt>
                <c:pt idx="2">
                  <c:v>2.3171387547568648E-2</c:v>
                </c:pt>
                <c:pt idx="3">
                  <c:v>2.2760393257611439E-2</c:v>
                </c:pt>
                <c:pt idx="4">
                  <c:v>2.2716927058684225E-2</c:v>
                </c:pt>
                <c:pt idx="5">
                  <c:v>2.262781514241808E-2</c:v>
                </c:pt>
                <c:pt idx="6">
                  <c:v>2.3097065089420867E-2</c:v>
                </c:pt>
                <c:pt idx="7">
                  <c:v>2.3150260407712848E-2</c:v>
                </c:pt>
                <c:pt idx="8">
                  <c:v>2.3473501230298698E-2</c:v>
                </c:pt>
                <c:pt idx="9">
                  <c:v>2.2768975064106516E-2</c:v>
                </c:pt>
                <c:pt idx="10">
                  <c:v>2.4889336665244895E-2</c:v>
                </c:pt>
                <c:pt idx="11">
                  <c:v>2.5097144271062469E-2</c:v>
                </c:pt>
                <c:pt idx="12">
                  <c:v>2.4990882388631331E-2</c:v>
                </c:pt>
                <c:pt idx="13">
                  <c:v>2.4527139079782004E-2</c:v>
                </c:pt>
                <c:pt idx="14">
                  <c:v>2.4913150049251733E-2</c:v>
                </c:pt>
                <c:pt idx="15">
                  <c:v>2.5012853021995275E-2</c:v>
                </c:pt>
                <c:pt idx="16">
                  <c:v>2.4540366415665787E-2</c:v>
                </c:pt>
                <c:pt idx="17">
                  <c:v>2.472241577356547E-2</c:v>
                </c:pt>
                <c:pt idx="18">
                  <c:v>2.4763281890278474E-2</c:v>
                </c:pt>
                <c:pt idx="19">
                  <c:v>2.4780761337191828E-2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AA_S_phi_den!$A$17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AA_S_phi_den!$B$17:$U$17</c:f>
              <c:numCache>
                <c:formatCode>General</c:formatCode>
                <c:ptCount val="20"/>
                <c:pt idx="0">
                  <c:v>2.3054655539359252E-2</c:v>
                </c:pt>
                <c:pt idx="1">
                  <c:v>2.3539524048178967E-2</c:v>
                </c:pt>
                <c:pt idx="2">
                  <c:v>2.3151946552670079E-2</c:v>
                </c:pt>
                <c:pt idx="3">
                  <c:v>2.2769185626147641E-2</c:v>
                </c:pt>
                <c:pt idx="4">
                  <c:v>2.2875647597266568E-2</c:v>
                </c:pt>
                <c:pt idx="5">
                  <c:v>2.2784468204580289E-2</c:v>
                </c:pt>
                <c:pt idx="6">
                  <c:v>2.2982535735684092E-2</c:v>
                </c:pt>
                <c:pt idx="7">
                  <c:v>2.308033003489551E-2</c:v>
                </c:pt>
                <c:pt idx="8">
                  <c:v>2.3515387985737594E-2</c:v>
                </c:pt>
                <c:pt idx="9">
                  <c:v>2.3131106976322983E-2</c:v>
                </c:pt>
                <c:pt idx="10">
                  <c:v>2.504782817240658E-2</c:v>
                </c:pt>
                <c:pt idx="11">
                  <c:v>2.4981724933488526E-2</c:v>
                </c:pt>
                <c:pt idx="12">
                  <c:v>2.481003777358071E-2</c:v>
                </c:pt>
                <c:pt idx="13">
                  <c:v>2.4492741374256648E-2</c:v>
                </c:pt>
                <c:pt idx="14">
                  <c:v>2.4692011089921313E-2</c:v>
                </c:pt>
                <c:pt idx="15">
                  <c:v>2.5136024599358864E-2</c:v>
                </c:pt>
                <c:pt idx="16">
                  <c:v>2.4656997767137655E-2</c:v>
                </c:pt>
                <c:pt idx="17">
                  <c:v>2.4671248965728823E-2</c:v>
                </c:pt>
                <c:pt idx="18">
                  <c:v>2.473228262401898E-2</c:v>
                </c:pt>
                <c:pt idx="19">
                  <c:v>2.4381315789247571E-2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AA_S_phi_den!$A$18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AA_S_phi_den!$B$18:$U$18</c:f>
              <c:numCache>
                <c:formatCode>General</c:formatCode>
                <c:ptCount val="20"/>
                <c:pt idx="0">
                  <c:v>2.3750205171035755E-2</c:v>
                </c:pt>
                <c:pt idx="1">
                  <c:v>2.4259120615382202E-2</c:v>
                </c:pt>
                <c:pt idx="2">
                  <c:v>2.3775354008325363E-2</c:v>
                </c:pt>
                <c:pt idx="3">
                  <c:v>2.3486793063555274E-2</c:v>
                </c:pt>
                <c:pt idx="4">
                  <c:v>2.3541251823975509E-2</c:v>
                </c:pt>
                <c:pt idx="5">
                  <c:v>2.3218687005766878E-2</c:v>
                </c:pt>
                <c:pt idx="6">
                  <c:v>2.3538118819391805E-2</c:v>
                </c:pt>
                <c:pt idx="7">
                  <c:v>2.3647678669596897E-2</c:v>
                </c:pt>
                <c:pt idx="8">
                  <c:v>2.4113562496828254E-2</c:v>
                </c:pt>
                <c:pt idx="9">
                  <c:v>2.3754388735115452E-2</c:v>
                </c:pt>
                <c:pt idx="10">
                  <c:v>2.5729505995595228E-2</c:v>
                </c:pt>
                <c:pt idx="11">
                  <c:v>2.5745761392877892E-2</c:v>
                </c:pt>
                <c:pt idx="12">
                  <c:v>2.5711725071910642E-2</c:v>
                </c:pt>
                <c:pt idx="13">
                  <c:v>2.5365540518915885E-2</c:v>
                </c:pt>
                <c:pt idx="14">
                  <c:v>2.5367891284697401E-2</c:v>
                </c:pt>
                <c:pt idx="15">
                  <c:v>2.5411405449513345E-2</c:v>
                </c:pt>
                <c:pt idx="16">
                  <c:v>2.4759125910385406E-2</c:v>
                </c:pt>
                <c:pt idx="17">
                  <c:v>2.5073116475822332E-2</c:v>
                </c:pt>
                <c:pt idx="18">
                  <c:v>2.5179578306229487E-2</c:v>
                </c:pt>
                <c:pt idx="19">
                  <c:v>2.523411884221952E-2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AA_S_phi_den!$A$19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AA_S_phi_den!$B$19:$U$19</c:f>
              <c:numCache>
                <c:formatCode>General</c:formatCode>
                <c:ptCount val="20"/>
                <c:pt idx="0">
                  <c:v>2.2512944782917144E-2</c:v>
                </c:pt>
                <c:pt idx="1">
                  <c:v>2.2937408641884809E-2</c:v>
                </c:pt>
                <c:pt idx="2">
                  <c:v>2.2561821494259886E-2</c:v>
                </c:pt>
                <c:pt idx="3">
                  <c:v>2.2043928401180749E-2</c:v>
                </c:pt>
                <c:pt idx="4">
                  <c:v>2.2019582147493975E-2</c:v>
                </c:pt>
                <c:pt idx="5">
                  <c:v>2.1898375556396382E-2</c:v>
                </c:pt>
                <c:pt idx="6">
                  <c:v>2.2014960218583027E-2</c:v>
                </c:pt>
                <c:pt idx="7">
                  <c:v>2.2028127098137201E-2</c:v>
                </c:pt>
                <c:pt idx="8">
                  <c:v>2.2304807082966432E-2</c:v>
                </c:pt>
                <c:pt idx="9">
                  <c:v>2.1747587703661884E-2</c:v>
                </c:pt>
                <c:pt idx="10">
                  <c:v>2.3517561033355491E-2</c:v>
                </c:pt>
                <c:pt idx="11">
                  <c:v>2.3889186593195492E-2</c:v>
                </c:pt>
                <c:pt idx="12">
                  <c:v>2.3760691499828991E-2</c:v>
                </c:pt>
                <c:pt idx="13">
                  <c:v>2.3474584749267398E-2</c:v>
                </c:pt>
                <c:pt idx="14">
                  <c:v>2.3551217955952525E-2</c:v>
                </c:pt>
                <c:pt idx="15">
                  <c:v>2.3831842847502397E-2</c:v>
                </c:pt>
                <c:pt idx="16">
                  <c:v>2.3225890779106809E-2</c:v>
                </c:pt>
                <c:pt idx="17">
                  <c:v>2.3268183125139771E-2</c:v>
                </c:pt>
                <c:pt idx="18">
                  <c:v>2.3307308076696492E-2</c:v>
                </c:pt>
                <c:pt idx="19">
                  <c:v>2.3148971293455202E-2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AA_S_phi_den!$A$20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AA_S_phi_den!$B$20:$U$20</c:f>
              <c:numCache>
                <c:formatCode>General</c:formatCode>
                <c:ptCount val="20"/>
                <c:pt idx="0">
                  <c:v>2.2634803824405997E-2</c:v>
                </c:pt>
                <c:pt idx="1">
                  <c:v>2.2926537327708506E-2</c:v>
                </c:pt>
                <c:pt idx="2">
                  <c:v>2.2418323852749427E-2</c:v>
                </c:pt>
                <c:pt idx="3">
                  <c:v>2.1817127534338784E-2</c:v>
                </c:pt>
                <c:pt idx="4">
                  <c:v>2.1795389455850914E-2</c:v>
                </c:pt>
                <c:pt idx="5">
                  <c:v>2.1563704627810373E-2</c:v>
                </c:pt>
                <c:pt idx="6">
                  <c:v>2.1882469969247385E-2</c:v>
                </c:pt>
                <c:pt idx="7">
                  <c:v>2.1887484506987718E-2</c:v>
                </c:pt>
                <c:pt idx="8">
                  <c:v>2.2137516622835966E-2</c:v>
                </c:pt>
                <c:pt idx="9">
                  <c:v>2.1801438787803901E-2</c:v>
                </c:pt>
                <c:pt idx="10">
                  <c:v>2.3576936535668624E-2</c:v>
                </c:pt>
                <c:pt idx="11">
                  <c:v>2.3504713249117234E-2</c:v>
                </c:pt>
                <c:pt idx="12">
                  <c:v>2.3330574412578568E-2</c:v>
                </c:pt>
                <c:pt idx="13">
                  <c:v>2.3051135778598967E-2</c:v>
                </c:pt>
                <c:pt idx="14">
                  <c:v>2.3288515752065482E-2</c:v>
                </c:pt>
                <c:pt idx="15">
                  <c:v>2.3225959179072893E-2</c:v>
                </c:pt>
                <c:pt idx="16">
                  <c:v>2.2593488521981467E-2</c:v>
                </c:pt>
                <c:pt idx="17">
                  <c:v>2.2697838422216947E-2</c:v>
                </c:pt>
                <c:pt idx="18">
                  <c:v>2.2489183571012903E-2</c:v>
                </c:pt>
                <c:pt idx="19">
                  <c:v>2.2434320043412059E-2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AA_S_phi_den!$A$21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AA_S_phi_den!$B$21:$U$21</c:f>
              <c:numCache>
                <c:formatCode>General</c:formatCode>
                <c:ptCount val="20"/>
                <c:pt idx="0">
                  <c:v>2.2547723202692289E-2</c:v>
                </c:pt>
                <c:pt idx="1">
                  <c:v>2.2807461868650344E-2</c:v>
                </c:pt>
                <c:pt idx="2">
                  <c:v>2.2338192275324433E-2</c:v>
                </c:pt>
                <c:pt idx="3">
                  <c:v>2.1757668229496742E-2</c:v>
                </c:pt>
                <c:pt idx="4">
                  <c:v>2.1800053436815004E-2</c:v>
                </c:pt>
                <c:pt idx="5">
                  <c:v>2.1522417089482514E-2</c:v>
                </c:pt>
                <c:pt idx="6">
                  <c:v>2.1870365036440565E-2</c:v>
                </c:pt>
                <c:pt idx="7">
                  <c:v>2.1803092865376846E-2</c:v>
                </c:pt>
                <c:pt idx="8">
                  <c:v>2.2112051230811103E-2</c:v>
                </c:pt>
                <c:pt idx="9">
                  <c:v>2.1599889873933957E-2</c:v>
                </c:pt>
                <c:pt idx="10">
                  <c:v>2.3266814643853204E-2</c:v>
                </c:pt>
                <c:pt idx="11">
                  <c:v>2.349163698339805E-2</c:v>
                </c:pt>
                <c:pt idx="12">
                  <c:v>2.3357508181262848E-2</c:v>
                </c:pt>
                <c:pt idx="13">
                  <c:v>2.318451983098244E-2</c:v>
                </c:pt>
                <c:pt idx="14">
                  <c:v>2.3309884022621054E-2</c:v>
                </c:pt>
                <c:pt idx="15">
                  <c:v>2.330327362804567E-2</c:v>
                </c:pt>
                <c:pt idx="16">
                  <c:v>2.2652685333563845E-2</c:v>
                </c:pt>
                <c:pt idx="17">
                  <c:v>2.2874242049995691E-2</c:v>
                </c:pt>
                <c:pt idx="18">
                  <c:v>2.2798328452955909E-2</c:v>
                </c:pt>
                <c:pt idx="19">
                  <c:v>2.2558507215863999E-2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AA_S_phi_den!$A$22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AA_S_phi_den!$B$22:$U$22</c:f>
              <c:numCache>
                <c:formatCode>General</c:formatCode>
                <c:ptCount val="20"/>
                <c:pt idx="0">
                  <c:v>2.2373655939555981E-2</c:v>
                </c:pt>
                <c:pt idx="1">
                  <c:v>2.2703875265343312E-2</c:v>
                </c:pt>
                <c:pt idx="2">
                  <c:v>2.2272127850635776E-2</c:v>
                </c:pt>
                <c:pt idx="3">
                  <c:v>2.1663561641648513E-2</c:v>
                </c:pt>
                <c:pt idx="4">
                  <c:v>2.1520773625054675E-2</c:v>
                </c:pt>
                <c:pt idx="5">
                  <c:v>2.1527404676551034E-2</c:v>
                </c:pt>
                <c:pt idx="6">
                  <c:v>2.1700183662099363E-2</c:v>
                </c:pt>
                <c:pt idx="7">
                  <c:v>2.1811868955304025E-2</c:v>
                </c:pt>
                <c:pt idx="8">
                  <c:v>2.2019875595637221E-2</c:v>
                </c:pt>
                <c:pt idx="9">
                  <c:v>2.1634675080361949E-2</c:v>
                </c:pt>
                <c:pt idx="10">
                  <c:v>2.3401793927025849E-2</c:v>
                </c:pt>
                <c:pt idx="11">
                  <c:v>2.3549585441477065E-2</c:v>
                </c:pt>
                <c:pt idx="12">
                  <c:v>2.3248196752286603E-2</c:v>
                </c:pt>
                <c:pt idx="13">
                  <c:v>2.308320457687359E-2</c:v>
                </c:pt>
                <c:pt idx="14">
                  <c:v>2.3170572778314455E-2</c:v>
                </c:pt>
                <c:pt idx="15">
                  <c:v>2.3257497544335513E-2</c:v>
                </c:pt>
                <c:pt idx="16">
                  <c:v>2.269987744235686E-2</c:v>
                </c:pt>
                <c:pt idx="17">
                  <c:v>2.2762379808552554E-2</c:v>
                </c:pt>
                <c:pt idx="18">
                  <c:v>2.2853417242189304E-2</c:v>
                </c:pt>
                <c:pt idx="19">
                  <c:v>2.274422031395551E-2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AA_S_phi_den!$A$23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AA_S_phi_den!$B$23:$U$23</c:f>
              <c:numCache>
                <c:formatCode>General</c:formatCode>
                <c:ptCount val="20"/>
                <c:pt idx="0">
                  <c:v>2.2709091413129927E-2</c:v>
                </c:pt>
                <c:pt idx="1">
                  <c:v>2.3028990658830652E-2</c:v>
                </c:pt>
                <c:pt idx="2">
                  <c:v>2.2571569014643141E-2</c:v>
                </c:pt>
                <c:pt idx="3">
                  <c:v>2.1959397684863685E-2</c:v>
                </c:pt>
                <c:pt idx="4">
                  <c:v>2.181980740938879E-2</c:v>
                </c:pt>
                <c:pt idx="5">
                  <c:v>2.1693536975448558E-2</c:v>
                </c:pt>
                <c:pt idx="6">
                  <c:v>2.1946890857128573E-2</c:v>
                </c:pt>
                <c:pt idx="7">
                  <c:v>2.2124628676392772E-2</c:v>
                </c:pt>
                <c:pt idx="8">
                  <c:v>2.2327296245088977E-2</c:v>
                </c:pt>
                <c:pt idx="9">
                  <c:v>2.1785614979634618E-2</c:v>
                </c:pt>
                <c:pt idx="10">
                  <c:v>2.3384319551544915E-2</c:v>
                </c:pt>
                <c:pt idx="11">
                  <c:v>2.3590698558570503E-2</c:v>
                </c:pt>
                <c:pt idx="12">
                  <c:v>2.3443515406343554E-2</c:v>
                </c:pt>
                <c:pt idx="13">
                  <c:v>2.3251465895607493E-2</c:v>
                </c:pt>
                <c:pt idx="14">
                  <c:v>2.3297573275187406E-2</c:v>
                </c:pt>
                <c:pt idx="15">
                  <c:v>2.3368391175403666E-2</c:v>
                </c:pt>
                <c:pt idx="16">
                  <c:v>2.2459378282929054E-2</c:v>
                </c:pt>
                <c:pt idx="17">
                  <c:v>2.2618118403569903E-2</c:v>
                </c:pt>
                <c:pt idx="18">
                  <c:v>2.2665767857956935E-2</c:v>
                </c:pt>
                <c:pt idx="19">
                  <c:v>2.2417313809309797E-2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AA_S_phi_den!$A$24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AA_S_phi_den!$B$24:$U$24</c:f>
              <c:numCache>
                <c:formatCode>General</c:formatCode>
                <c:ptCount val="20"/>
                <c:pt idx="0">
                  <c:v>2.2516331100677453E-2</c:v>
                </c:pt>
                <c:pt idx="1">
                  <c:v>2.2787101723638785E-2</c:v>
                </c:pt>
                <c:pt idx="2">
                  <c:v>2.2325490737703506E-2</c:v>
                </c:pt>
                <c:pt idx="3">
                  <c:v>2.1779167041019037E-2</c:v>
                </c:pt>
                <c:pt idx="4">
                  <c:v>2.177197455032619E-2</c:v>
                </c:pt>
                <c:pt idx="5">
                  <c:v>2.1660560594254669E-2</c:v>
                </c:pt>
                <c:pt idx="6">
                  <c:v>2.171098872213573E-2</c:v>
                </c:pt>
                <c:pt idx="7">
                  <c:v>2.1745780785906974E-2</c:v>
                </c:pt>
                <c:pt idx="8">
                  <c:v>2.1971130613862324E-2</c:v>
                </c:pt>
                <c:pt idx="9">
                  <c:v>2.148200154590605E-2</c:v>
                </c:pt>
                <c:pt idx="10">
                  <c:v>2.3329196267927736E-2</c:v>
                </c:pt>
                <c:pt idx="11">
                  <c:v>2.3528745912851531E-2</c:v>
                </c:pt>
                <c:pt idx="12">
                  <c:v>2.3152703583316524E-2</c:v>
                </c:pt>
                <c:pt idx="13">
                  <c:v>2.293987021203283E-2</c:v>
                </c:pt>
                <c:pt idx="14">
                  <c:v>2.3170882204313945E-2</c:v>
                </c:pt>
                <c:pt idx="15">
                  <c:v>2.335653563738049E-2</c:v>
                </c:pt>
                <c:pt idx="16">
                  <c:v>2.2544955939909368E-2</c:v>
                </c:pt>
                <c:pt idx="17">
                  <c:v>2.285109338363121E-2</c:v>
                </c:pt>
                <c:pt idx="18">
                  <c:v>2.2578929361899584E-2</c:v>
                </c:pt>
                <c:pt idx="19">
                  <c:v>2.2406909462976538E-2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AA_S_phi_den!$A$25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AA_S_phi_den!$B$25:$U$25</c:f>
              <c:numCache>
                <c:formatCode>General</c:formatCode>
                <c:ptCount val="20"/>
                <c:pt idx="0">
                  <c:v>2.2667682233179751E-2</c:v>
                </c:pt>
                <c:pt idx="1">
                  <c:v>2.2967522607985392E-2</c:v>
                </c:pt>
                <c:pt idx="2">
                  <c:v>2.2459214637663739E-2</c:v>
                </c:pt>
                <c:pt idx="3">
                  <c:v>2.2017109423793198E-2</c:v>
                </c:pt>
                <c:pt idx="4">
                  <c:v>2.1871684920142024E-2</c:v>
                </c:pt>
                <c:pt idx="5">
                  <c:v>2.1862273940429167E-2</c:v>
                </c:pt>
                <c:pt idx="6">
                  <c:v>2.2076551281772158E-2</c:v>
                </c:pt>
                <c:pt idx="7">
                  <c:v>2.2170856530304515E-2</c:v>
                </c:pt>
                <c:pt idx="8">
                  <c:v>2.2365264145896215E-2</c:v>
                </c:pt>
                <c:pt idx="9">
                  <c:v>2.1864925799392226E-2</c:v>
                </c:pt>
                <c:pt idx="10">
                  <c:v>2.3520677977715902E-2</c:v>
                </c:pt>
                <c:pt idx="11">
                  <c:v>2.3501283550741506E-2</c:v>
                </c:pt>
                <c:pt idx="12">
                  <c:v>2.3215118770982836E-2</c:v>
                </c:pt>
                <c:pt idx="13">
                  <c:v>2.316654148004587E-2</c:v>
                </c:pt>
                <c:pt idx="14">
                  <c:v>2.3213287037667611E-2</c:v>
                </c:pt>
                <c:pt idx="15">
                  <c:v>2.3278755815769017E-2</c:v>
                </c:pt>
                <c:pt idx="16">
                  <c:v>2.2673153542849763E-2</c:v>
                </c:pt>
                <c:pt idx="17">
                  <c:v>2.2568781944276323E-2</c:v>
                </c:pt>
                <c:pt idx="18">
                  <c:v>2.2438460925941664E-2</c:v>
                </c:pt>
                <c:pt idx="19">
                  <c:v>2.2373008770109663E-2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AA_S_phi_den!$A$26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AA_S_phi_den!$B$26:$U$26</c:f>
              <c:numCache>
                <c:formatCode>General</c:formatCode>
                <c:ptCount val="20"/>
                <c:pt idx="0">
                  <c:v>2.298100518243465E-2</c:v>
                </c:pt>
                <c:pt idx="1">
                  <c:v>2.3523833916327716E-2</c:v>
                </c:pt>
                <c:pt idx="2">
                  <c:v>2.3173756825378984E-2</c:v>
                </c:pt>
                <c:pt idx="3">
                  <c:v>2.2965106624273479E-2</c:v>
                </c:pt>
                <c:pt idx="4">
                  <c:v>2.3077022798481409E-2</c:v>
                </c:pt>
                <c:pt idx="5">
                  <c:v>2.3178423275203211E-2</c:v>
                </c:pt>
                <c:pt idx="6">
                  <c:v>2.3462383202461263E-2</c:v>
                </c:pt>
                <c:pt idx="7">
                  <c:v>2.3457554166611116E-2</c:v>
                </c:pt>
                <c:pt idx="8">
                  <c:v>2.3841456094767021E-2</c:v>
                </c:pt>
                <c:pt idx="9">
                  <c:v>2.3378681419404017E-2</c:v>
                </c:pt>
                <c:pt idx="10">
                  <c:v>2.5251068735100902E-2</c:v>
                </c:pt>
                <c:pt idx="11">
                  <c:v>2.5414316177480203E-2</c:v>
                </c:pt>
                <c:pt idx="12">
                  <c:v>2.526712724381916E-2</c:v>
                </c:pt>
                <c:pt idx="13">
                  <c:v>2.5023695234620256E-2</c:v>
                </c:pt>
                <c:pt idx="14">
                  <c:v>2.5211773606557755E-2</c:v>
                </c:pt>
                <c:pt idx="15">
                  <c:v>2.5275446670952814E-2</c:v>
                </c:pt>
                <c:pt idx="16">
                  <c:v>2.4569310589199065E-2</c:v>
                </c:pt>
                <c:pt idx="17">
                  <c:v>2.4883286392785094E-2</c:v>
                </c:pt>
                <c:pt idx="18">
                  <c:v>2.4711884109478489E-2</c:v>
                </c:pt>
                <c:pt idx="19">
                  <c:v>2.4798613814667907E-2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AA_S_phi_den!$A$27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AA_S_phi_den!$B$27:$U$27</c:f>
              <c:numCache>
                <c:formatCode>General</c:formatCode>
                <c:ptCount val="20"/>
                <c:pt idx="0">
                  <c:v>2.2497446096128686E-2</c:v>
                </c:pt>
                <c:pt idx="1">
                  <c:v>2.2802549038356289E-2</c:v>
                </c:pt>
                <c:pt idx="2">
                  <c:v>2.2307858573266778E-2</c:v>
                </c:pt>
                <c:pt idx="3">
                  <c:v>2.1822031258783653E-2</c:v>
                </c:pt>
                <c:pt idx="4">
                  <c:v>2.1675258029646146E-2</c:v>
                </c:pt>
                <c:pt idx="5">
                  <c:v>2.1737311154356603E-2</c:v>
                </c:pt>
                <c:pt idx="6">
                  <c:v>2.1844124354029604E-2</c:v>
                </c:pt>
                <c:pt idx="7">
                  <c:v>2.1843238544579979E-2</c:v>
                </c:pt>
                <c:pt idx="8">
                  <c:v>2.2117574624300033E-2</c:v>
                </c:pt>
                <c:pt idx="9">
                  <c:v>2.1648114388392297E-2</c:v>
                </c:pt>
                <c:pt idx="10">
                  <c:v>2.3551921665121718E-2</c:v>
                </c:pt>
                <c:pt idx="11">
                  <c:v>2.3561169907523483E-2</c:v>
                </c:pt>
                <c:pt idx="12">
                  <c:v>2.3372675524264717E-2</c:v>
                </c:pt>
                <c:pt idx="13">
                  <c:v>2.2962221701745163E-2</c:v>
                </c:pt>
                <c:pt idx="14">
                  <c:v>2.3038260929680011E-2</c:v>
                </c:pt>
                <c:pt idx="15">
                  <c:v>2.3085297433683812E-2</c:v>
                </c:pt>
                <c:pt idx="16">
                  <c:v>2.2707149287379252E-2</c:v>
                </c:pt>
                <c:pt idx="17">
                  <c:v>2.2777595409212547E-2</c:v>
                </c:pt>
                <c:pt idx="18">
                  <c:v>2.2620495387659995E-2</c:v>
                </c:pt>
                <c:pt idx="19">
                  <c:v>2.2549575198171117E-2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AA_S_phi_den!$A$28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AA_S_phi_den!$B$28:$U$28</c:f>
              <c:numCache>
                <c:formatCode>General</c:formatCode>
                <c:ptCount val="20"/>
                <c:pt idx="0">
                  <c:v>2.2522876538440314E-2</c:v>
                </c:pt>
                <c:pt idx="1">
                  <c:v>2.2823488370147128E-2</c:v>
                </c:pt>
                <c:pt idx="2">
                  <c:v>2.2382019693064852E-2</c:v>
                </c:pt>
                <c:pt idx="3">
                  <c:v>2.1815046450418474E-2</c:v>
                </c:pt>
                <c:pt idx="4">
                  <c:v>2.1709341634928221E-2</c:v>
                </c:pt>
                <c:pt idx="5">
                  <c:v>2.1672585809170697E-2</c:v>
                </c:pt>
                <c:pt idx="6">
                  <c:v>2.1776148420931937E-2</c:v>
                </c:pt>
                <c:pt idx="7">
                  <c:v>2.1641663676307637E-2</c:v>
                </c:pt>
                <c:pt idx="8">
                  <c:v>2.2034909079085164E-2</c:v>
                </c:pt>
                <c:pt idx="9">
                  <c:v>2.1627280293460734E-2</c:v>
                </c:pt>
                <c:pt idx="10">
                  <c:v>2.3461170162173296E-2</c:v>
                </c:pt>
                <c:pt idx="11">
                  <c:v>2.3565069793918082E-2</c:v>
                </c:pt>
                <c:pt idx="12">
                  <c:v>2.3348546256272883E-2</c:v>
                </c:pt>
                <c:pt idx="13">
                  <c:v>2.314629463708269E-2</c:v>
                </c:pt>
                <c:pt idx="14">
                  <c:v>2.3232830675176924E-2</c:v>
                </c:pt>
                <c:pt idx="15">
                  <c:v>2.3288341612354269E-2</c:v>
                </c:pt>
                <c:pt idx="16">
                  <c:v>2.2707724863253776E-2</c:v>
                </c:pt>
                <c:pt idx="17">
                  <c:v>2.2776291242040246E-2</c:v>
                </c:pt>
                <c:pt idx="18">
                  <c:v>2.25278002593957E-2</c:v>
                </c:pt>
                <c:pt idx="19">
                  <c:v>2.2389921557558555E-2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AA_S_phi_den!$A$29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AA_S_phi_den!$B$29:$U$29</c:f>
              <c:numCache>
                <c:formatCode>General</c:formatCode>
                <c:ptCount val="20"/>
                <c:pt idx="0">
                  <c:v>2.22904779297377E-2</c:v>
                </c:pt>
                <c:pt idx="1">
                  <c:v>2.2480082477905387E-2</c:v>
                </c:pt>
                <c:pt idx="2">
                  <c:v>2.2042799332545607E-2</c:v>
                </c:pt>
                <c:pt idx="3">
                  <c:v>2.1472890237529831E-2</c:v>
                </c:pt>
                <c:pt idx="4">
                  <c:v>2.1246127260712486E-2</c:v>
                </c:pt>
                <c:pt idx="5">
                  <c:v>2.1047287997654224E-2</c:v>
                </c:pt>
                <c:pt idx="6">
                  <c:v>2.1113261060928704E-2</c:v>
                </c:pt>
                <c:pt idx="7">
                  <c:v>2.0835689930210025E-2</c:v>
                </c:pt>
                <c:pt idx="8">
                  <c:v>2.1122797444122553E-2</c:v>
                </c:pt>
                <c:pt idx="9">
                  <c:v>2.0653711665006451E-2</c:v>
                </c:pt>
                <c:pt idx="10">
                  <c:v>2.2311799373881773E-2</c:v>
                </c:pt>
                <c:pt idx="11">
                  <c:v>2.2609278654609575E-2</c:v>
                </c:pt>
                <c:pt idx="12">
                  <c:v>2.2431927304060285E-2</c:v>
                </c:pt>
                <c:pt idx="13">
                  <c:v>2.2138923163137866E-2</c:v>
                </c:pt>
                <c:pt idx="14">
                  <c:v>2.217218127894648E-2</c:v>
                </c:pt>
                <c:pt idx="15">
                  <c:v>2.2363872300753398E-2</c:v>
                </c:pt>
                <c:pt idx="16">
                  <c:v>2.1828857794585169E-2</c:v>
                </c:pt>
                <c:pt idx="17">
                  <c:v>2.1924203639461497E-2</c:v>
                </c:pt>
                <c:pt idx="18">
                  <c:v>2.2103090036527037E-2</c:v>
                </c:pt>
                <c:pt idx="19">
                  <c:v>2.2016822803360581E-2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AA_S_phi_den!$A$30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AA_S_phi_den!$B$30:$U$30</c:f>
              <c:numCache>
                <c:formatCode>General</c:formatCode>
                <c:ptCount val="20"/>
                <c:pt idx="0">
                  <c:v>2.5707353130909636E-2</c:v>
                </c:pt>
                <c:pt idx="1">
                  <c:v>2.6372706240528038E-2</c:v>
                </c:pt>
                <c:pt idx="2">
                  <c:v>2.6223409454054349E-2</c:v>
                </c:pt>
                <c:pt idx="3">
                  <c:v>2.6017870096800899E-2</c:v>
                </c:pt>
                <c:pt idx="4">
                  <c:v>2.6200167312087519E-2</c:v>
                </c:pt>
                <c:pt idx="5">
                  <c:v>2.6058057640180758E-2</c:v>
                </c:pt>
                <c:pt idx="6">
                  <c:v>2.6524052304810107E-2</c:v>
                </c:pt>
                <c:pt idx="7">
                  <c:v>2.7111262663011521E-2</c:v>
                </c:pt>
                <c:pt idx="8">
                  <c:v>2.7512675136388214E-2</c:v>
                </c:pt>
                <c:pt idx="9">
                  <c:v>2.7175336529989092E-2</c:v>
                </c:pt>
                <c:pt idx="10">
                  <c:v>2.9185098739676667E-2</c:v>
                </c:pt>
                <c:pt idx="11">
                  <c:v>2.9082139213735671E-2</c:v>
                </c:pt>
                <c:pt idx="12">
                  <c:v>2.9378342816414004E-2</c:v>
                </c:pt>
                <c:pt idx="13">
                  <c:v>2.9032360884852074E-2</c:v>
                </c:pt>
                <c:pt idx="14">
                  <c:v>2.8904076123866421E-2</c:v>
                </c:pt>
                <c:pt idx="15">
                  <c:v>2.9140153877059198E-2</c:v>
                </c:pt>
                <c:pt idx="16">
                  <c:v>2.8930002978437241E-2</c:v>
                </c:pt>
                <c:pt idx="17">
                  <c:v>2.9301146599496224E-2</c:v>
                </c:pt>
                <c:pt idx="18">
                  <c:v>2.9081231311391786E-2</c:v>
                </c:pt>
                <c:pt idx="19">
                  <c:v>2.9064894652181622E-2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AA_S_phi_den!$A$31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AA_S_phi_den!$B$31:$U$31</c:f>
              <c:numCache>
                <c:formatCode>General</c:formatCode>
                <c:ptCount val="20"/>
                <c:pt idx="0">
                  <c:v>2.5886730462600465E-2</c:v>
                </c:pt>
                <c:pt idx="1">
                  <c:v>2.6645182646299205E-2</c:v>
                </c:pt>
                <c:pt idx="2">
                  <c:v>2.6265910230482012E-2</c:v>
                </c:pt>
                <c:pt idx="3">
                  <c:v>2.5947297465908296E-2</c:v>
                </c:pt>
                <c:pt idx="4">
                  <c:v>2.5842851105976665E-2</c:v>
                </c:pt>
                <c:pt idx="5">
                  <c:v>2.5742444424207426E-2</c:v>
                </c:pt>
                <c:pt idx="6">
                  <c:v>2.614757863918532E-2</c:v>
                </c:pt>
                <c:pt idx="7">
                  <c:v>2.6560351898117066E-2</c:v>
                </c:pt>
                <c:pt idx="8">
                  <c:v>2.6673132544593765E-2</c:v>
                </c:pt>
                <c:pt idx="9">
                  <c:v>2.631350417298E-2</c:v>
                </c:pt>
                <c:pt idx="10">
                  <c:v>2.8475468258331263E-2</c:v>
                </c:pt>
                <c:pt idx="11">
                  <c:v>2.8536595418881868E-2</c:v>
                </c:pt>
                <c:pt idx="12">
                  <c:v>2.8530383168373769E-2</c:v>
                </c:pt>
                <c:pt idx="13">
                  <c:v>2.8338109228006884E-2</c:v>
                </c:pt>
                <c:pt idx="14">
                  <c:v>2.8468770165749207E-2</c:v>
                </c:pt>
                <c:pt idx="15">
                  <c:v>2.8647529245613777E-2</c:v>
                </c:pt>
                <c:pt idx="16">
                  <c:v>2.7993583873285037E-2</c:v>
                </c:pt>
                <c:pt idx="17">
                  <c:v>2.8195111823262117E-2</c:v>
                </c:pt>
                <c:pt idx="18">
                  <c:v>2.7871030998870294E-2</c:v>
                </c:pt>
                <c:pt idx="19">
                  <c:v>2.7846529555263257E-2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AA_S_phi_den!$A$32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AA_S_phi_den!$B$32:$U$32</c:f>
              <c:numCache>
                <c:formatCode>General</c:formatCode>
                <c:ptCount val="20"/>
                <c:pt idx="0">
                  <c:v>2.6353314282805223E-2</c:v>
                </c:pt>
                <c:pt idx="1">
                  <c:v>2.7367236293094958E-2</c:v>
                </c:pt>
                <c:pt idx="2">
                  <c:v>2.7405615965734823E-2</c:v>
                </c:pt>
                <c:pt idx="3">
                  <c:v>2.7757456032275713E-2</c:v>
                </c:pt>
                <c:pt idx="4">
                  <c:v>2.7960456994382377E-2</c:v>
                </c:pt>
                <c:pt idx="5">
                  <c:v>2.824847229246253E-2</c:v>
                </c:pt>
                <c:pt idx="6">
                  <c:v>2.8844073311878504E-2</c:v>
                </c:pt>
                <c:pt idx="7">
                  <c:v>2.9600464249453194E-2</c:v>
                </c:pt>
                <c:pt idx="8">
                  <c:v>3.0154303180376946E-2</c:v>
                </c:pt>
                <c:pt idx="9">
                  <c:v>2.997595190778226E-2</c:v>
                </c:pt>
                <c:pt idx="10">
                  <c:v>3.2458924820064947E-2</c:v>
                </c:pt>
                <c:pt idx="11">
                  <c:v>3.2485944873148931E-2</c:v>
                </c:pt>
                <c:pt idx="12">
                  <c:v>3.2586534076836364E-2</c:v>
                </c:pt>
                <c:pt idx="13">
                  <c:v>3.2135228082402607E-2</c:v>
                </c:pt>
                <c:pt idx="14">
                  <c:v>3.2189891623439153E-2</c:v>
                </c:pt>
                <c:pt idx="15">
                  <c:v>3.267173125216162E-2</c:v>
                </c:pt>
                <c:pt idx="16">
                  <c:v>3.2005594742652202E-2</c:v>
                </c:pt>
                <c:pt idx="17">
                  <c:v>3.2300600318893008E-2</c:v>
                </c:pt>
                <c:pt idx="18">
                  <c:v>3.2082979624885592E-2</c:v>
                </c:pt>
                <c:pt idx="19">
                  <c:v>3.1902220598823881E-2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AA_S_phi_den!$A$33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AA_S_phi_den!$B$33:$U$33</c:f>
              <c:numCache>
                <c:formatCode>General</c:formatCode>
                <c:ptCount val="20"/>
                <c:pt idx="0">
                  <c:v>2.6638968941037039E-2</c:v>
                </c:pt>
                <c:pt idx="1">
                  <c:v>2.7670060506560398E-2</c:v>
                </c:pt>
                <c:pt idx="2">
                  <c:v>2.7751318868426796E-2</c:v>
                </c:pt>
                <c:pt idx="3">
                  <c:v>2.7845962326589306E-2</c:v>
                </c:pt>
                <c:pt idx="4">
                  <c:v>2.8291453265236546E-2</c:v>
                </c:pt>
                <c:pt idx="5">
                  <c:v>2.8636767130236291E-2</c:v>
                </c:pt>
                <c:pt idx="6">
                  <c:v>2.9532864501555803E-2</c:v>
                </c:pt>
                <c:pt idx="7">
                  <c:v>3.0073710346077386E-2</c:v>
                </c:pt>
                <c:pt idx="8">
                  <c:v>3.0765476573535115E-2</c:v>
                </c:pt>
                <c:pt idx="9">
                  <c:v>3.0322634208322499E-2</c:v>
                </c:pt>
                <c:pt idx="10">
                  <c:v>3.2823274333593375E-2</c:v>
                </c:pt>
                <c:pt idx="11">
                  <c:v>3.2717261343168366E-2</c:v>
                </c:pt>
                <c:pt idx="12">
                  <c:v>3.3133247431413375E-2</c:v>
                </c:pt>
                <c:pt idx="13">
                  <c:v>3.2955613133237187E-2</c:v>
                </c:pt>
                <c:pt idx="14">
                  <c:v>3.3126713811936298E-2</c:v>
                </c:pt>
                <c:pt idx="15">
                  <c:v>3.3509745524835488E-2</c:v>
                </c:pt>
                <c:pt idx="16">
                  <c:v>3.2727727106550773E-2</c:v>
                </c:pt>
                <c:pt idx="17">
                  <c:v>3.3259146123953691E-2</c:v>
                </c:pt>
                <c:pt idx="18">
                  <c:v>3.2899714210877708E-2</c:v>
                </c:pt>
                <c:pt idx="19">
                  <c:v>3.2840441271730011E-2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AA_S_phi_den!$A$34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AA_S_phi_den!$B$34:$U$34</c:f>
              <c:numCache>
                <c:formatCode>General</c:formatCode>
                <c:ptCount val="20"/>
                <c:pt idx="0">
                  <c:v>2.6585333524979285E-2</c:v>
                </c:pt>
                <c:pt idx="1">
                  <c:v>2.7615157369053955E-2</c:v>
                </c:pt>
                <c:pt idx="2">
                  <c:v>2.7583402860132542E-2</c:v>
                </c:pt>
                <c:pt idx="3">
                  <c:v>2.7786307130759143E-2</c:v>
                </c:pt>
                <c:pt idx="4">
                  <c:v>2.8115838723930264E-2</c:v>
                </c:pt>
                <c:pt idx="5">
                  <c:v>2.8525632178922504E-2</c:v>
                </c:pt>
                <c:pt idx="6">
                  <c:v>2.9453762865243007E-2</c:v>
                </c:pt>
                <c:pt idx="7">
                  <c:v>3.0455717246160859E-2</c:v>
                </c:pt>
                <c:pt idx="8">
                  <c:v>3.102641051815579E-2</c:v>
                </c:pt>
                <c:pt idx="9">
                  <c:v>3.0559304054163499E-2</c:v>
                </c:pt>
                <c:pt idx="10">
                  <c:v>3.2838086729460467E-2</c:v>
                </c:pt>
                <c:pt idx="11">
                  <c:v>3.276211660062877E-2</c:v>
                </c:pt>
                <c:pt idx="12">
                  <c:v>3.2976799173011828E-2</c:v>
                </c:pt>
                <c:pt idx="13">
                  <c:v>3.2831272748522392E-2</c:v>
                </c:pt>
                <c:pt idx="14">
                  <c:v>3.2851932110541583E-2</c:v>
                </c:pt>
                <c:pt idx="15">
                  <c:v>3.3416552606841135E-2</c:v>
                </c:pt>
                <c:pt idx="16">
                  <c:v>3.275318624732948E-2</c:v>
                </c:pt>
                <c:pt idx="17">
                  <c:v>3.3208015030155795E-2</c:v>
                </c:pt>
                <c:pt idx="18">
                  <c:v>3.3262535680286254E-2</c:v>
                </c:pt>
                <c:pt idx="19">
                  <c:v>3.3139104179025006E-2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AA_S_phi_den!$A$35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AA_S_phi_den!$B$35:$U$35</c:f>
              <c:numCache>
                <c:formatCode>General</c:formatCode>
                <c:ptCount val="20"/>
                <c:pt idx="0">
                  <c:v>1.9394322787169949E-2</c:v>
                </c:pt>
                <c:pt idx="1">
                  <c:v>1.997471197845908E-2</c:v>
                </c:pt>
                <c:pt idx="2">
                  <c:v>1.9790374617770123E-2</c:v>
                </c:pt>
                <c:pt idx="3">
                  <c:v>1.942239300396632E-2</c:v>
                </c:pt>
                <c:pt idx="4">
                  <c:v>1.9507795897585424E-2</c:v>
                </c:pt>
                <c:pt idx="5">
                  <c:v>1.9402332735143957E-2</c:v>
                </c:pt>
                <c:pt idx="6">
                  <c:v>1.9769896245356411E-2</c:v>
                </c:pt>
                <c:pt idx="7">
                  <c:v>1.9715301880502772E-2</c:v>
                </c:pt>
                <c:pt idx="8">
                  <c:v>1.9827569829543236E-2</c:v>
                </c:pt>
                <c:pt idx="9">
                  <c:v>1.9495283367955817E-2</c:v>
                </c:pt>
                <c:pt idx="10">
                  <c:v>2.1212662817255024E-2</c:v>
                </c:pt>
                <c:pt idx="11">
                  <c:v>2.1430308868260771E-2</c:v>
                </c:pt>
                <c:pt idx="12">
                  <c:v>2.1433893071839672E-2</c:v>
                </c:pt>
                <c:pt idx="13">
                  <c:v>2.1211324156660324E-2</c:v>
                </c:pt>
                <c:pt idx="14">
                  <c:v>2.1056444554681881E-2</c:v>
                </c:pt>
                <c:pt idx="15">
                  <c:v>2.1062336946675277E-2</c:v>
                </c:pt>
                <c:pt idx="16">
                  <c:v>2.0842292457584653E-2</c:v>
                </c:pt>
                <c:pt idx="17">
                  <c:v>2.1151552720884748E-2</c:v>
                </c:pt>
                <c:pt idx="18">
                  <c:v>2.0982035089954471E-2</c:v>
                </c:pt>
                <c:pt idx="19">
                  <c:v>2.0736738218495733E-2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AA_S_phi_den!$A$36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AA_S_phi_den!$B$36:$U$36</c:f>
              <c:numCache>
                <c:formatCode>General</c:formatCode>
                <c:ptCount val="20"/>
                <c:pt idx="0">
                  <c:v>1.9492058308683651E-2</c:v>
                </c:pt>
                <c:pt idx="1">
                  <c:v>2.0082130314189157E-2</c:v>
                </c:pt>
                <c:pt idx="2">
                  <c:v>1.9855058624943592E-2</c:v>
                </c:pt>
                <c:pt idx="3">
                  <c:v>1.9586000974146998E-2</c:v>
                </c:pt>
                <c:pt idx="4">
                  <c:v>1.9606417904881521E-2</c:v>
                </c:pt>
                <c:pt idx="5">
                  <c:v>1.9603658088647519E-2</c:v>
                </c:pt>
                <c:pt idx="6">
                  <c:v>1.9883921718648695E-2</c:v>
                </c:pt>
                <c:pt idx="7">
                  <c:v>2.003016397183997E-2</c:v>
                </c:pt>
                <c:pt idx="8">
                  <c:v>2.0438924752909385E-2</c:v>
                </c:pt>
                <c:pt idx="9">
                  <c:v>2.0131832032334901E-2</c:v>
                </c:pt>
                <c:pt idx="10">
                  <c:v>2.1846179821033086E-2</c:v>
                </c:pt>
                <c:pt idx="11">
                  <c:v>2.223176819728288E-2</c:v>
                </c:pt>
                <c:pt idx="12">
                  <c:v>2.2219453102183012E-2</c:v>
                </c:pt>
                <c:pt idx="13">
                  <c:v>2.1914333352584563E-2</c:v>
                </c:pt>
                <c:pt idx="14">
                  <c:v>2.2167802595383986E-2</c:v>
                </c:pt>
                <c:pt idx="15">
                  <c:v>2.2336030152097015E-2</c:v>
                </c:pt>
                <c:pt idx="16">
                  <c:v>2.2111074399001111E-2</c:v>
                </c:pt>
                <c:pt idx="17">
                  <c:v>2.2451272567994469E-2</c:v>
                </c:pt>
                <c:pt idx="18">
                  <c:v>2.2126458373147757E-2</c:v>
                </c:pt>
                <c:pt idx="19">
                  <c:v>2.2059647848524766E-2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AA_S_phi_den!$A$37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AA_S_phi_den!$B$2:$U$2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AA_S_phi_den!$B$37:$U$37</c:f>
              <c:numCache>
                <c:formatCode>General</c:formatCode>
                <c:ptCount val="20"/>
                <c:pt idx="0">
                  <c:v>1.9054398801704717E-2</c:v>
                </c:pt>
                <c:pt idx="1">
                  <c:v>1.9368019246583306E-2</c:v>
                </c:pt>
                <c:pt idx="2">
                  <c:v>1.9018060980138196E-2</c:v>
                </c:pt>
                <c:pt idx="3">
                  <c:v>1.8654241811323757E-2</c:v>
                </c:pt>
                <c:pt idx="4">
                  <c:v>1.8707315547598E-2</c:v>
                </c:pt>
                <c:pt idx="5">
                  <c:v>1.8642619649453684E-2</c:v>
                </c:pt>
                <c:pt idx="6">
                  <c:v>1.8737678573969466E-2</c:v>
                </c:pt>
                <c:pt idx="7">
                  <c:v>1.8646418418693543E-2</c:v>
                </c:pt>
                <c:pt idx="8">
                  <c:v>1.8795221988588177E-2</c:v>
                </c:pt>
                <c:pt idx="9">
                  <c:v>1.846535826985992E-2</c:v>
                </c:pt>
                <c:pt idx="10">
                  <c:v>2.0019887370535186E-2</c:v>
                </c:pt>
                <c:pt idx="11">
                  <c:v>2.0064513204670779E-2</c:v>
                </c:pt>
                <c:pt idx="12">
                  <c:v>2.0074140996051277E-2</c:v>
                </c:pt>
                <c:pt idx="13">
                  <c:v>1.9779156228957848E-2</c:v>
                </c:pt>
                <c:pt idx="14">
                  <c:v>1.9631317679838119E-2</c:v>
                </c:pt>
                <c:pt idx="15">
                  <c:v>1.9485699579167553E-2</c:v>
                </c:pt>
                <c:pt idx="16">
                  <c:v>1.919964784350868E-2</c:v>
                </c:pt>
                <c:pt idx="17">
                  <c:v>1.954962087526102E-2</c:v>
                </c:pt>
                <c:pt idx="18">
                  <c:v>1.9395402781078781E-2</c:v>
                </c:pt>
                <c:pt idx="19">
                  <c:v>1.9362230982295277E-2</c:v>
                </c:pt>
              </c:numCache>
            </c:numRef>
          </c:yVal>
          <c:smooth val="1"/>
        </c:ser>
        <c:axId val="80832000"/>
        <c:axId val="80833536"/>
      </c:scatterChart>
      <c:valAx>
        <c:axId val="8083200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833536"/>
        <c:crosses val="autoZero"/>
        <c:crossBetween val="midCat"/>
      </c:valAx>
      <c:valAx>
        <c:axId val="80833536"/>
        <c:scaling>
          <c:orientation val="minMax"/>
        </c:scaling>
        <c:axPos val="l"/>
        <c:numFmt formatCode="General" sourceLinked="1"/>
        <c:tickLblPos val="nextTo"/>
        <c:crossAx val="80832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3045935221158"/>
          <c:y val="7.3517206066926008E-2"/>
          <c:w val="0.26779947229551448"/>
          <c:h val="0.86040824992038567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AA_T_amphi_ty!$B$3:$U$3</c:f>
              <c:numCache>
                <c:formatCode>General</c:formatCode>
                <c:ptCount val="20"/>
                <c:pt idx="0">
                  <c:v>33.485296000000005</c:v>
                </c:pt>
                <c:pt idx="1">
                  <c:v>24.054307000000001</c:v>
                </c:pt>
                <c:pt idx="2">
                  <c:v>15.722829000000001</c:v>
                </c:pt>
                <c:pt idx="3">
                  <c:v>11.223348</c:v>
                </c:pt>
                <c:pt idx="4">
                  <c:v>8.6313089999999999</c:v>
                </c:pt>
                <c:pt idx="5">
                  <c:v>7.147424</c:v>
                </c:pt>
                <c:pt idx="6">
                  <c:v>6.1078833000000001</c:v>
                </c:pt>
                <c:pt idx="7">
                  <c:v>5.4688141000000003</c:v>
                </c:pt>
                <c:pt idx="8">
                  <c:v>4.8689264000000003</c:v>
                </c:pt>
                <c:pt idx="9">
                  <c:v>4.2539074000000001</c:v>
                </c:pt>
                <c:pt idx="10">
                  <c:v>4.1745152000000001</c:v>
                </c:pt>
                <c:pt idx="11">
                  <c:v>3.8591782000000001</c:v>
                </c:pt>
                <c:pt idx="12">
                  <c:v>3.5908048000000004</c:v>
                </c:pt>
                <c:pt idx="13">
                  <c:v>3.3015141999999997</c:v>
                </c:pt>
                <c:pt idx="14">
                  <c:v>3.0653478000000001</c:v>
                </c:pt>
                <c:pt idx="15">
                  <c:v>2.9132492999999999</c:v>
                </c:pt>
                <c:pt idx="16">
                  <c:v>2.6667632999999999</c:v>
                </c:pt>
                <c:pt idx="17">
                  <c:v>2.6522245</c:v>
                </c:pt>
                <c:pt idx="18">
                  <c:v>2.5378476000000001</c:v>
                </c:pt>
                <c:pt idx="19">
                  <c:v>2.5010785000000002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AA_T_amphi_ty!$B$21:$U$21</c:f>
              <c:numCache>
                <c:formatCode>General</c:formatCode>
                <c:ptCount val="20"/>
                <c:pt idx="0">
                  <c:v>136.04555999999999</c:v>
                </c:pt>
                <c:pt idx="1">
                  <c:v>98.051179999999988</c:v>
                </c:pt>
                <c:pt idx="2">
                  <c:v>62.232809000000003</c:v>
                </c:pt>
                <c:pt idx="3">
                  <c:v>41.776618999999997</c:v>
                </c:pt>
                <c:pt idx="4">
                  <c:v>31.362416999999997</c:v>
                </c:pt>
                <c:pt idx="5">
                  <c:v>24.710159600000001</c:v>
                </c:pt>
                <c:pt idx="6">
                  <c:v>20.434371199999998</c:v>
                </c:pt>
                <c:pt idx="7">
                  <c:v>17.2729933</c:v>
                </c:pt>
                <c:pt idx="8">
                  <c:v>15.252924199999999</c:v>
                </c:pt>
                <c:pt idx="9">
                  <c:v>13.1475419</c:v>
                </c:pt>
                <c:pt idx="10">
                  <c:v>12.6124896</c:v>
                </c:pt>
                <c:pt idx="11">
                  <c:v>11.4963578</c:v>
                </c:pt>
                <c:pt idx="12">
                  <c:v>10.4396837</c:v>
                </c:pt>
                <c:pt idx="13">
                  <c:v>9.6171793000000001</c:v>
                </c:pt>
                <c:pt idx="14">
                  <c:v>9.0250634999999999</c:v>
                </c:pt>
                <c:pt idx="15">
                  <c:v>8.4188686999999991</c:v>
                </c:pt>
                <c:pt idx="16">
                  <c:v>7.6970334000000005</c:v>
                </c:pt>
                <c:pt idx="17">
                  <c:v>7.3835027999999996</c:v>
                </c:pt>
                <c:pt idx="18">
                  <c:v>6.8288641000000005</c:v>
                </c:pt>
                <c:pt idx="19">
                  <c:v>6.4031032000000003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AA_T_amphi_ty!$B$37:$U$37</c:f>
              <c:numCache>
                <c:formatCode>General</c:formatCode>
                <c:ptCount val="20"/>
                <c:pt idx="0">
                  <c:v>274.42268999999999</c:v>
                </c:pt>
                <c:pt idx="1">
                  <c:v>192.25407000000001</c:v>
                </c:pt>
                <c:pt idx="2">
                  <c:v>117.99450000000002</c:v>
                </c:pt>
                <c:pt idx="3">
                  <c:v>79.107470000000006</c:v>
                </c:pt>
                <c:pt idx="4">
                  <c:v>58.797782000000005</c:v>
                </c:pt>
                <c:pt idx="5">
                  <c:v>45.682140000000004</c:v>
                </c:pt>
                <c:pt idx="6">
                  <c:v>36.938813000000003</c:v>
                </c:pt>
                <c:pt idx="7">
                  <c:v>30.593988999999997</c:v>
                </c:pt>
                <c:pt idx="8">
                  <c:v>26.175041</c:v>
                </c:pt>
                <c:pt idx="9">
                  <c:v>22.226481</c:v>
                </c:pt>
                <c:pt idx="10">
                  <c:v>21.523387</c:v>
                </c:pt>
                <c:pt idx="11">
                  <c:v>19.126042000000002</c:v>
                </c:pt>
                <c:pt idx="12">
                  <c:v>16.966006</c:v>
                </c:pt>
                <c:pt idx="13">
                  <c:v>15.138380000000002</c:v>
                </c:pt>
                <c:pt idx="14">
                  <c:v>13.815569</c:v>
                </c:pt>
                <c:pt idx="15">
                  <c:v>12.604089</c:v>
                </c:pt>
                <c:pt idx="16">
                  <c:v>11.317273</c:v>
                </c:pt>
                <c:pt idx="17">
                  <c:v>10.587076999999999</c:v>
                </c:pt>
                <c:pt idx="18">
                  <c:v>10.231777000000001</c:v>
                </c:pt>
                <c:pt idx="19">
                  <c:v>9.6013920000000006</c:v>
                </c:pt>
              </c:numCache>
            </c:numRef>
          </c:yVal>
          <c:smooth val="1"/>
        </c:ser>
        <c:axId val="96810880"/>
        <c:axId val="96821248"/>
      </c:scatterChart>
      <c:valAx>
        <c:axId val="9681088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821248"/>
        <c:crosses val="autoZero"/>
        <c:crossBetween val="midCat"/>
      </c:valAx>
      <c:valAx>
        <c:axId val="96821248"/>
        <c:scaling>
          <c:orientation val="minMax"/>
        </c:scaling>
        <c:axPos val="l"/>
        <c:numFmt formatCode="General" sourceLinked="1"/>
        <c:tickLblPos val="nextTo"/>
        <c:crossAx val="968108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AA_T_amphi_ty!$A$3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AA_T_amphi_ty!$B$3:$U$3</c:f>
              <c:numCache>
                <c:formatCode>General</c:formatCode>
                <c:ptCount val="20"/>
                <c:pt idx="0">
                  <c:v>33.485296000000005</c:v>
                </c:pt>
                <c:pt idx="1">
                  <c:v>24.054307000000001</c:v>
                </c:pt>
                <c:pt idx="2">
                  <c:v>15.722829000000001</c:v>
                </c:pt>
                <c:pt idx="3">
                  <c:v>11.223348</c:v>
                </c:pt>
                <c:pt idx="4">
                  <c:v>8.6313089999999999</c:v>
                </c:pt>
                <c:pt idx="5">
                  <c:v>7.147424</c:v>
                </c:pt>
                <c:pt idx="6">
                  <c:v>6.1078833000000001</c:v>
                </c:pt>
                <c:pt idx="7">
                  <c:v>5.4688141000000003</c:v>
                </c:pt>
                <c:pt idx="8">
                  <c:v>4.8689264000000003</c:v>
                </c:pt>
                <c:pt idx="9">
                  <c:v>4.2539074000000001</c:v>
                </c:pt>
                <c:pt idx="10">
                  <c:v>4.1745152000000001</c:v>
                </c:pt>
                <c:pt idx="11">
                  <c:v>3.8591782000000001</c:v>
                </c:pt>
                <c:pt idx="12">
                  <c:v>3.5908048000000004</c:v>
                </c:pt>
                <c:pt idx="13">
                  <c:v>3.3015141999999997</c:v>
                </c:pt>
                <c:pt idx="14">
                  <c:v>3.0653478000000001</c:v>
                </c:pt>
                <c:pt idx="15">
                  <c:v>2.9132492999999999</c:v>
                </c:pt>
                <c:pt idx="16">
                  <c:v>2.6667632999999999</c:v>
                </c:pt>
                <c:pt idx="17">
                  <c:v>2.6522245</c:v>
                </c:pt>
                <c:pt idx="18">
                  <c:v>2.5378476000000001</c:v>
                </c:pt>
                <c:pt idx="19">
                  <c:v>2.5010785000000002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AA_T_amphi_ty!$A$4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AA_T_amphi_ty!$B$4:$U$4</c:f>
              <c:numCache>
                <c:formatCode>General</c:formatCode>
                <c:ptCount val="20"/>
                <c:pt idx="0">
                  <c:v>40.095349000000006</c:v>
                </c:pt>
                <c:pt idx="1">
                  <c:v>28.790615999999996</c:v>
                </c:pt>
                <c:pt idx="2">
                  <c:v>18.206122000000001</c:v>
                </c:pt>
                <c:pt idx="3">
                  <c:v>12.65596</c:v>
                </c:pt>
                <c:pt idx="4">
                  <c:v>9.4058890000000002</c:v>
                </c:pt>
                <c:pt idx="5">
                  <c:v>7.4555829999999998</c:v>
                </c:pt>
                <c:pt idx="6">
                  <c:v>6.3927896999999998</c:v>
                </c:pt>
                <c:pt idx="7">
                  <c:v>5.4890765999999998</c:v>
                </c:pt>
                <c:pt idx="8">
                  <c:v>4.8447572000000001</c:v>
                </c:pt>
                <c:pt idx="9">
                  <c:v>4.2091246999999994</c:v>
                </c:pt>
                <c:pt idx="10">
                  <c:v>4.0458998000000008</c:v>
                </c:pt>
                <c:pt idx="11">
                  <c:v>3.5898453000000003</c:v>
                </c:pt>
                <c:pt idx="12">
                  <c:v>3.2957828</c:v>
                </c:pt>
                <c:pt idx="13">
                  <c:v>3.0335130000000001</c:v>
                </c:pt>
                <c:pt idx="14">
                  <c:v>2.8259449999999999</c:v>
                </c:pt>
                <c:pt idx="15">
                  <c:v>2.6983740000000003</c:v>
                </c:pt>
                <c:pt idx="16">
                  <c:v>2.4884089</c:v>
                </c:pt>
                <c:pt idx="17">
                  <c:v>2.3450042999999998</c:v>
                </c:pt>
                <c:pt idx="18">
                  <c:v>2.2421116000000003</c:v>
                </c:pt>
                <c:pt idx="19">
                  <c:v>2.1615326000000001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AA_T_amphi_ty!$A$5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AA_T_amphi_ty!$B$5:$U$5</c:f>
              <c:numCache>
                <c:formatCode>General</c:formatCode>
                <c:ptCount val="20"/>
                <c:pt idx="0">
                  <c:v>84.692390000000003</c:v>
                </c:pt>
                <c:pt idx="1">
                  <c:v>62.964725999999999</c:v>
                </c:pt>
                <c:pt idx="2">
                  <c:v>41.346603999999999</c:v>
                </c:pt>
                <c:pt idx="3">
                  <c:v>29.589706</c:v>
                </c:pt>
                <c:pt idx="4">
                  <c:v>22.93816</c:v>
                </c:pt>
                <c:pt idx="5">
                  <c:v>18.471442</c:v>
                </c:pt>
                <c:pt idx="6">
                  <c:v>15.449954399999999</c:v>
                </c:pt>
                <c:pt idx="7">
                  <c:v>13.469081699999998</c:v>
                </c:pt>
                <c:pt idx="8">
                  <c:v>12.0988667</c:v>
                </c:pt>
                <c:pt idx="9">
                  <c:v>10.4706318</c:v>
                </c:pt>
                <c:pt idx="10">
                  <c:v>10.3175609</c:v>
                </c:pt>
                <c:pt idx="11">
                  <c:v>9.4148031000000003</c:v>
                </c:pt>
                <c:pt idx="12">
                  <c:v>8.6786530000000006</c:v>
                </c:pt>
                <c:pt idx="13">
                  <c:v>8.1084707999999992</c:v>
                </c:pt>
                <c:pt idx="14">
                  <c:v>7.6607135999999993</c:v>
                </c:pt>
                <c:pt idx="15">
                  <c:v>7.1921743000000005</c:v>
                </c:pt>
                <c:pt idx="16">
                  <c:v>6.5285500000000001</c:v>
                </c:pt>
                <c:pt idx="17">
                  <c:v>6.2442555999999998</c:v>
                </c:pt>
                <c:pt idx="18">
                  <c:v>5.9817752999999998</c:v>
                </c:pt>
                <c:pt idx="19">
                  <c:v>5.7609781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AA_T_amphi_ty!$A$6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AA_T_amphi_ty!$B$6:$U$6</c:f>
              <c:numCache>
                <c:formatCode>General</c:formatCode>
                <c:ptCount val="20"/>
                <c:pt idx="0">
                  <c:v>18.913623999999999</c:v>
                </c:pt>
                <c:pt idx="1">
                  <c:v>13.255560000000001</c:v>
                </c:pt>
                <c:pt idx="2">
                  <c:v>7.6455410999999991</c:v>
                </c:pt>
                <c:pt idx="3">
                  <c:v>5.4396108999999999</c:v>
                </c:pt>
                <c:pt idx="4">
                  <c:v>4.0816493000000005</c:v>
                </c:pt>
                <c:pt idx="5">
                  <c:v>3.2776879000000001</c:v>
                </c:pt>
                <c:pt idx="6">
                  <c:v>2.7007767</c:v>
                </c:pt>
                <c:pt idx="7">
                  <c:v>2.2579572999999997</c:v>
                </c:pt>
                <c:pt idx="8">
                  <c:v>2.0538528999999999</c:v>
                </c:pt>
                <c:pt idx="9">
                  <c:v>1.812894</c:v>
                </c:pt>
                <c:pt idx="10">
                  <c:v>1.773388848</c:v>
                </c:pt>
                <c:pt idx="11">
                  <c:v>1.631627766</c:v>
                </c:pt>
                <c:pt idx="12">
                  <c:v>1.5062553240000001</c:v>
                </c:pt>
                <c:pt idx="13">
                  <c:v>1.366834442</c:v>
                </c:pt>
                <c:pt idx="14">
                  <c:v>1.2788040970000001</c:v>
                </c:pt>
                <c:pt idx="15">
                  <c:v>1.1658050360000001</c:v>
                </c:pt>
                <c:pt idx="16">
                  <c:v>1.12094882</c:v>
                </c:pt>
                <c:pt idx="17">
                  <c:v>1.0697826300000002</c:v>
                </c:pt>
                <c:pt idx="18">
                  <c:v>1.0184611220000002</c:v>
                </c:pt>
                <c:pt idx="19">
                  <c:v>0.98192308099999992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AA_T_amphi_ty!$A$7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AA_T_amphi_ty!$B$7:$U$7</c:f>
              <c:numCache>
                <c:formatCode>General</c:formatCode>
                <c:ptCount val="20"/>
                <c:pt idx="0">
                  <c:v>19.988962000000001</c:v>
                </c:pt>
                <c:pt idx="1">
                  <c:v>13.601585</c:v>
                </c:pt>
                <c:pt idx="2">
                  <c:v>8.0704841999999992</c:v>
                </c:pt>
                <c:pt idx="3">
                  <c:v>5.6797028000000003</c:v>
                </c:pt>
                <c:pt idx="4">
                  <c:v>4.4380161999999999</c:v>
                </c:pt>
                <c:pt idx="5">
                  <c:v>3.5294564999999998</c:v>
                </c:pt>
                <c:pt idx="6">
                  <c:v>2.9183814999999997</c:v>
                </c:pt>
                <c:pt idx="7">
                  <c:v>2.5264745</c:v>
                </c:pt>
                <c:pt idx="8">
                  <c:v>2.3258693840000002</c:v>
                </c:pt>
                <c:pt idx="9">
                  <c:v>2.057001096</c:v>
                </c:pt>
                <c:pt idx="10">
                  <c:v>2.0175698520000003</c:v>
                </c:pt>
                <c:pt idx="11">
                  <c:v>1.851299824</c:v>
                </c:pt>
                <c:pt idx="12">
                  <c:v>1.6648220119999999</c:v>
                </c:pt>
                <c:pt idx="13">
                  <c:v>1.495675079</c:v>
                </c:pt>
                <c:pt idx="14">
                  <c:v>1.3553160390000001</c:v>
                </c:pt>
                <c:pt idx="15">
                  <c:v>1.2765804219999999</c:v>
                </c:pt>
                <c:pt idx="16">
                  <c:v>1.202249581</c:v>
                </c:pt>
                <c:pt idx="17">
                  <c:v>1.1268006480000001</c:v>
                </c:pt>
                <c:pt idx="18">
                  <c:v>1.0829494639999999</c:v>
                </c:pt>
                <c:pt idx="19">
                  <c:v>1.050609516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AA_T_amphi_ty!$A$8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AA_T_amphi_ty!$B$8:$U$8</c:f>
              <c:numCache>
                <c:formatCode>General</c:formatCode>
                <c:ptCount val="20"/>
                <c:pt idx="0">
                  <c:v>20.202342000000002</c:v>
                </c:pt>
                <c:pt idx="1">
                  <c:v>14.120936</c:v>
                </c:pt>
                <c:pt idx="2">
                  <c:v>8.2137025000000001</c:v>
                </c:pt>
                <c:pt idx="3">
                  <c:v>5.8148816999999999</c:v>
                </c:pt>
                <c:pt idx="4">
                  <c:v>4.4395816000000003</c:v>
                </c:pt>
                <c:pt idx="5">
                  <c:v>3.5155997000000001</c:v>
                </c:pt>
                <c:pt idx="6">
                  <c:v>2.8828746999999999</c:v>
                </c:pt>
                <c:pt idx="7">
                  <c:v>2.3897352999999999</c:v>
                </c:pt>
                <c:pt idx="8">
                  <c:v>2.192730735</c:v>
                </c:pt>
                <c:pt idx="9">
                  <c:v>1.91883469</c:v>
                </c:pt>
                <c:pt idx="10">
                  <c:v>1.924203224</c:v>
                </c:pt>
                <c:pt idx="11">
                  <c:v>1.7908989689999999</c:v>
                </c:pt>
                <c:pt idx="12">
                  <c:v>1.622474161</c:v>
                </c:pt>
                <c:pt idx="13">
                  <c:v>1.4718909660000001</c:v>
                </c:pt>
                <c:pt idx="14">
                  <c:v>1.3335541930000001</c:v>
                </c:pt>
                <c:pt idx="15">
                  <c:v>1.2626589240000001</c:v>
                </c:pt>
                <c:pt idx="16">
                  <c:v>1.197990079</c:v>
                </c:pt>
                <c:pt idx="17">
                  <c:v>1.1100841699999999</c:v>
                </c:pt>
                <c:pt idx="18">
                  <c:v>1.064052327</c:v>
                </c:pt>
                <c:pt idx="19">
                  <c:v>1.0210917750000001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AA_T_amphi_ty!$A$9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AA_T_amphi_ty!$B$9:$U$9</c:f>
              <c:numCache>
                <c:formatCode>General</c:formatCode>
                <c:ptCount val="20"/>
                <c:pt idx="0">
                  <c:v>19.944109999999998</c:v>
                </c:pt>
                <c:pt idx="1">
                  <c:v>13.773973</c:v>
                </c:pt>
                <c:pt idx="2">
                  <c:v>8.1411056999999989</c:v>
                </c:pt>
                <c:pt idx="3">
                  <c:v>5.7807687999999997</c:v>
                </c:pt>
                <c:pt idx="4">
                  <c:v>4.3676249</c:v>
                </c:pt>
                <c:pt idx="5">
                  <c:v>3.3764325999999998</c:v>
                </c:pt>
                <c:pt idx="6">
                  <c:v>2.8524160000000003</c:v>
                </c:pt>
                <c:pt idx="7">
                  <c:v>2.4463849</c:v>
                </c:pt>
                <c:pt idx="8">
                  <c:v>2.1992479</c:v>
                </c:pt>
                <c:pt idx="9">
                  <c:v>1.9011464869999999</c:v>
                </c:pt>
                <c:pt idx="10">
                  <c:v>1.871751712</c:v>
                </c:pt>
                <c:pt idx="11">
                  <c:v>1.737027265</c:v>
                </c:pt>
                <c:pt idx="12">
                  <c:v>1.5888382939999999</c:v>
                </c:pt>
                <c:pt idx="13">
                  <c:v>1.438241528</c:v>
                </c:pt>
                <c:pt idx="14">
                  <c:v>1.3475913390000001</c:v>
                </c:pt>
                <c:pt idx="15">
                  <c:v>1.2385181780000001</c:v>
                </c:pt>
                <c:pt idx="16">
                  <c:v>1.149745939</c:v>
                </c:pt>
                <c:pt idx="17">
                  <c:v>1.089650121</c:v>
                </c:pt>
                <c:pt idx="18">
                  <c:v>1.023069606</c:v>
                </c:pt>
                <c:pt idx="19">
                  <c:v>0.98360510899999998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AA_T_amphi_ty!$A$10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AA_T_amphi_ty!$B$10:$U$10</c:f>
              <c:numCache>
                <c:formatCode>General</c:formatCode>
                <c:ptCount val="20"/>
                <c:pt idx="0">
                  <c:v>29.266738000000004</c:v>
                </c:pt>
                <c:pt idx="1">
                  <c:v>19.473271</c:v>
                </c:pt>
                <c:pt idx="2">
                  <c:v>11.209365</c:v>
                </c:pt>
                <c:pt idx="3">
                  <c:v>7.8699916999999999</c:v>
                </c:pt>
                <c:pt idx="4">
                  <c:v>5.9242791000000006</c:v>
                </c:pt>
                <c:pt idx="5">
                  <c:v>4.7287334999999997</c:v>
                </c:pt>
                <c:pt idx="6">
                  <c:v>3.9210320999999997</c:v>
                </c:pt>
                <c:pt idx="7">
                  <c:v>3.3387514999999999</c:v>
                </c:pt>
                <c:pt idx="8">
                  <c:v>3.0257766000000004</c:v>
                </c:pt>
                <c:pt idx="9">
                  <c:v>2.7223676000000001</c:v>
                </c:pt>
                <c:pt idx="10">
                  <c:v>2.7191873000000002</c:v>
                </c:pt>
                <c:pt idx="11">
                  <c:v>2.4619051829999998</c:v>
                </c:pt>
                <c:pt idx="12">
                  <c:v>2.2422125100000003</c:v>
                </c:pt>
                <c:pt idx="13">
                  <c:v>1.986987351</c:v>
                </c:pt>
                <c:pt idx="14">
                  <c:v>1.8819906799999999</c:v>
                </c:pt>
                <c:pt idx="15">
                  <c:v>1.7834183410000002</c:v>
                </c:pt>
                <c:pt idx="16">
                  <c:v>1.6324633549999998</c:v>
                </c:pt>
                <c:pt idx="17">
                  <c:v>1.569229655</c:v>
                </c:pt>
                <c:pt idx="18">
                  <c:v>1.478826902</c:v>
                </c:pt>
                <c:pt idx="19">
                  <c:v>1.40814511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AA_T_amphi_ty!$A$11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AA_T_amphi_ty!$B$11:$U$11</c:f>
              <c:numCache>
                <c:formatCode>General</c:formatCode>
                <c:ptCount val="20"/>
                <c:pt idx="0">
                  <c:v>28.884983999999999</c:v>
                </c:pt>
                <c:pt idx="1">
                  <c:v>19.492162</c:v>
                </c:pt>
                <c:pt idx="2">
                  <c:v>11.390254000000001</c:v>
                </c:pt>
                <c:pt idx="3">
                  <c:v>7.8160454000000001</c:v>
                </c:pt>
                <c:pt idx="4">
                  <c:v>6.0203851999999998</c:v>
                </c:pt>
                <c:pt idx="5">
                  <c:v>4.9078948000000002</c:v>
                </c:pt>
                <c:pt idx="6">
                  <c:v>4.1300631000000001</c:v>
                </c:pt>
                <c:pt idx="7">
                  <c:v>3.5218532000000002</c:v>
                </c:pt>
                <c:pt idx="8">
                  <c:v>3.0968711</c:v>
                </c:pt>
                <c:pt idx="9">
                  <c:v>2.6475975000000003</c:v>
                </c:pt>
                <c:pt idx="10">
                  <c:v>2.7106394840000001</c:v>
                </c:pt>
                <c:pt idx="11">
                  <c:v>2.4609293460000004</c:v>
                </c:pt>
                <c:pt idx="12">
                  <c:v>2.2491322169999997</c:v>
                </c:pt>
                <c:pt idx="13">
                  <c:v>2.0437521329999999</c:v>
                </c:pt>
                <c:pt idx="14">
                  <c:v>1.9355055539999999</c:v>
                </c:pt>
                <c:pt idx="15">
                  <c:v>1.7679715250000001</c:v>
                </c:pt>
                <c:pt idx="16">
                  <c:v>1.6516669789999998</c:v>
                </c:pt>
                <c:pt idx="17">
                  <c:v>1.5882819770000001</c:v>
                </c:pt>
                <c:pt idx="18">
                  <c:v>1.536929553</c:v>
                </c:pt>
                <c:pt idx="19">
                  <c:v>1.4808038190000001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AA_T_amphi_ty!$A$12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AA_T_amphi_ty!$B$12:$U$12</c:f>
              <c:numCache>
                <c:formatCode>General</c:formatCode>
                <c:ptCount val="20"/>
                <c:pt idx="0">
                  <c:v>22.258180000000003</c:v>
                </c:pt>
                <c:pt idx="1">
                  <c:v>14.3881134</c:v>
                </c:pt>
                <c:pt idx="2">
                  <c:v>8.6346489999999996</c:v>
                </c:pt>
                <c:pt idx="3">
                  <c:v>5.8550312</c:v>
                </c:pt>
                <c:pt idx="4">
                  <c:v>4.2681101000000004</c:v>
                </c:pt>
                <c:pt idx="5">
                  <c:v>3.4336106000000002</c:v>
                </c:pt>
                <c:pt idx="6">
                  <c:v>2.8742519000000004</c:v>
                </c:pt>
                <c:pt idx="7">
                  <c:v>2.4201601029999997</c:v>
                </c:pt>
                <c:pt idx="8">
                  <c:v>2.1069428269999997</c:v>
                </c:pt>
                <c:pt idx="9">
                  <c:v>1.910770335</c:v>
                </c:pt>
                <c:pt idx="10">
                  <c:v>1.8549393269999999</c:v>
                </c:pt>
                <c:pt idx="11">
                  <c:v>1.800343609</c:v>
                </c:pt>
                <c:pt idx="12">
                  <c:v>1.605345026</c:v>
                </c:pt>
                <c:pt idx="13">
                  <c:v>1.4576342070000001</c:v>
                </c:pt>
                <c:pt idx="14">
                  <c:v>1.3381475079999998</c:v>
                </c:pt>
                <c:pt idx="15">
                  <c:v>1.2465331700000002</c:v>
                </c:pt>
                <c:pt idx="16">
                  <c:v>1.144376109</c:v>
                </c:pt>
                <c:pt idx="17">
                  <c:v>1.123688448</c:v>
                </c:pt>
                <c:pt idx="18">
                  <c:v>1.0547396530000002</c:v>
                </c:pt>
                <c:pt idx="19">
                  <c:v>0.99403118400000001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AA_T_amphi_ty!$A$13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AA_T_amphi_ty!$B$13:$U$13</c:f>
              <c:numCache>
                <c:formatCode>General</c:formatCode>
                <c:ptCount val="20"/>
                <c:pt idx="0">
                  <c:v>21.235818999999999</c:v>
                </c:pt>
                <c:pt idx="1">
                  <c:v>13.9515669</c:v>
                </c:pt>
                <c:pt idx="2">
                  <c:v>8.3373413999999997</c:v>
                </c:pt>
                <c:pt idx="3">
                  <c:v>5.7448813999999997</c:v>
                </c:pt>
                <c:pt idx="4">
                  <c:v>4.4486961000000003</c:v>
                </c:pt>
                <c:pt idx="5">
                  <c:v>3.4249585999999996</c:v>
                </c:pt>
                <c:pt idx="6">
                  <c:v>2.8886596</c:v>
                </c:pt>
                <c:pt idx="7">
                  <c:v>2.427690788</c:v>
                </c:pt>
                <c:pt idx="8">
                  <c:v>2.0971707249999998</c:v>
                </c:pt>
                <c:pt idx="9">
                  <c:v>1.8357119309999999</c:v>
                </c:pt>
                <c:pt idx="10">
                  <c:v>1.7989122740000001</c:v>
                </c:pt>
                <c:pt idx="11">
                  <c:v>1.657169203</c:v>
                </c:pt>
                <c:pt idx="12">
                  <c:v>1.5295966000000001</c:v>
                </c:pt>
                <c:pt idx="13">
                  <c:v>1.4243079390000002</c:v>
                </c:pt>
                <c:pt idx="14">
                  <c:v>1.2786309999999999</c:v>
                </c:pt>
                <c:pt idx="15">
                  <c:v>1.2355233250000002</c:v>
                </c:pt>
                <c:pt idx="16">
                  <c:v>1.096939103</c:v>
                </c:pt>
                <c:pt idx="17">
                  <c:v>1.051614381</c:v>
                </c:pt>
                <c:pt idx="18">
                  <c:v>1.0019613949999999</c:v>
                </c:pt>
                <c:pt idx="19">
                  <c:v>0.9607231329999999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AA_T_amphi_ty!$A$14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AA_T_amphi_ty!$B$14:$U$14</c:f>
              <c:numCache>
                <c:formatCode>General</c:formatCode>
                <c:ptCount val="20"/>
                <c:pt idx="0">
                  <c:v>22.318372</c:v>
                </c:pt>
                <c:pt idx="1">
                  <c:v>14.8221352</c:v>
                </c:pt>
                <c:pt idx="2">
                  <c:v>8.7809626999999999</c:v>
                </c:pt>
                <c:pt idx="3">
                  <c:v>6.1608092999999995</c:v>
                </c:pt>
                <c:pt idx="4">
                  <c:v>4.6412054000000005</c:v>
                </c:pt>
                <c:pt idx="5">
                  <c:v>3.7052724000000001</c:v>
                </c:pt>
                <c:pt idx="6">
                  <c:v>3.0996721060000003</c:v>
                </c:pt>
                <c:pt idx="7">
                  <c:v>2.5930680420000001</c:v>
                </c:pt>
                <c:pt idx="8">
                  <c:v>2.274854886</c:v>
                </c:pt>
                <c:pt idx="9">
                  <c:v>1.975867329</c:v>
                </c:pt>
                <c:pt idx="10">
                  <c:v>1.985969622</c:v>
                </c:pt>
                <c:pt idx="11">
                  <c:v>1.8757385010000001</c:v>
                </c:pt>
                <c:pt idx="12">
                  <c:v>1.745793186</c:v>
                </c:pt>
                <c:pt idx="13">
                  <c:v>1.6316059519999999</c:v>
                </c:pt>
                <c:pt idx="14">
                  <c:v>1.5386362250000001</c:v>
                </c:pt>
                <c:pt idx="15">
                  <c:v>1.450789098</c:v>
                </c:pt>
                <c:pt idx="16">
                  <c:v>1.2926873859999999</c:v>
                </c:pt>
                <c:pt idx="17">
                  <c:v>1.208213583</c:v>
                </c:pt>
                <c:pt idx="18">
                  <c:v>1.137272719</c:v>
                </c:pt>
                <c:pt idx="19">
                  <c:v>1.1169925380000001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AA_T_amphi_ty!$A$15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AA_T_amphi_ty!$B$15:$U$15</c:f>
              <c:numCache>
                <c:formatCode>General</c:formatCode>
                <c:ptCount val="20"/>
                <c:pt idx="0">
                  <c:v>57.620918000000003</c:v>
                </c:pt>
                <c:pt idx="1">
                  <c:v>42.052146</c:v>
                </c:pt>
                <c:pt idx="2">
                  <c:v>26.981504999999999</c:v>
                </c:pt>
                <c:pt idx="3">
                  <c:v>18.3648943</c:v>
                </c:pt>
                <c:pt idx="4">
                  <c:v>13.921517</c:v>
                </c:pt>
                <c:pt idx="5">
                  <c:v>11.056438200000001</c:v>
                </c:pt>
                <c:pt idx="6">
                  <c:v>9.1906899000000006</c:v>
                </c:pt>
                <c:pt idx="7">
                  <c:v>7.9764011000000004</c:v>
                </c:pt>
                <c:pt idx="8">
                  <c:v>7.0260673999999996</c:v>
                </c:pt>
                <c:pt idx="9">
                  <c:v>6.1782933</c:v>
                </c:pt>
                <c:pt idx="10">
                  <c:v>6.1622797</c:v>
                </c:pt>
                <c:pt idx="11">
                  <c:v>5.7991324000000004</c:v>
                </c:pt>
                <c:pt idx="12">
                  <c:v>5.3510109999999997</c:v>
                </c:pt>
                <c:pt idx="13">
                  <c:v>4.8777872999999996</c:v>
                </c:pt>
                <c:pt idx="14">
                  <c:v>4.7074818</c:v>
                </c:pt>
                <c:pt idx="15">
                  <c:v>4.4315091999999998</c:v>
                </c:pt>
                <c:pt idx="16">
                  <c:v>3.9447274000000001</c:v>
                </c:pt>
                <c:pt idx="17">
                  <c:v>3.7532501000000003</c:v>
                </c:pt>
                <c:pt idx="18">
                  <c:v>3.5649549</c:v>
                </c:pt>
                <c:pt idx="19">
                  <c:v>3.3896850000000001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AA_T_amphi_ty!$A$16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AA_T_amphi_ty!$B$16:$U$16</c:f>
              <c:numCache>
                <c:formatCode>General</c:formatCode>
                <c:ptCount val="20"/>
                <c:pt idx="0">
                  <c:v>52.171989999999994</c:v>
                </c:pt>
                <c:pt idx="1">
                  <c:v>36.777701999999998</c:v>
                </c:pt>
                <c:pt idx="2">
                  <c:v>22.348363000000003</c:v>
                </c:pt>
                <c:pt idx="3">
                  <c:v>15.537893200000001</c:v>
                </c:pt>
                <c:pt idx="4">
                  <c:v>11.845867999999999</c:v>
                </c:pt>
                <c:pt idx="5">
                  <c:v>9.3943227999999994</c:v>
                </c:pt>
                <c:pt idx="6">
                  <c:v>7.9320185999999993</c:v>
                </c:pt>
                <c:pt idx="7">
                  <c:v>6.8256909000000006</c:v>
                </c:pt>
                <c:pt idx="8">
                  <c:v>6.1072572000000003</c:v>
                </c:pt>
                <c:pt idx="9">
                  <c:v>5.2151442000000001</c:v>
                </c:pt>
                <c:pt idx="10">
                  <c:v>5.0902463000000004</c:v>
                </c:pt>
                <c:pt idx="11">
                  <c:v>4.7534554</c:v>
                </c:pt>
                <c:pt idx="12">
                  <c:v>4.3864987000000006</c:v>
                </c:pt>
                <c:pt idx="13">
                  <c:v>3.9694127000000003</c:v>
                </c:pt>
                <c:pt idx="14">
                  <c:v>3.708608913</c:v>
                </c:pt>
                <c:pt idx="15">
                  <c:v>3.502982469</c:v>
                </c:pt>
                <c:pt idx="16">
                  <c:v>3.2274118330000001</c:v>
                </c:pt>
                <c:pt idx="17">
                  <c:v>3.0577705770000003</c:v>
                </c:pt>
                <c:pt idx="18">
                  <c:v>2.930889638</c:v>
                </c:pt>
                <c:pt idx="19">
                  <c:v>2.8198940320000001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AA_T_amphi_ty!$A$17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AA_T_amphi_ty!$B$17:$U$17</c:f>
              <c:numCache>
                <c:formatCode>General</c:formatCode>
                <c:ptCount val="20"/>
                <c:pt idx="0">
                  <c:v>53.660870000000003</c:v>
                </c:pt>
                <c:pt idx="1">
                  <c:v>37.691891999999996</c:v>
                </c:pt>
                <c:pt idx="2">
                  <c:v>22.558326000000001</c:v>
                </c:pt>
                <c:pt idx="3">
                  <c:v>15.486172799999999</c:v>
                </c:pt>
                <c:pt idx="4">
                  <c:v>11.889185400000001</c:v>
                </c:pt>
                <c:pt idx="5">
                  <c:v>9.4797886000000009</c:v>
                </c:pt>
                <c:pt idx="6">
                  <c:v>7.9037358000000006</c:v>
                </c:pt>
                <c:pt idx="7">
                  <c:v>6.808173</c:v>
                </c:pt>
                <c:pt idx="8">
                  <c:v>6.0061182999999998</c:v>
                </c:pt>
                <c:pt idx="9">
                  <c:v>5.3144745000000002</c:v>
                </c:pt>
                <c:pt idx="10">
                  <c:v>5.1126158999999998</c:v>
                </c:pt>
                <c:pt idx="11">
                  <c:v>4.6697591999999997</c:v>
                </c:pt>
                <c:pt idx="12">
                  <c:v>4.3420575999999995</c:v>
                </c:pt>
                <c:pt idx="13">
                  <c:v>3.9682347000000004</c:v>
                </c:pt>
                <c:pt idx="14">
                  <c:v>3.7525887619999998</c:v>
                </c:pt>
                <c:pt idx="15">
                  <c:v>3.5540236790000002</c:v>
                </c:pt>
                <c:pt idx="16">
                  <c:v>3.2709730060000002</c:v>
                </c:pt>
                <c:pt idx="17">
                  <c:v>3.0947798610000001</c:v>
                </c:pt>
                <c:pt idx="18">
                  <c:v>2.9458270939999998</c:v>
                </c:pt>
                <c:pt idx="19">
                  <c:v>2.7503629299999997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AA_T_amphi_ty!$A$18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AA_T_amphi_ty!$B$18:$U$18</c:f>
              <c:numCache>
                <c:formatCode>General</c:formatCode>
                <c:ptCount val="20"/>
                <c:pt idx="0">
                  <c:v>53.998359999999991</c:v>
                </c:pt>
                <c:pt idx="1">
                  <c:v>37.523805000000003</c:v>
                </c:pt>
                <c:pt idx="2">
                  <c:v>22.867927000000002</c:v>
                </c:pt>
                <c:pt idx="3">
                  <c:v>15.976285000000001</c:v>
                </c:pt>
                <c:pt idx="4">
                  <c:v>11.8713385</c:v>
                </c:pt>
                <c:pt idx="5">
                  <c:v>9.3330322999999993</c:v>
                </c:pt>
                <c:pt idx="6">
                  <c:v>7.9304001999999993</c:v>
                </c:pt>
                <c:pt idx="7">
                  <c:v>6.9187961000000007</c:v>
                </c:pt>
                <c:pt idx="8">
                  <c:v>6.0329940000000004</c:v>
                </c:pt>
                <c:pt idx="9">
                  <c:v>5.3320325000000004</c:v>
                </c:pt>
                <c:pt idx="10">
                  <c:v>5.1665818000000003</c:v>
                </c:pt>
                <c:pt idx="11">
                  <c:v>4.7335449000000001</c:v>
                </c:pt>
                <c:pt idx="12">
                  <c:v>4.3898437999999995</c:v>
                </c:pt>
                <c:pt idx="13">
                  <c:v>3.9475259</c:v>
                </c:pt>
                <c:pt idx="14">
                  <c:v>3.6582789</c:v>
                </c:pt>
                <c:pt idx="15">
                  <c:v>3.4953484000000001</c:v>
                </c:pt>
                <c:pt idx="16">
                  <c:v>3.1861235000000003</c:v>
                </c:pt>
                <c:pt idx="17">
                  <c:v>3.0400231999999998</c:v>
                </c:pt>
                <c:pt idx="18">
                  <c:v>2.9214894999999999</c:v>
                </c:pt>
                <c:pt idx="19">
                  <c:v>2.7906484000000003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AA_T_amphi_ty!$A$19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AA_T_amphi_ty!$B$19:$U$19</c:f>
              <c:numCache>
                <c:formatCode>General</c:formatCode>
                <c:ptCount val="20"/>
                <c:pt idx="0">
                  <c:v>132.14620000000002</c:v>
                </c:pt>
                <c:pt idx="1">
                  <c:v>96.062209999999993</c:v>
                </c:pt>
                <c:pt idx="2">
                  <c:v>60.806053999999996</c:v>
                </c:pt>
                <c:pt idx="3">
                  <c:v>41.709442000000003</c:v>
                </c:pt>
                <c:pt idx="4">
                  <c:v>31.315159000000001</c:v>
                </c:pt>
                <c:pt idx="5">
                  <c:v>24.932176200000001</c:v>
                </c:pt>
                <c:pt idx="6">
                  <c:v>20.559416900000002</c:v>
                </c:pt>
                <c:pt idx="7">
                  <c:v>17.408890100000001</c:v>
                </c:pt>
                <c:pt idx="8">
                  <c:v>15.333088699999999</c:v>
                </c:pt>
                <c:pt idx="9">
                  <c:v>13.038853100000001</c:v>
                </c:pt>
                <c:pt idx="10">
                  <c:v>12.626421300000001</c:v>
                </c:pt>
                <c:pt idx="11">
                  <c:v>11.5583276</c:v>
                </c:pt>
                <c:pt idx="12">
                  <c:v>10.394221999999999</c:v>
                </c:pt>
                <c:pt idx="13">
                  <c:v>9.4612013000000008</c:v>
                </c:pt>
                <c:pt idx="14">
                  <c:v>8.8705110999999999</c:v>
                </c:pt>
                <c:pt idx="15">
                  <c:v>8.4289578999999986</c:v>
                </c:pt>
                <c:pt idx="16">
                  <c:v>7.6559797999999999</c:v>
                </c:pt>
                <c:pt idx="17">
                  <c:v>7.1576065999999994</c:v>
                </c:pt>
                <c:pt idx="18">
                  <c:v>6.6996586999999996</c:v>
                </c:pt>
                <c:pt idx="19">
                  <c:v>6.4362988999999997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AA_T_amphi_ty!$A$20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AA_T_amphi_ty!$B$20:$U$20</c:f>
              <c:numCache>
                <c:formatCode>General</c:formatCode>
                <c:ptCount val="20"/>
                <c:pt idx="0">
                  <c:v>136.56281000000001</c:v>
                </c:pt>
                <c:pt idx="1">
                  <c:v>98.765169999999998</c:v>
                </c:pt>
                <c:pt idx="2">
                  <c:v>62.350441000000004</c:v>
                </c:pt>
                <c:pt idx="3">
                  <c:v>41.939580999999997</c:v>
                </c:pt>
                <c:pt idx="4">
                  <c:v>31.376259000000001</c:v>
                </c:pt>
                <c:pt idx="5">
                  <c:v>24.7686961</c:v>
                </c:pt>
                <c:pt idx="6">
                  <c:v>20.531458799999999</c:v>
                </c:pt>
                <c:pt idx="7">
                  <c:v>17.341221600000001</c:v>
                </c:pt>
                <c:pt idx="8">
                  <c:v>15.206231300000001</c:v>
                </c:pt>
                <c:pt idx="9">
                  <c:v>13.289223400000001</c:v>
                </c:pt>
                <c:pt idx="10">
                  <c:v>12.878819699999999</c:v>
                </c:pt>
                <c:pt idx="11">
                  <c:v>11.5382303</c:v>
                </c:pt>
                <c:pt idx="12">
                  <c:v>10.4101751</c:v>
                </c:pt>
                <c:pt idx="13">
                  <c:v>9.4907381999999991</c:v>
                </c:pt>
                <c:pt idx="14">
                  <c:v>8.7724135000000008</c:v>
                </c:pt>
                <c:pt idx="15">
                  <c:v>8.169456799999999</c:v>
                </c:pt>
                <c:pt idx="16">
                  <c:v>7.5582950999999996</c:v>
                </c:pt>
                <c:pt idx="17">
                  <c:v>7.1408638999999994</c:v>
                </c:pt>
                <c:pt idx="18">
                  <c:v>6.6342115999999995</c:v>
                </c:pt>
                <c:pt idx="19">
                  <c:v>6.3628622000000004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AA_T_amphi_ty!$A$21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AA_T_amphi_ty!$B$21:$U$21</c:f>
              <c:numCache>
                <c:formatCode>General</c:formatCode>
                <c:ptCount val="20"/>
                <c:pt idx="0">
                  <c:v>136.04555999999999</c:v>
                </c:pt>
                <c:pt idx="1">
                  <c:v>98.051179999999988</c:v>
                </c:pt>
                <c:pt idx="2">
                  <c:v>62.232809000000003</c:v>
                </c:pt>
                <c:pt idx="3">
                  <c:v>41.776618999999997</c:v>
                </c:pt>
                <c:pt idx="4">
                  <c:v>31.362416999999997</c:v>
                </c:pt>
                <c:pt idx="5">
                  <c:v>24.710159600000001</c:v>
                </c:pt>
                <c:pt idx="6">
                  <c:v>20.434371199999998</c:v>
                </c:pt>
                <c:pt idx="7">
                  <c:v>17.2729933</c:v>
                </c:pt>
                <c:pt idx="8">
                  <c:v>15.252924199999999</c:v>
                </c:pt>
                <c:pt idx="9">
                  <c:v>13.1475419</c:v>
                </c:pt>
                <c:pt idx="10">
                  <c:v>12.6124896</c:v>
                </c:pt>
                <c:pt idx="11">
                  <c:v>11.4963578</c:v>
                </c:pt>
                <c:pt idx="12">
                  <c:v>10.4396837</c:v>
                </c:pt>
                <c:pt idx="13">
                  <c:v>9.6171793000000001</c:v>
                </c:pt>
                <c:pt idx="14">
                  <c:v>9.0250634999999999</c:v>
                </c:pt>
                <c:pt idx="15">
                  <c:v>8.4188686999999991</c:v>
                </c:pt>
                <c:pt idx="16">
                  <c:v>7.6970334000000005</c:v>
                </c:pt>
                <c:pt idx="17">
                  <c:v>7.3835027999999996</c:v>
                </c:pt>
                <c:pt idx="18">
                  <c:v>6.8288641000000005</c:v>
                </c:pt>
                <c:pt idx="19">
                  <c:v>6.4031032000000003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AA_T_amphi_ty!$A$22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AA_T_amphi_ty!$B$22:$U$22</c:f>
              <c:numCache>
                <c:formatCode>General</c:formatCode>
                <c:ptCount val="20"/>
                <c:pt idx="0">
                  <c:v>133.17885000000001</c:v>
                </c:pt>
                <c:pt idx="1">
                  <c:v>96.864086999999998</c:v>
                </c:pt>
                <c:pt idx="2">
                  <c:v>62.053624000000006</c:v>
                </c:pt>
                <c:pt idx="3">
                  <c:v>41.747363</c:v>
                </c:pt>
                <c:pt idx="4">
                  <c:v>31.106436000000002</c:v>
                </c:pt>
                <c:pt idx="5">
                  <c:v>24.935869400000001</c:v>
                </c:pt>
                <c:pt idx="6">
                  <c:v>20.7342324</c:v>
                </c:pt>
                <c:pt idx="7">
                  <c:v>17.574932199999999</c:v>
                </c:pt>
                <c:pt idx="8">
                  <c:v>15.3828792</c:v>
                </c:pt>
                <c:pt idx="9">
                  <c:v>13.165695699999999</c:v>
                </c:pt>
                <c:pt idx="10">
                  <c:v>12.5778871</c:v>
                </c:pt>
                <c:pt idx="11">
                  <c:v>11.5392467</c:v>
                </c:pt>
                <c:pt idx="12">
                  <c:v>10.3794009</c:v>
                </c:pt>
                <c:pt idx="13">
                  <c:v>9.4591829000000001</c:v>
                </c:pt>
                <c:pt idx="14">
                  <c:v>8.8802498000000014</c:v>
                </c:pt>
                <c:pt idx="15">
                  <c:v>8.3827093000000001</c:v>
                </c:pt>
                <c:pt idx="16">
                  <c:v>7.6049165000000007</c:v>
                </c:pt>
                <c:pt idx="17">
                  <c:v>7.1841941</c:v>
                </c:pt>
                <c:pt idx="18">
                  <c:v>6.8082266000000002</c:v>
                </c:pt>
                <c:pt idx="19">
                  <c:v>6.4240849000000004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AA_T_amphi_ty!$A$23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AA_T_amphi_ty!$B$23:$U$23</c:f>
              <c:numCache>
                <c:formatCode>General</c:formatCode>
                <c:ptCount val="20"/>
                <c:pt idx="0">
                  <c:v>137.76657</c:v>
                </c:pt>
                <c:pt idx="1">
                  <c:v>99.900629999999992</c:v>
                </c:pt>
                <c:pt idx="2">
                  <c:v>63.119830999999998</c:v>
                </c:pt>
                <c:pt idx="3">
                  <c:v>42.280411999999998</c:v>
                </c:pt>
                <c:pt idx="4">
                  <c:v>31.633923899999999</c:v>
                </c:pt>
                <c:pt idx="5">
                  <c:v>24.981809500000001</c:v>
                </c:pt>
                <c:pt idx="6">
                  <c:v>20.5695856</c:v>
                </c:pt>
                <c:pt idx="7">
                  <c:v>17.700458400000002</c:v>
                </c:pt>
                <c:pt idx="8">
                  <c:v>15.4723524</c:v>
                </c:pt>
                <c:pt idx="9">
                  <c:v>13.294259800000001</c:v>
                </c:pt>
                <c:pt idx="10">
                  <c:v>12.769641700000001</c:v>
                </c:pt>
                <c:pt idx="11">
                  <c:v>11.5895189</c:v>
                </c:pt>
                <c:pt idx="12">
                  <c:v>10.502853699999999</c:v>
                </c:pt>
                <c:pt idx="13">
                  <c:v>9.5079279999999997</c:v>
                </c:pt>
                <c:pt idx="14">
                  <c:v>8.8495384000000001</c:v>
                </c:pt>
                <c:pt idx="15">
                  <c:v>8.2887114999999998</c:v>
                </c:pt>
                <c:pt idx="16">
                  <c:v>7.4199275</c:v>
                </c:pt>
                <c:pt idx="17">
                  <c:v>7.0865130999999995</c:v>
                </c:pt>
                <c:pt idx="18">
                  <c:v>6.6409848999999994</c:v>
                </c:pt>
                <c:pt idx="19">
                  <c:v>6.3231920000000006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AA_T_amphi_ty!$A$24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AA_T_amphi_ty!$B$24:$U$24</c:f>
              <c:numCache>
                <c:formatCode>General</c:formatCode>
                <c:ptCount val="20"/>
                <c:pt idx="0">
                  <c:v>132.86358999999999</c:v>
                </c:pt>
                <c:pt idx="1">
                  <c:v>96.638622999999995</c:v>
                </c:pt>
                <c:pt idx="2">
                  <c:v>61.158400000000007</c:v>
                </c:pt>
                <c:pt idx="3">
                  <c:v>41.845195000000004</c:v>
                </c:pt>
                <c:pt idx="4">
                  <c:v>31.541471999999999</c:v>
                </c:pt>
                <c:pt idx="5">
                  <c:v>24.8388259</c:v>
                </c:pt>
                <c:pt idx="6">
                  <c:v>20.347974099999998</c:v>
                </c:pt>
                <c:pt idx="7">
                  <c:v>17.313695099999997</c:v>
                </c:pt>
                <c:pt idx="8">
                  <c:v>15.226456200000001</c:v>
                </c:pt>
                <c:pt idx="9">
                  <c:v>13.110833400000001</c:v>
                </c:pt>
                <c:pt idx="10">
                  <c:v>12.691948499999999</c:v>
                </c:pt>
                <c:pt idx="11">
                  <c:v>11.5794455</c:v>
                </c:pt>
                <c:pt idx="12">
                  <c:v>10.4539498</c:v>
                </c:pt>
                <c:pt idx="13">
                  <c:v>9.5635151</c:v>
                </c:pt>
                <c:pt idx="14">
                  <c:v>8.9821293999999998</c:v>
                </c:pt>
                <c:pt idx="15">
                  <c:v>8.4743200000000005</c:v>
                </c:pt>
                <c:pt idx="16">
                  <c:v>7.6167993000000003</c:v>
                </c:pt>
                <c:pt idx="17">
                  <c:v>7.2708273999999999</c:v>
                </c:pt>
                <c:pt idx="18">
                  <c:v>6.7548310999999996</c:v>
                </c:pt>
                <c:pt idx="19">
                  <c:v>6.4195203000000003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AA_T_amphi_ty!$A$25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AA_T_amphi_ty!$B$25:$U$25</c:f>
              <c:numCache>
                <c:formatCode>General</c:formatCode>
                <c:ptCount val="20"/>
                <c:pt idx="0">
                  <c:v>135.72187</c:v>
                </c:pt>
                <c:pt idx="1">
                  <c:v>98.174000000000007</c:v>
                </c:pt>
                <c:pt idx="2">
                  <c:v>62.085583999999997</c:v>
                </c:pt>
                <c:pt idx="3">
                  <c:v>41.900798999999999</c:v>
                </c:pt>
                <c:pt idx="4">
                  <c:v>31.390938999999996</c:v>
                </c:pt>
                <c:pt idx="5">
                  <c:v>24.887959800000001</c:v>
                </c:pt>
                <c:pt idx="6">
                  <c:v>20.5513406</c:v>
                </c:pt>
                <c:pt idx="7">
                  <c:v>17.481141999999998</c:v>
                </c:pt>
                <c:pt idx="8">
                  <c:v>15.3706792</c:v>
                </c:pt>
                <c:pt idx="9">
                  <c:v>13.2066108</c:v>
                </c:pt>
                <c:pt idx="10">
                  <c:v>12.663632</c:v>
                </c:pt>
                <c:pt idx="11">
                  <c:v>11.4206585</c:v>
                </c:pt>
                <c:pt idx="12">
                  <c:v>10.3568338</c:v>
                </c:pt>
                <c:pt idx="13">
                  <c:v>9.5785653999999987</c:v>
                </c:pt>
                <c:pt idx="14">
                  <c:v>8.8868517999999987</c:v>
                </c:pt>
                <c:pt idx="15">
                  <c:v>8.2955360999999996</c:v>
                </c:pt>
                <c:pt idx="16">
                  <c:v>7.5560739000000003</c:v>
                </c:pt>
                <c:pt idx="17">
                  <c:v>7.0888819999999999</c:v>
                </c:pt>
                <c:pt idx="18">
                  <c:v>6.5845380000000002</c:v>
                </c:pt>
                <c:pt idx="19">
                  <c:v>6.2976181999999996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AA_T_amphi_ty!$A$26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AA_T_amphi_ty!$B$26:$U$26</c:f>
              <c:numCache>
                <c:formatCode>General</c:formatCode>
                <c:ptCount val="20"/>
                <c:pt idx="0">
                  <c:v>97.863160000000008</c:v>
                </c:pt>
                <c:pt idx="1">
                  <c:v>67.406755000000004</c:v>
                </c:pt>
                <c:pt idx="2">
                  <c:v>40.974325</c:v>
                </c:pt>
                <c:pt idx="3">
                  <c:v>27.042128999999999</c:v>
                </c:pt>
                <c:pt idx="4">
                  <c:v>19.749033499999999</c:v>
                </c:pt>
                <c:pt idx="5">
                  <c:v>15.4626927</c:v>
                </c:pt>
                <c:pt idx="6">
                  <c:v>12.746513700000001</c:v>
                </c:pt>
                <c:pt idx="7">
                  <c:v>10.6849436</c:v>
                </c:pt>
                <c:pt idx="8">
                  <c:v>9.1737310999999995</c:v>
                </c:pt>
                <c:pt idx="9">
                  <c:v>7.9722026999999995</c:v>
                </c:pt>
                <c:pt idx="10">
                  <c:v>7.5672553000000002</c:v>
                </c:pt>
                <c:pt idx="11">
                  <c:v>6.9304683999999996</c:v>
                </c:pt>
                <c:pt idx="12">
                  <c:v>6.4150480479999992</c:v>
                </c:pt>
                <c:pt idx="13">
                  <c:v>5.7281680399999999</c:v>
                </c:pt>
                <c:pt idx="14">
                  <c:v>5.3772097099999998</c:v>
                </c:pt>
                <c:pt idx="15">
                  <c:v>4.9856021449999997</c:v>
                </c:pt>
                <c:pt idx="16">
                  <c:v>4.4702246890000001</c:v>
                </c:pt>
                <c:pt idx="17">
                  <c:v>4.2205089319999995</c:v>
                </c:pt>
                <c:pt idx="18">
                  <c:v>3.9485177110000005</c:v>
                </c:pt>
                <c:pt idx="19">
                  <c:v>3.7625771640000001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AA_T_amphi_ty!$A$27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AA_T_amphi_ty!$B$27:$U$27</c:f>
              <c:numCache>
                <c:formatCode>General</c:formatCode>
                <c:ptCount val="20"/>
                <c:pt idx="0">
                  <c:v>129.83697999999998</c:v>
                </c:pt>
                <c:pt idx="1">
                  <c:v>94.892200000000003</c:v>
                </c:pt>
                <c:pt idx="2">
                  <c:v>60.122202999999999</c:v>
                </c:pt>
                <c:pt idx="3">
                  <c:v>41.128430999999999</c:v>
                </c:pt>
                <c:pt idx="4">
                  <c:v>30.695792000000001</c:v>
                </c:pt>
                <c:pt idx="5">
                  <c:v>24.496777399999999</c:v>
                </c:pt>
                <c:pt idx="6">
                  <c:v>20.235471500000003</c:v>
                </c:pt>
                <c:pt idx="7">
                  <c:v>17.0945547</c:v>
                </c:pt>
                <c:pt idx="8">
                  <c:v>15.0887905</c:v>
                </c:pt>
                <c:pt idx="9">
                  <c:v>13.003943</c:v>
                </c:pt>
                <c:pt idx="10">
                  <c:v>12.747880500000001</c:v>
                </c:pt>
                <c:pt idx="11">
                  <c:v>11.4332096</c:v>
                </c:pt>
                <c:pt idx="12">
                  <c:v>10.3201106</c:v>
                </c:pt>
                <c:pt idx="13">
                  <c:v>9.3577227999999995</c:v>
                </c:pt>
                <c:pt idx="14">
                  <c:v>8.6867623999999992</c:v>
                </c:pt>
                <c:pt idx="15">
                  <c:v>8.2640449</c:v>
                </c:pt>
                <c:pt idx="16">
                  <c:v>7.5534679000000002</c:v>
                </c:pt>
                <c:pt idx="17">
                  <c:v>7.1163587000000001</c:v>
                </c:pt>
                <c:pt idx="18">
                  <c:v>6.6706561999999998</c:v>
                </c:pt>
                <c:pt idx="19">
                  <c:v>6.3975793999999997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AA_T_amphi_ty!$A$28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AA_T_amphi_ty!$B$28:$U$28</c:f>
              <c:numCache>
                <c:formatCode>General</c:formatCode>
                <c:ptCount val="20"/>
                <c:pt idx="0">
                  <c:v>132.33455000000001</c:v>
                </c:pt>
                <c:pt idx="1">
                  <c:v>95.903350000000003</c:v>
                </c:pt>
                <c:pt idx="2">
                  <c:v>61.220226999999994</c:v>
                </c:pt>
                <c:pt idx="3">
                  <c:v>41.380942000000005</c:v>
                </c:pt>
                <c:pt idx="4">
                  <c:v>31.265239999999999</c:v>
                </c:pt>
                <c:pt idx="5">
                  <c:v>24.737945500000002</c:v>
                </c:pt>
                <c:pt idx="6">
                  <c:v>20.363999199999999</c:v>
                </c:pt>
                <c:pt idx="7">
                  <c:v>17.2126281</c:v>
                </c:pt>
                <c:pt idx="8">
                  <c:v>15.3162004</c:v>
                </c:pt>
                <c:pt idx="9">
                  <c:v>13.2531862</c:v>
                </c:pt>
                <c:pt idx="10">
                  <c:v>12.8595779</c:v>
                </c:pt>
                <c:pt idx="11">
                  <c:v>11.6174163</c:v>
                </c:pt>
                <c:pt idx="12">
                  <c:v>10.547264799999999</c:v>
                </c:pt>
                <c:pt idx="13">
                  <c:v>9.6219950000000001</c:v>
                </c:pt>
                <c:pt idx="14">
                  <c:v>8.9387924999999999</c:v>
                </c:pt>
                <c:pt idx="15">
                  <c:v>8.3025803000000007</c:v>
                </c:pt>
                <c:pt idx="16">
                  <c:v>7.6091432999999995</c:v>
                </c:pt>
                <c:pt idx="17">
                  <c:v>7.2007513999999997</c:v>
                </c:pt>
                <c:pt idx="18">
                  <c:v>6.7285551999999997</c:v>
                </c:pt>
                <c:pt idx="19">
                  <c:v>6.3390677999999996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AA_T_amphi_ty!$A$29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AA_T_amphi_ty!$B$29:$U$29</c:f>
              <c:numCache>
                <c:formatCode>General</c:formatCode>
                <c:ptCount val="20"/>
                <c:pt idx="0">
                  <c:v>141.73698999999999</c:v>
                </c:pt>
                <c:pt idx="1">
                  <c:v>102.28570000000001</c:v>
                </c:pt>
                <c:pt idx="2">
                  <c:v>66.141293000000005</c:v>
                </c:pt>
                <c:pt idx="3">
                  <c:v>45.879889000000006</c:v>
                </c:pt>
                <c:pt idx="4">
                  <c:v>34.245838000000006</c:v>
                </c:pt>
                <c:pt idx="5">
                  <c:v>26.946816000000002</c:v>
                </c:pt>
                <c:pt idx="6">
                  <c:v>22.154800899999998</c:v>
                </c:pt>
                <c:pt idx="7">
                  <c:v>18.456454200000003</c:v>
                </c:pt>
                <c:pt idx="8">
                  <c:v>16.104188100000002</c:v>
                </c:pt>
                <c:pt idx="9">
                  <c:v>14.083714000000001</c:v>
                </c:pt>
                <c:pt idx="10">
                  <c:v>13.626144</c:v>
                </c:pt>
                <c:pt idx="11">
                  <c:v>12.604117500000001</c:v>
                </c:pt>
                <c:pt idx="12">
                  <c:v>11.365746700000001</c:v>
                </c:pt>
                <c:pt idx="13">
                  <c:v>10.337321299999999</c:v>
                </c:pt>
                <c:pt idx="14">
                  <c:v>9.5438697000000001</c:v>
                </c:pt>
                <c:pt idx="15">
                  <c:v>8.9953006999999996</c:v>
                </c:pt>
                <c:pt idx="16">
                  <c:v>8.2855764999999995</c:v>
                </c:pt>
                <c:pt idx="17">
                  <c:v>7.9271845999999995</c:v>
                </c:pt>
                <c:pt idx="18">
                  <c:v>7.5105392000000002</c:v>
                </c:pt>
                <c:pt idx="19">
                  <c:v>7.1525384000000001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AA_T_amphi_ty!$A$30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AA_T_amphi_ty!$B$30:$U$30</c:f>
              <c:numCache>
                <c:formatCode>General</c:formatCode>
                <c:ptCount val="20"/>
                <c:pt idx="0">
                  <c:v>161.88144999999997</c:v>
                </c:pt>
                <c:pt idx="1">
                  <c:v>113.356101</c:v>
                </c:pt>
                <c:pt idx="2">
                  <c:v>68.480958000000001</c:v>
                </c:pt>
                <c:pt idx="3">
                  <c:v>46.480715000000004</c:v>
                </c:pt>
                <c:pt idx="4">
                  <c:v>34.4950598</c:v>
                </c:pt>
                <c:pt idx="5">
                  <c:v>26.6305911</c:v>
                </c:pt>
                <c:pt idx="6">
                  <c:v>22.2099072</c:v>
                </c:pt>
                <c:pt idx="7">
                  <c:v>18.953510300000001</c:v>
                </c:pt>
                <c:pt idx="8">
                  <c:v>16.2554555</c:v>
                </c:pt>
                <c:pt idx="9">
                  <c:v>14.0070657</c:v>
                </c:pt>
                <c:pt idx="10">
                  <c:v>13.283502</c:v>
                </c:pt>
                <c:pt idx="11">
                  <c:v>11.8119432</c:v>
                </c:pt>
                <c:pt idx="12">
                  <c:v>10.7437136</c:v>
                </c:pt>
                <c:pt idx="13">
                  <c:v>9.6859045530000003</c:v>
                </c:pt>
                <c:pt idx="14">
                  <c:v>8.7934410229999997</c:v>
                </c:pt>
                <c:pt idx="15">
                  <c:v>8.2940904940000006</c:v>
                </c:pt>
                <c:pt idx="16">
                  <c:v>7.6485290560000001</c:v>
                </c:pt>
                <c:pt idx="17">
                  <c:v>7.1981904139999999</c:v>
                </c:pt>
                <c:pt idx="18">
                  <c:v>6.7849875880000008</c:v>
                </c:pt>
                <c:pt idx="19">
                  <c:v>6.3921209579999996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AA_T_amphi_ty!$A$31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AA_T_amphi_ty!$B$31:$U$31</c:f>
              <c:numCache>
                <c:formatCode>General</c:formatCode>
                <c:ptCount val="20"/>
                <c:pt idx="0">
                  <c:v>151.04316</c:v>
                </c:pt>
                <c:pt idx="1">
                  <c:v>99.228569999999991</c:v>
                </c:pt>
                <c:pt idx="2">
                  <c:v>57.503354999999999</c:v>
                </c:pt>
                <c:pt idx="3">
                  <c:v>38.355951999999995</c:v>
                </c:pt>
                <c:pt idx="4">
                  <c:v>28.140428999999997</c:v>
                </c:pt>
                <c:pt idx="5">
                  <c:v>21.69444</c:v>
                </c:pt>
                <c:pt idx="6">
                  <c:v>17.775503</c:v>
                </c:pt>
                <c:pt idx="7">
                  <c:v>14.909020999999999</c:v>
                </c:pt>
                <c:pt idx="8">
                  <c:v>12.678875999999999</c:v>
                </c:pt>
                <c:pt idx="9">
                  <c:v>10.9321755</c:v>
                </c:pt>
                <c:pt idx="10">
                  <c:v>10.466333000000001</c:v>
                </c:pt>
                <c:pt idx="11">
                  <c:v>9.327066499999999</c:v>
                </c:pt>
                <c:pt idx="12">
                  <c:v>8.3096546</c:v>
                </c:pt>
                <c:pt idx="13">
                  <c:v>7.5476884999999996</c:v>
                </c:pt>
                <c:pt idx="14">
                  <c:v>6.8958003000000003</c:v>
                </c:pt>
                <c:pt idx="15">
                  <c:v>6.4017973000000001</c:v>
                </c:pt>
                <c:pt idx="16">
                  <c:v>5.8307405000000001</c:v>
                </c:pt>
                <c:pt idx="17">
                  <c:v>5.4966612000000001</c:v>
                </c:pt>
                <c:pt idx="18">
                  <c:v>5.1354509999999998</c:v>
                </c:pt>
                <c:pt idx="19">
                  <c:v>4.8683393000000006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AA_T_amphi_ty!$A$32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AA_T_amphi_ty!$B$32:$U$32</c:f>
              <c:numCache>
                <c:formatCode>General</c:formatCode>
                <c:ptCount val="20"/>
                <c:pt idx="0">
                  <c:v>135.17886000000001</c:v>
                </c:pt>
                <c:pt idx="1">
                  <c:v>89.201715000000007</c:v>
                </c:pt>
                <c:pt idx="2">
                  <c:v>49.779688999999998</c:v>
                </c:pt>
                <c:pt idx="3">
                  <c:v>32.550799399999995</c:v>
                </c:pt>
                <c:pt idx="4">
                  <c:v>23.4429269</c:v>
                </c:pt>
                <c:pt idx="5">
                  <c:v>18.147750899999998</c:v>
                </c:pt>
                <c:pt idx="6">
                  <c:v>14.9875509</c:v>
                </c:pt>
                <c:pt idx="7">
                  <c:v>12.4731443</c:v>
                </c:pt>
                <c:pt idx="8">
                  <c:v>10.584044839999999</c:v>
                </c:pt>
                <c:pt idx="9">
                  <c:v>9.0086685259999992</c:v>
                </c:pt>
                <c:pt idx="10">
                  <c:v>8.5777421910000005</c:v>
                </c:pt>
                <c:pt idx="11">
                  <c:v>7.6753441310000001</c:v>
                </c:pt>
                <c:pt idx="12">
                  <c:v>7.0118871600000006</c:v>
                </c:pt>
                <c:pt idx="13">
                  <c:v>6.3752423919999996</c:v>
                </c:pt>
                <c:pt idx="14">
                  <c:v>5.7536336490000002</c:v>
                </c:pt>
                <c:pt idx="15">
                  <c:v>5.4153722790000005</c:v>
                </c:pt>
                <c:pt idx="16">
                  <c:v>4.9289506579999998</c:v>
                </c:pt>
                <c:pt idx="17">
                  <c:v>4.5745896650000004</c:v>
                </c:pt>
                <c:pt idx="18">
                  <c:v>4.2431896019999993</c:v>
                </c:pt>
                <c:pt idx="19">
                  <c:v>3.937158551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AA_T_amphi_ty!$A$33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AA_T_amphi_ty!$B$33:$U$33</c:f>
              <c:numCache>
                <c:formatCode>General</c:formatCode>
                <c:ptCount val="20"/>
                <c:pt idx="0">
                  <c:v>138.12195</c:v>
                </c:pt>
                <c:pt idx="1">
                  <c:v>88.099721000000002</c:v>
                </c:pt>
                <c:pt idx="2">
                  <c:v>48.001468000000003</c:v>
                </c:pt>
                <c:pt idx="3">
                  <c:v>31.286773999999998</c:v>
                </c:pt>
                <c:pt idx="4">
                  <c:v>23.1380488</c:v>
                </c:pt>
                <c:pt idx="5">
                  <c:v>17.984124599999998</c:v>
                </c:pt>
                <c:pt idx="6">
                  <c:v>14.736346900000001</c:v>
                </c:pt>
                <c:pt idx="7">
                  <c:v>12.348136200000001</c:v>
                </c:pt>
                <c:pt idx="8">
                  <c:v>10.743588611</c:v>
                </c:pt>
                <c:pt idx="9">
                  <c:v>9.1662755399999991</c:v>
                </c:pt>
                <c:pt idx="10">
                  <c:v>8.6790003130000013</c:v>
                </c:pt>
                <c:pt idx="11">
                  <c:v>7.5742797949999998</c:v>
                </c:pt>
                <c:pt idx="12">
                  <c:v>6.9951024300000002</c:v>
                </c:pt>
                <c:pt idx="13">
                  <c:v>6.243323943</c:v>
                </c:pt>
                <c:pt idx="14">
                  <c:v>5.6635834090000001</c:v>
                </c:pt>
                <c:pt idx="15">
                  <c:v>5.333329505</c:v>
                </c:pt>
                <c:pt idx="16">
                  <c:v>4.8273636269999995</c:v>
                </c:pt>
                <c:pt idx="17">
                  <c:v>4.5433543369999994</c:v>
                </c:pt>
                <c:pt idx="18">
                  <c:v>4.2070781620000002</c:v>
                </c:pt>
                <c:pt idx="19">
                  <c:v>3.9539794529999996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AA_T_amphi_ty!$A$34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AA_T_amphi_ty!$B$34:$U$34</c:f>
              <c:numCache>
                <c:formatCode>General</c:formatCode>
                <c:ptCount val="20"/>
                <c:pt idx="0">
                  <c:v>136.48887999999999</c:v>
                </c:pt>
                <c:pt idx="1">
                  <c:v>87.257399000000007</c:v>
                </c:pt>
                <c:pt idx="2">
                  <c:v>47.762994999999997</c:v>
                </c:pt>
                <c:pt idx="3">
                  <c:v>31.535367899999997</c:v>
                </c:pt>
                <c:pt idx="4">
                  <c:v>22.941343500000002</c:v>
                </c:pt>
                <c:pt idx="5">
                  <c:v>17.8010208</c:v>
                </c:pt>
                <c:pt idx="6">
                  <c:v>14.7605609</c:v>
                </c:pt>
                <c:pt idx="7">
                  <c:v>12.582247300000001</c:v>
                </c:pt>
                <c:pt idx="8">
                  <c:v>10.816301181</c:v>
                </c:pt>
                <c:pt idx="9">
                  <c:v>9.1755397009999999</c:v>
                </c:pt>
                <c:pt idx="10">
                  <c:v>8.6137861529999995</c:v>
                </c:pt>
                <c:pt idx="11">
                  <c:v>7.6044780680000006</c:v>
                </c:pt>
                <c:pt idx="12">
                  <c:v>6.9632879800000005</c:v>
                </c:pt>
                <c:pt idx="13">
                  <c:v>6.2675769680000002</c:v>
                </c:pt>
                <c:pt idx="14">
                  <c:v>5.8046155630000005</c:v>
                </c:pt>
                <c:pt idx="15">
                  <c:v>5.4335432880000001</c:v>
                </c:pt>
                <c:pt idx="16">
                  <c:v>4.881829389</c:v>
                </c:pt>
                <c:pt idx="17">
                  <c:v>4.6078351299999998</c:v>
                </c:pt>
                <c:pt idx="18">
                  <c:v>4.3264909210000004</c:v>
                </c:pt>
                <c:pt idx="19">
                  <c:v>4.0783279210000005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AA_T_amphi_ty!$A$35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AA_T_amphi_ty!$B$35:$U$35</c:f>
              <c:numCache>
                <c:formatCode>General</c:formatCode>
                <c:ptCount val="20"/>
                <c:pt idx="0">
                  <c:v>254.74625</c:v>
                </c:pt>
                <c:pt idx="1">
                  <c:v>179.75934999999998</c:v>
                </c:pt>
                <c:pt idx="2">
                  <c:v>110.24656999999999</c:v>
                </c:pt>
                <c:pt idx="3">
                  <c:v>74.934218999999999</c:v>
                </c:pt>
                <c:pt idx="4">
                  <c:v>56.092683000000001</c:v>
                </c:pt>
                <c:pt idx="5">
                  <c:v>43.496744999999997</c:v>
                </c:pt>
                <c:pt idx="6">
                  <c:v>35.938451000000001</c:v>
                </c:pt>
                <c:pt idx="7">
                  <c:v>29.707114999999998</c:v>
                </c:pt>
                <c:pt idx="8">
                  <c:v>24.981906000000002</c:v>
                </c:pt>
                <c:pt idx="9">
                  <c:v>21.189533000000001</c:v>
                </c:pt>
                <c:pt idx="10">
                  <c:v>20.296748000000001</c:v>
                </c:pt>
                <c:pt idx="11">
                  <c:v>18.266226</c:v>
                </c:pt>
                <c:pt idx="12">
                  <c:v>16.318828400000001</c:v>
                </c:pt>
                <c:pt idx="13">
                  <c:v>14.457669900000001</c:v>
                </c:pt>
                <c:pt idx="14">
                  <c:v>13.174856800000001</c:v>
                </c:pt>
                <c:pt idx="15">
                  <c:v>12.146412000000002</c:v>
                </c:pt>
                <c:pt idx="16">
                  <c:v>10.9016398</c:v>
                </c:pt>
                <c:pt idx="17">
                  <c:v>10.2443458</c:v>
                </c:pt>
                <c:pt idx="18">
                  <c:v>9.4521040000000003</c:v>
                </c:pt>
                <c:pt idx="19">
                  <c:v>8.9892620999999995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AA_T_amphi_ty!$A$36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AA_T_amphi_ty!$B$36:$U$36</c:f>
              <c:numCache>
                <c:formatCode>General</c:formatCode>
                <c:ptCount val="20"/>
                <c:pt idx="0">
                  <c:v>260.83194000000003</c:v>
                </c:pt>
                <c:pt idx="1">
                  <c:v>183.06379000000001</c:v>
                </c:pt>
                <c:pt idx="2">
                  <c:v>112.93077</c:v>
                </c:pt>
                <c:pt idx="3">
                  <c:v>77.210989999999995</c:v>
                </c:pt>
                <c:pt idx="4">
                  <c:v>57.953539999999997</c:v>
                </c:pt>
                <c:pt idx="5">
                  <c:v>45.549934999999998</c:v>
                </c:pt>
                <c:pt idx="6">
                  <c:v>37.216241999999994</c:v>
                </c:pt>
                <c:pt idx="7">
                  <c:v>31.155951999999999</c:v>
                </c:pt>
                <c:pt idx="8">
                  <c:v>27.119136000000001</c:v>
                </c:pt>
                <c:pt idx="9">
                  <c:v>23.207819000000001</c:v>
                </c:pt>
                <c:pt idx="10">
                  <c:v>22.401334000000002</c:v>
                </c:pt>
                <c:pt idx="11">
                  <c:v>20.312905000000001</c:v>
                </c:pt>
                <c:pt idx="12">
                  <c:v>18.294217999999997</c:v>
                </c:pt>
                <c:pt idx="13">
                  <c:v>16.270002999999999</c:v>
                </c:pt>
                <c:pt idx="14">
                  <c:v>15.088051000000002</c:v>
                </c:pt>
                <c:pt idx="15">
                  <c:v>14.056990900000001</c:v>
                </c:pt>
                <c:pt idx="16">
                  <c:v>12.627239999999999</c:v>
                </c:pt>
                <c:pt idx="17">
                  <c:v>11.964679400000001</c:v>
                </c:pt>
                <c:pt idx="18">
                  <c:v>11.144475099999999</c:v>
                </c:pt>
                <c:pt idx="19">
                  <c:v>10.359322300000001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AA_T_amphi_ty!$A$37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AA_T_amphi_ty!$B$2:$U$2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AA_T_amphi_ty!$B$37:$U$37</c:f>
              <c:numCache>
                <c:formatCode>General</c:formatCode>
                <c:ptCount val="20"/>
                <c:pt idx="0">
                  <c:v>274.42268999999999</c:v>
                </c:pt>
                <c:pt idx="1">
                  <c:v>192.25407000000001</c:v>
                </c:pt>
                <c:pt idx="2">
                  <c:v>117.99450000000002</c:v>
                </c:pt>
                <c:pt idx="3">
                  <c:v>79.107470000000006</c:v>
                </c:pt>
                <c:pt idx="4">
                  <c:v>58.797782000000005</c:v>
                </c:pt>
                <c:pt idx="5">
                  <c:v>45.682140000000004</c:v>
                </c:pt>
                <c:pt idx="6">
                  <c:v>36.938813000000003</c:v>
                </c:pt>
                <c:pt idx="7">
                  <c:v>30.593988999999997</c:v>
                </c:pt>
                <c:pt idx="8">
                  <c:v>26.175041</c:v>
                </c:pt>
                <c:pt idx="9">
                  <c:v>22.226481</c:v>
                </c:pt>
                <c:pt idx="10">
                  <c:v>21.523387</c:v>
                </c:pt>
                <c:pt idx="11">
                  <c:v>19.126042000000002</c:v>
                </c:pt>
                <c:pt idx="12">
                  <c:v>16.966006</c:v>
                </c:pt>
                <c:pt idx="13">
                  <c:v>15.138380000000002</c:v>
                </c:pt>
                <c:pt idx="14">
                  <c:v>13.815569</c:v>
                </c:pt>
                <c:pt idx="15">
                  <c:v>12.604089</c:v>
                </c:pt>
                <c:pt idx="16">
                  <c:v>11.317273</c:v>
                </c:pt>
                <c:pt idx="17">
                  <c:v>10.587076999999999</c:v>
                </c:pt>
                <c:pt idx="18">
                  <c:v>10.231777000000001</c:v>
                </c:pt>
                <c:pt idx="19">
                  <c:v>9.6013920000000006</c:v>
                </c:pt>
              </c:numCache>
            </c:numRef>
          </c:yVal>
          <c:smooth val="1"/>
        </c:ser>
        <c:axId val="96888320"/>
        <c:axId val="96890240"/>
      </c:scatterChart>
      <c:valAx>
        <c:axId val="9688832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890240"/>
        <c:crosses val="autoZero"/>
        <c:crossBetween val="midCat"/>
      </c:valAx>
      <c:valAx>
        <c:axId val="96890240"/>
        <c:scaling>
          <c:orientation val="minMax"/>
        </c:scaling>
        <c:axPos val="l"/>
        <c:numFmt formatCode="General" sourceLinked="1"/>
        <c:tickLblPos val="nextTo"/>
        <c:crossAx val="96888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238630461429793"/>
          <c:y val="2.5764380884370358E-2"/>
          <c:w val="0.32941973282363451"/>
          <c:h val="0.86314622366714899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AA_amphi_den!$B$3:$U$3</c:f>
              <c:numCache>
                <c:formatCode>General</c:formatCode>
                <c:ptCount val="20"/>
                <c:pt idx="0">
                  <c:v>1.6147538540846381E-2</c:v>
                </c:pt>
                <c:pt idx="1">
                  <c:v>1.7135345705141039E-2</c:v>
                </c:pt>
                <c:pt idx="2">
                  <c:v>1.7809952386206158E-2</c:v>
                </c:pt>
                <c:pt idx="3">
                  <c:v>1.8034370776965954E-2</c:v>
                </c:pt>
                <c:pt idx="4">
                  <c:v>1.8461662354251451E-2</c:v>
                </c:pt>
                <c:pt idx="5">
                  <c:v>1.895887544755093E-2</c:v>
                </c:pt>
                <c:pt idx="6">
                  <c:v>1.924840688657373E-2</c:v>
                </c:pt>
                <c:pt idx="7">
                  <c:v>2.0023748482332078E-2</c:v>
                </c:pt>
                <c:pt idx="8">
                  <c:v>2.0245529720296442E-2</c:v>
                </c:pt>
                <c:pt idx="9">
                  <c:v>1.9899664027978024E-2</c:v>
                </c:pt>
                <c:pt idx="10">
                  <c:v>2.1791672474104053E-2</c:v>
                </c:pt>
                <c:pt idx="11">
                  <c:v>2.1971703983817183E-2</c:v>
                </c:pt>
                <c:pt idx="12">
                  <c:v>2.2117417781990851E-2</c:v>
                </c:pt>
                <c:pt idx="13">
                  <c:v>2.2112712393983009E-2</c:v>
                </c:pt>
                <c:pt idx="14">
                  <c:v>2.2116346923903869E-2</c:v>
                </c:pt>
                <c:pt idx="15">
                  <c:v>2.2576362486612656E-2</c:v>
                </c:pt>
                <c:pt idx="16">
                  <c:v>2.2059255907599329E-2</c:v>
                </c:pt>
                <c:pt idx="17">
                  <c:v>2.3026000161480903E-2</c:v>
                </c:pt>
                <c:pt idx="18">
                  <c:v>2.2577128475845559E-2</c:v>
                </c:pt>
                <c:pt idx="19">
                  <c:v>2.2682042389874025E-2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AA_amphi_den!$B$21:$U$21</c:f>
              <c:numCache>
                <c:formatCode>General</c:formatCode>
                <c:ptCount val="20"/>
                <c:pt idx="0">
                  <c:v>1.5782849671716455E-2</c:v>
                </c:pt>
                <c:pt idx="1">
                  <c:v>1.758262208702226E-2</c:v>
                </c:pt>
                <c:pt idx="2">
                  <c:v>1.9115988852223154E-2</c:v>
                </c:pt>
                <c:pt idx="3">
                  <c:v>1.9384714718170392E-2</c:v>
                </c:pt>
                <c:pt idx="4">
                  <c:v>1.9810261252952988E-2</c:v>
                </c:pt>
                <c:pt idx="5">
                  <c:v>1.9854614380240325E-2</c:v>
                </c:pt>
                <c:pt idx="6">
                  <c:v>2.0283844787829512E-2</c:v>
                </c:pt>
                <c:pt idx="7">
                  <c:v>2.0254742564268055E-2</c:v>
                </c:pt>
                <c:pt idx="8">
                  <c:v>2.0624364671625029E-2</c:v>
                </c:pt>
                <c:pt idx="9">
                  <c:v>2.0144756641849511E-2</c:v>
                </c:pt>
                <c:pt idx="10">
                  <c:v>2.1715786309255091E-2</c:v>
                </c:pt>
                <c:pt idx="11">
                  <c:v>2.1945523498789466E-2</c:v>
                </c:pt>
                <c:pt idx="12">
                  <c:v>2.190166713660173E-2</c:v>
                </c:pt>
                <c:pt idx="13">
                  <c:v>2.1779142506128595E-2</c:v>
                </c:pt>
                <c:pt idx="14">
                  <c:v>2.1920439202359084E-2</c:v>
                </c:pt>
                <c:pt idx="15">
                  <c:v>2.1975126400058467E-2</c:v>
                </c:pt>
                <c:pt idx="16">
                  <c:v>2.1368225084693819E-2</c:v>
                </c:pt>
                <c:pt idx="17">
                  <c:v>2.1638141022541347E-2</c:v>
                </c:pt>
                <c:pt idx="18">
                  <c:v>2.1566255102704664E-2</c:v>
                </c:pt>
                <c:pt idx="19">
                  <c:v>2.1317605901316025E-2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AA_amphi_den!$B$37:$U$37</c:f>
              <c:numCache>
                <c:formatCode>General</c:formatCode>
                <c:ptCount val="20"/>
                <c:pt idx="0">
                  <c:v>1.3133414213926777E-2</c:v>
                </c:pt>
                <c:pt idx="1">
                  <c:v>1.3727746526543081E-2</c:v>
                </c:pt>
                <c:pt idx="2">
                  <c:v>1.3807706323077476E-2</c:v>
                </c:pt>
                <c:pt idx="3">
                  <c:v>1.3553927372201621E-2</c:v>
                </c:pt>
                <c:pt idx="4">
                  <c:v>1.3615536468899715E-2</c:v>
                </c:pt>
                <c:pt idx="5">
                  <c:v>1.3605034103315984E-2</c:v>
                </c:pt>
                <c:pt idx="6">
                  <c:v>1.3673420186155496E-2</c:v>
                </c:pt>
                <c:pt idx="7">
                  <c:v>1.3545446374730033E-2</c:v>
                </c:pt>
                <c:pt idx="8">
                  <c:v>1.3674148299105788E-2</c:v>
                </c:pt>
                <c:pt idx="9">
                  <c:v>1.3454204877694444E-2</c:v>
                </c:pt>
                <c:pt idx="10">
                  <c:v>1.4758391314215812E-2</c:v>
                </c:pt>
                <c:pt idx="11">
                  <c:v>1.4825676595388441E-2</c:v>
                </c:pt>
                <c:pt idx="12">
                  <c:v>1.4757540120906363E-2</c:v>
                </c:pt>
                <c:pt idx="13">
                  <c:v>1.4526592554564517E-2</c:v>
                </c:pt>
                <c:pt idx="14">
                  <c:v>1.4479756896833439E-2</c:v>
                </c:pt>
                <c:pt idx="15">
                  <c:v>1.437552450790637E-2</c:v>
                </c:pt>
                <c:pt idx="16">
                  <c:v>1.4054740010347377E-2</c:v>
                </c:pt>
                <c:pt idx="17">
                  <c:v>1.4239668816791253E-2</c:v>
                </c:pt>
                <c:pt idx="18">
                  <c:v>1.4321664999828534E-2</c:v>
                </c:pt>
                <c:pt idx="19">
                  <c:v>1.4290122744776267E-2</c:v>
                </c:pt>
              </c:numCache>
            </c:numRef>
          </c:yVal>
          <c:smooth val="1"/>
        </c:ser>
        <c:axId val="89632768"/>
        <c:axId val="89634688"/>
      </c:scatterChart>
      <c:valAx>
        <c:axId val="8963276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34688"/>
        <c:crosses val="autoZero"/>
        <c:crossBetween val="midCat"/>
      </c:valAx>
      <c:valAx>
        <c:axId val="89634688"/>
        <c:scaling>
          <c:orientation val="minMax"/>
        </c:scaling>
        <c:axPos val="l"/>
        <c:numFmt formatCode="General" sourceLinked="1"/>
        <c:tickLblPos val="nextTo"/>
        <c:crossAx val="896327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143718446803648E-2"/>
          <c:y val="3.5442999792623685E-2"/>
          <c:w val="0.63373436104128134"/>
          <c:h val="0.88458364492147978"/>
        </c:manualLayout>
      </c:layout>
      <c:scatterChart>
        <c:scatterStyle val="smoothMarker"/>
        <c:ser>
          <c:idx val="0"/>
          <c:order val="0"/>
          <c:tx>
            <c:strRef>
              <c:f>AA_amphi_den!$A$3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AA_amphi_den!$B$3:$U$3</c:f>
              <c:numCache>
                <c:formatCode>General</c:formatCode>
                <c:ptCount val="20"/>
                <c:pt idx="0">
                  <c:v>1.6147538540846381E-2</c:v>
                </c:pt>
                <c:pt idx="1">
                  <c:v>1.7135345705141039E-2</c:v>
                </c:pt>
                <c:pt idx="2">
                  <c:v>1.7809952386206158E-2</c:v>
                </c:pt>
                <c:pt idx="3">
                  <c:v>1.8034370776965954E-2</c:v>
                </c:pt>
                <c:pt idx="4">
                  <c:v>1.8461662354251451E-2</c:v>
                </c:pt>
                <c:pt idx="5">
                  <c:v>1.895887544755093E-2</c:v>
                </c:pt>
                <c:pt idx="6">
                  <c:v>1.924840688657373E-2</c:v>
                </c:pt>
                <c:pt idx="7">
                  <c:v>2.0023748482332078E-2</c:v>
                </c:pt>
                <c:pt idx="8">
                  <c:v>2.0245529720296442E-2</c:v>
                </c:pt>
                <c:pt idx="9">
                  <c:v>1.9899664027978024E-2</c:v>
                </c:pt>
                <c:pt idx="10">
                  <c:v>2.1791672474104053E-2</c:v>
                </c:pt>
                <c:pt idx="11">
                  <c:v>2.1971703983817183E-2</c:v>
                </c:pt>
                <c:pt idx="12">
                  <c:v>2.2117417781990851E-2</c:v>
                </c:pt>
                <c:pt idx="13">
                  <c:v>2.2112712393983009E-2</c:v>
                </c:pt>
                <c:pt idx="14">
                  <c:v>2.2116346923903869E-2</c:v>
                </c:pt>
                <c:pt idx="15">
                  <c:v>2.2576362486612656E-2</c:v>
                </c:pt>
                <c:pt idx="16">
                  <c:v>2.2059255907599329E-2</c:v>
                </c:pt>
                <c:pt idx="17">
                  <c:v>2.3026000161480903E-2</c:v>
                </c:pt>
                <c:pt idx="18">
                  <c:v>2.2577128475845559E-2</c:v>
                </c:pt>
                <c:pt idx="19">
                  <c:v>2.2682042389874025E-2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AA_amphi_den!$A$4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AA_amphi_den!$B$4:$U$4</c:f>
              <c:numCache>
                <c:formatCode>General</c:formatCode>
                <c:ptCount val="20"/>
                <c:pt idx="0">
                  <c:v>1.467572726480792E-2</c:v>
                </c:pt>
                <c:pt idx="1">
                  <c:v>1.5893851877327923E-2</c:v>
                </c:pt>
                <c:pt idx="2">
                  <c:v>1.6828242345031195E-2</c:v>
                </c:pt>
                <c:pt idx="3">
                  <c:v>1.7088414461251467E-2</c:v>
                </c:pt>
                <c:pt idx="4">
                  <c:v>1.6989973701898128E-2</c:v>
                </c:pt>
                <c:pt idx="5">
                  <c:v>1.6984191926635851E-2</c:v>
                </c:pt>
                <c:pt idx="6">
                  <c:v>1.7206259861021169E-2</c:v>
                </c:pt>
                <c:pt idx="7">
                  <c:v>1.7320305052731688E-2</c:v>
                </c:pt>
                <c:pt idx="8">
                  <c:v>1.761551173535485E-2</c:v>
                </c:pt>
                <c:pt idx="9">
                  <c:v>1.7233369513193226E-2</c:v>
                </c:pt>
                <c:pt idx="10">
                  <c:v>1.8376754601115538E-2</c:v>
                </c:pt>
                <c:pt idx="11">
                  <c:v>1.8443133618298021E-2</c:v>
                </c:pt>
                <c:pt idx="12">
                  <c:v>1.844972259215533E-2</c:v>
                </c:pt>
                <c:pt idx="13">
                  <c:v>1.8121376561606742E-2</c:v>
                </c:pt>
                <c:pt idx="14">
                  <c:v>1.8258784869078216E-2</c:v>
                </c:pt>
                <c:pt idx="15">
                  <c:v>1.8645880336021572E-2</c:v>
                </c:pt>
                <c:pt idx="16">
                  <c:v>1.8498568231996967E-2</c:v>
                </c:pt>
                <c:pt idx="17">
                  <c:v>1.8491129005549691E-2</c:v>
                </c:pt>
                <c:pt idx="18">
                  <c:v>1.8393809749218386E-2</c:v>
                </c:pt>
                <c:pt idx="19">
                  <c:v>1.8459507121940222E-2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AA_amphi_den!$A$5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AA_amphi_den!$B$5:$U$5</c:f>
              <c:numCache>
                <c:formatCode>General</c:formatCode>
                <c:ptCount val="20"/>
                <c:pt idx="0">
                  <c:v>1.827290434968722E-2</c:v>
                </c:pt>
                <c:pt idx="1">
                  <c:v>2.0413850678832789E-2</c:v>
                </c:pt>
                <c:pt idx="2">
                  <c:v>2.1398430618364515E-2</c:v>
                </c:pt>
                <c:pt idx="3">
                  <c:v>2.1816281345087746E-2</c:v>
                </c:pt>
                <c:pt idx="4">
                  <c:v>2.2295947527420187E-2</c:v>
                </c:pt>
                <c:pt idx="5">
                  <c:v>2.2541554008373526E-2</c:v>
                </c:pt>
                <c:pt idx="6">
                  <c:v>2.2945890312082853E-2</c:v>
                </c:pt>
                <c:pt idx="7">
                  <c:v>2.3442053106919058E-2</c:v>
                </c:pt>
                <c:pt idx="8">
                  <c:v>2.3864367280584067E-2</c:v>
                </c:pt>
                <c:pt idx="9">
                  <c:v>2.3590909643931689E-2</c:v>
                </c:pt>
                <c:pt idx="10">
                  <c:v>2.5546630031269835E-2</c:v>
                </c:pt>
                <c:pt idx="11">
                  <c:v>2.5764701101323756E-2</c:v>
                </c:pt>
                <c:pt idx="12">
                  <c:v>2.598547701380528E-2</c:v>
                </c:pt>
                <c:pt idx="13">
                  <c:v>2.6005817293120945E-2</c:v>
                </c:pt>
                <c:pt idx="14">
                  <c:v>2.6426815406571106E-2</c:v>
                </c:pt>
                <c:pt idx="15">
                  <c:v>2.6862441636671872E-2</c:v>
                </c:pt>
                <c:pt idx="16">
                  <c:v>2.5919626547433725E-2</c:v>
                </c:pt>
                <c:pt idx="17">
                  <c:v>2.6316212340045154E-2</c:v>
                </c:pt>
                <c:pt idx="18">
                  <c:v>2.610274403295126E-2</c:v>
                </c:pt>
                <c:pt idx="19">
                  <c:v>2.6099447836695936E-2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AA_amphi_den!$A$6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AA_amphi_den!$B$6:$U$6</c:f>
              <c:numCache>
                <c:formatCode>General</c:formatCode>
                <c:ptCount val="20"/>
                <c:pt idx="0">
                  <c:v>1.1705576071975188E-2</c:v>
                </c:pt>
                <c:pt idx="1">
                  <c:v>1.4386184636789961E-2</c:v>
                </c:pt>
                <c:pt idx="2">
                  <c:v>1.4231088138645844E-2</c:v>
                </c:pt>
                <c:pt idx="3">
                  <c:v>1.4690399029500109E-2</c:v>
                </c:pt>
                <c:pt idx="4">
                  <c:v>1.4944965069275609E-2</c:v>
                </c:pt>
                <c:pt idx="5">
                  <c:v>1.4977766089722528E-2</c:v>
                </c:pt>
                <c:pt idx="6">
                  <c:v>1.4961889730453204E-2</c:v>
                </c:pt>
                <c:pt idx="7">
                  <c:v>1.485174807328141E-2</c:v>
                </c:pt>
                <c:pt idx="8">
                  <c:v>1.5484404037692976E-2</c:v>
                </c:pt>
                <c:pt idx="9">
                  <c:v>1.5366334317412609E-2</c:v>
                </c:pt>
                <c:pt idx="10">
                  <c:v>1.6822575898430239E-2</c:v>
                </c:pt>
                <c:pt idx="11">
                  <c:v>1.7031046852952838E-2</c:v>
                </c:pt>
                <c:pt idx="12">
                  <c:v>1.6831904528992733E-2</c:v>
                </c:pt>
                <c:pt idx="13">
                  <c:v>1.660571427252391E-2</c:v>
                </c:pt>
                <c:pt idx="14">
                  <c:v>1.6643055203801289E-2</c:v>
                </c:pt>
                <c:pt idx="15">
                  <c:v>1.6446877942346168E-2</c:v>
                </c:pt>
                <c:pt idx="16">
                  <c:v>1.6480416519277084E-2</c:v>
                </c:pt>
                <c:pt idx="17">
                  <c:v>1.6597346460416443E-2</c:v>
                </c:pt>
                <c:pt idx="18">
                  <c:v>1.6783578688902807E-2</c:v>
                </c:pt>
                <c:pt idx="19">
                  <c:v>1.6919506997246658E-2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AA_amphi_den!$A$7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AA_amphi_den!$B$7:$U$7</c:f>
              <c:numCache>
                <c:formatCode>General</c:formatCode>
                <c:ptCount val="20"/>
                <c:pt idx="0">
                  <c:v>1.2803826102329597E-2</c:v>
                </c:pt>
                <c:pt idx="1">
                  <c:v>1.5356328034361651E-2</c:v>
                </c:pt>
                <c:pt idx="2">
                  <c:v>1.55980532014388E-2</c:v>
                </c:pt>
                <c:pt idx="3">
                  <c:v>1.5895297124675745E-2</c:v>
                </c:pt>
                <c:pt idx="4">
                  <c:v>1.6405992490533688E-2</c:v>
                </c:pt>
                <c:pt idx="5">
                  <c:v>1.6246658104786368E-2</c:v>
                </c:pt>
                <c:pt idx="6">
                  <c:v>1.6236810011872795E-2</c:v>
                </c:pt>
                <c:pt idx="7">
                  <c:v>1.6454197083738478E-2</c:v>
                </c:pt>
                <c:pt idx="8">
                  <c:v>1.7062824092652085E-2</c:v>
                </c:pt>
                <c:pt idx="9">
                  <c:v>1.7135492743035222E-2</c:v>
                </c:pt>
                <c:pt idx="10">
                  <c:v>1.8854859077073755E-2</c:v>
                </c:pt>
                <c:pt idx="11">
                  <c:v>1.9336501151019623E-2</c:v>
                </c:pt>
                <c:pt idx="12">
                  <c:v>1.9478400555234712E-2</c:v>
                </c:pt>
                <c:pt idx="13">
                  <c:v>1.9099874572378262E-2</c:v>
                </c:pt>
                <c:pt idx="14">
                  <c:v>1.8803179105063621E-2</c:v>
                </c:pt>
                <c:pt idx="15">
                  <c:v>1.8765216610308416E-2</c:v>
                </c:pt>
                <c:pt idx="16">
                  <c:v>1.8872716157232662E-2</c:v>
                </c:pt>
                <c:pt idx="17">
                  <c:v>1.9037325639113475E-2</c:v>
                </c:pt>
                <c:pt idx="18">
                  <c:v>1.8980459274937158E-2</c:v>
                </c:pt>
                <c:pt idx="19">
                  <c:v>1.8974349029140154E-2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AA_amphi_den!$A$8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AA_amphi_den!$B$8:$U$8</c:f>
              <c:numCache>
                <c:formatCode>General</c:formatCode>
                <c:ptCount val="20"/>
                <c:pt idx="0">
                  <c:v>1.2470104230578831E-2</c:v>
                </c:pt>
                <c:pt idx="1">
                  <c:v>1.5025701077533119E-2</c:v>
                </c:pt>
                <c:pt idx="2">
                  <c:v>1.5254388302688188E-2</c:v>
                </c:pt>
                <c:pt idx="3">
                  <c:v>1.532670989862025E-2</c:v>
                </c:pt>
                <c:pt idx="4">
                  <c:v>1.5645027390188165E-2</c:v>
                </c:pt>
                <c:pt idx="5">
                  <c:v>1.5652847018741478E-2</c:v>
                </c:pt>
                <c:pt idx="6">
                  <c:v>1.5497934862837584E-2</c:v>
                </c:pt>
                <c:pt idx="7">
                  <c:v>1.525367501094684E-2</c:v>
                </c:pt>
                <c:pt idx="8">
                  <c:v>1.5755998038342146E-2</c:v>
                </c:pt>
                <c:pt idx="9">
                  <c:v>1.5963510294813781E-2</c:v>
                </c:pt>
                <c:pt idx="10">
                  <c:v>1.7833159166378593E-2</c:v>
                </c:pt>
                <c:pt idx="11">
                  <c:v>1.7762590419760332E-2</c:v>
                </c:pt>
                <c:pt idx="12">
                  <c:v>1.7515612472696528E-2</c:v>
                </c:pt>
                <c:pt idx="13">
                  <c:v>1.7279938196164839E-2</c:v>
                </c:pt>
                <c:pt idx="14">
                  <c:v>1.6896227587434583E-2</c:v>
                </c:pt>
                <c:pt idx="15">
                  <c:v>1.7022674503256618E-2</c:v>
                </c:pt>
                <c:pt idx="16">
                  <c:v>1.6973722801792598E-2</c:v>
                </c:pt>
                <c:pt idx="17">
                  <c:v>1.6810784284774297E-2</c:v>
                </c:pt>
                <c:pt idx="18">
                  <c:v>1.6961880160645336E-2</c:v>
                </c:pt>
                <c:pt idx="19">
                  <c:v>1.6981137747056674E-2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AA_amphi_den!$A$9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AA_amphi_den!$B$9:$U$9</c:f>
              <c:numCache>
                <c:formatCode>General</c:formatCode>
                <c:ptCount val="20"/>
                <c:pt idx="0">
                  <c:v>1.2539364484571084E-2</c:v>
                </c:pt>
                <c:pt idx="1">
                  <c:v>1.5187874508259347E-2</c:v>
                </c:pt>
                <c:pt idx="2">
                  <c:v>1.5656418105746087E-2</c:v>
                </c:pt>
                <c:pt idx="3">
                  <c:v>1.573770852412994E-2</c:v>
                </c:pt>
                <c:pt idx="4">
                  <c:v>1.5896047010918915E-2</c:v>
                </c:pt>
                <c:pt idx="5">
                  <c:v>1.5799420793323166E-2</c:v>
                </c:pt>
                <c:pt idx="6">
                  <c:v>1.5876250100186125E-2</c:v>
                </c:pt>
                <c:pt idx="7">
                  <c:v>1.5716409693045011E-2</c:v>
                </c:pt>
                <c:pt idx="8">
                  <c:v>1.6112414465104693E-2</c:v>
                </c:pt>
                <c:pt idx="9">
                  <c:v>1.5849332787000046E-2</c:v>
                </c:pt>
                <c:pt idx="10">
                  <c:v>1.7355090454083111E-2</c:v>
                </c:pt>
                <c:pt idx="11">
                  <c:v>1.777133434639603E-2</c:v>
                </c:pt>
                <c:pt idx="12">
                  <c:v>1.7511684579486118E-2</c:v>
                </c:pt>
                <c:pt idx="13">
                  <c:v>1.6889259330717544E-2</c:v>
                </c:pt>
                <c:pt idx="14">
                  <c:v>1.6830133813911928E-2</c:v>
                </c:pt>
                <c:pt idx="15">
                  <c:v>1.6602318419080338E-2</c:v>
                </c:pt>
                <c:pt idx="16">
                  <c:v>1.6517183376076799E-2</c:v>
                </c:pt>
                <c:pt idx="17">
                  <c:v>1.655876893586538E-2</c:v>
                </c:pt>
                <c:pt idx="18">
                  <c:v>1.6490752122173491E-2</c:v>
                </c:pt>
                <c:pt idx="19">
                  <c:v>1.6423539254325766E-2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AA_amphi_den!$A$10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AA_amphi_den!$B$10:$U$10</c:f>
              <c:numCache>
                <c:formatCode>General</c:formatCode>
                <c:ptCount val="20"/>
                <c:pt idx="0">
                  <c:v>1.360786656759916E-2</c:v>
                </c:pt>
                <c:pt idx="1">
                  <c:v>1.6289776306246544E-2</c:v>
                </c:pt>
                <c:pt idx="2">
                  <c:v>1.6732857999699657E-2</c:v>
                </c:pt>
                <c:pt idx="3">
                  <c:v>1.7455681375588991E-2</c:v>
                </c:pt>
                <c:pt idx="4">
                  <c:v>1.7932683864159964E-2</c:v>
                </c:pt>
                <c:pt idx="5">
                  <c:v>1.829920951782793E-2</c:v>
                </c:pt>
                <c:pt idx="6">
                  <c:v>1.8745187531612226E-2</c:v>
                </c:pt>
                <c:pt idx="7">
                  <c:v>1.8711020709188696E-2</c:v>
                </c:pt>
                <c:pt idx="8">
                  <c:v>1.929876774712028E-2</c:v>
                </c:pt>
                <c:pt idx="9">
                  <c:v>1.9432296655840682E-2</c:v>
                </c:pt>
                <c:pt idx="10">
                  <c:v>2.1574636037395577E-2</c:v>
                </c:pt>
                <c:pt idx="11">
                  <c:v>2.1584621049059997E-2</c:v>
                </c:pt>
                <c:pt idx="12">
                  <c:v>2.1524695951686344E-2</c:v>
                </c:pt>
                <c:pt idx="13">
                  <c:v>2.0940509404582808E-2</c:v>
                </c:pt>
                <c:pt idx="14">
                  <c:v>2.1291117883122948E-2</c:v>
                </c:pt>
                <c:pt idx="15">
                  <c:v>2.1258703277733153E-2</c:v>
                </c:pt>
                <c:pt idx="16">
                  <c:v>2.0640025264210896E-2</c:v>
                </c:pt>
                <c:pt idx="17">
                  <c:v>2.1048485783754907E-2</c:v>
                </c:pt>
                <c:pt idx="18">
                  <c:v>2.0896237007738166E-2</c:v>
                </c:pt>
                <c:pt idx="19">
                  <c:v>2.1613242487255945E-2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AA_amphi_den!$A$11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AA_amphi_den!$B$11:$U$11</c:f>
              <c:numCache>
                <c:formatCode>General</c:formatCode>
                <c:ptCount val="20"/>
                <c:pt idx="0">
                  <c:v>1.3418013268905774E-2</c:v>
                </c:pt>
                <c:pt idx="1">
                  <c:v>1.6170498956790815E-2</c:v>
                </c:pt>
                <c:pt idx="2">
                  <c:v>1.6758212922839345E-2</c:v>
                </c:pt>
                <c:pt idx="3">
                  <c:v>1.7246862825790264E-2</c:v>
                </c:pt>
                <c:pt idx="4">
                  <c:v>1.7729463924174578E-2</c:v>
                </c:pt>
                <c:pt idx="5">
                  <c:v>1.8265950949585566E-2</c:v>
                </c:pt>
                <c:pt idx="6">
                  <c:v>1.8781739062418999E-2</c:v>
                </c:pt>
                <c:pt idx="7">
                  <c:v>1.8745655771342438E-2</c:v>
                </c:pt>
                <c:pt idx="8">
                  <c:v>1.9188730287669441E-2</c:v>
                </c:pt>
                <c:pt idx="9">
                  <c:v>1.8882278056712502E-2</c:v>
                </c:pt>
                <c:pt idx="10">
                  <c:v>2.1682982266544974E-2</c:v>
                </c:pt>
                <c:pt idx="11">
                  <c:v>2.2151097559438841E-2</c:v>
                </c:pt>
                <c:pt idx="12">
                  <c:v>2.2322497124249299E-2</c:v>
                </c:pt>
                <c:pt idx="13">
                  <c:v>2.213093152201526E-2</c:v>
                </c:pt>
                <c:pt idx="14">
                  <c:v>2.2232560229044681E-2</c:v>
                </c:pt>
                <c:pt idx="15">
                  <c:v>2.1986088662817631E-2</c:v>
                </c:pt>
                <c:pt idx="16">
                  <c:v>2.1646151915592337E-2</c:v>
                </c:pt>
                <c:pt idx="17">
                  <c:v>2.1913682002554946E-2</c:v>
                </c:pt>
                <c:pt idx="18">
                  <c:v>2.2284039749473575E-2</c:v>
                </c:pt>
                <c:pt idx="19">
                  <c:v>2.2156139619827483E-2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AA_amphi_den!$A$12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AA_amphi_den!$B$12:$U$12</c:f>
              <c:numCache>
                <c:formatCode>General</c:formatCode>
                <c:ptCount val="20"/>
                <c:pt idx="0">
                  <c:v>1.391778207698301E-2</c:v>
                </c:pt>
                <c:pt idx="1">
                  <c:v>1.5323721611453209E-2</c:v>
                </c:pt>
                <c:pt idx="2">
                  <c:v>1.5763349553113239E-2</c:v>
                </c:pt>
                <c:pt idx="3">
                  <c:v>1.5570872756729214E-2</c:v>
                </c:pt>
                <c:pt idx="4">
                  <c:v>1.5364514790123912E-2</c:v>
                </c:pt>
                <c:pt idx="5">
                  <c:v>1.5881640148011102E-2</c:v>
                </c:pt>
                <c:pt idx="6">
                  <c:v>1.5962408324160661E-2</c:v>
                </c:pt>
                <c:pt idx="7">
                  <c:v>1.5742138089746366E-2</c:v>
                </c:pt>
                <c:pt idx="8">
                  <c:v>1.5860266485301189E-2</c:v>
                </c:pt>
                <c:pt idx="9">
                  <c:v>1.5661628292021609E-2</c:v>
                </c:pt>
                <c:pt idx="10">
                  <c:v>1.698922204219876E-2</c:v>
                </c:pt>
                <c:pt idx="11">
                  <c:v>1.7596035089571159E-2</c:v>
                </c:pt>
                <c:pt idx="12">
                  <c:v>1.7184497819001242E-2</c:v>
                </c:pt>
                <c:pt idx="13">
                  <c:v>1.6992478847914591E-2</c:v>
                </c:pt>
                <c:pt idx="14">
                  <c:v>1.7170898304695439E-2</c:v>
                </c:pt>
                <c:pt idx="15">
                  <c:v>1.7137513024644505E-2</c:v>
                </c:pt>
                <c:pt idx="16">
                  <c:v>1.6448556926648598E-2</c:v>
                </c:pt>
                <c:pt idx="17">
                  <c:v>1.7086158153733214E-2</c:v>
                </c:pt>
                <c:pt idx="18">
                  <c:v>1.7070020267358228E-2</c:v>
                </c:pt>
                <c:pt idx="19">
                  <c:v>1.7125777897688918E-2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AA_amphi_den!$A$13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AA_amphi_den!$B$13:$U$13</c:f>
              <c:numCache>
                <c:formatCode>General</c:formatCode>
                <c:ptCount val="20"/>
                <c:pt idx="0">
                  <c:v>1.3687653162380161E-2</c:v>
                </c:pt>
                <c:pt idx="1">
                  <c:v>1.5347078260978612E-2</c:v>
                </c:pt>
                <c:pt idx="2">
                  <c:v>1.5437256980087364E-2</c:v>
                </c:pt>
                <c:pt idx="3">
                  <c:v>1.5498319429520577E-2</c:v>
                </c:pt>
                <c:pt idx="4">
                  <c:v>1.5774941908150167E-2</c:v>
                </c:pt>
                <c:pt idx="5">
                  <c:v>1.5550329875291657E-2</c:v>
                </c:pt>
                <c:pt idx="6">
                  <c:v>1.5783662394175803E-2</c:v>
                </c:pt>
                <c:pt idx="7">
                  <c:v>1.560416164833844E-2</c:v>
                </c:pt>
                <c:pt idx="8">
                  <c:v>1.5692088411771173E-2</c:v>
                </c:pt>
                <c:pt idx="9">
                  <c:v>1.5608839688386424E-2</c:v>
                </c:pt>
                <c:pt idx="10">
                  <c:v>1.6838828675518017E-2</c:v>
                </c:pt>
                <c:pt idx="11">
                  <c:v>1.7008775026236718E-2</c:v>
                </c:pt>
                <c:pt idx="12">
                  <c:v>1.6868406835204807E-2</c:v>
                </c:pt>
                <c:pt idx="13">
                  <c:v>1.7007039666791408E-2</c:v>
                </c:pt>
                <c:pt idx="14">
                  <c:v>1.6593286046339903E-2</c:v>
                </c:pt>
                <c:pt idx="15">
                  <c:v>1.6871335452622555E-2</c:v>
                </c:pt>
                <c:pt idx="16">
                  <c:v>1.6086967469084765E-2</c:v>
                </c:pt>
                <c:pt idx="17">
                  <c:v>1.6271555818595365E-2</c:v>
                </c:pt>
                <c:pt idx="18">
                  <c:v>1.6582722008089436E-2</c:v>
                </c:pt>
                <c:pt idx="19">
                  <c:v>1.6545082378129121E-2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AA_amphi_den!$A$14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AA_amphi_den!$B$14:$U$14</c:f>
              <c:numCache>
                <c:formatCode>General</c:formatCode>
                <c:ptCount val="20"/>
                <c:pt idx="0">
                  <c:v>1.4190089864408633E-2</c:v>
                </c:pt>
                <c:pt idx="1">
                  <c:v>1.5893619448757432E-2</c:v>
                </c:pt>
                <c:pt idx="2">
                  <c:v>1.6094201792198979E-2</c:v>
                </c:pt>
                <c:pt idx="3">
                  <c:v>1.6320167302124759E-2</c:v>
                </c:pt>
                <c:pt idx="4">
                  <c:v>1.6552849257330315E-2</c:v>
                </c:pt>
                <c:pt idx="5">
                  <c:v>1.6556043785170629E-2</c:v>
                </c:pt>
                <c:pt idx="6">
                  <c:v>1.6727632417263664E-2</c:v>
                </c:pt>
                <c:pt idx="7">
                  <c:v>1.6711379822360053E-2</c:v>
                </c:pt>
                <c:pt idx="8">
                  <c:v>1.6751632088601535E-2</c:v>
                </c:pt>
                <c:pt idx="9">
                  <c:v>1.6479953567782528E-2</c:v>
                </c:pt>
                <c:pt idx="10">
                  <c:v>1.8108710660139162E-2</c:v>
                </c:pt>
                <c:pt idx="11">
                  <c:v>1.858248664569076E-2</c:v>
                </c:pt>
                <c:pt idx="12">
                  <c:v>1.8547763183938158E-2</c:v>
                </c:pt>
                <c:pt idx="13">
                  <c:v>1.876138893565037E-2</c:v>
                </c:pt>
                <c:pt idx="14">
                  <c:v>1.9277015250107936E-2</c:v>
                </c:pt>
                <c:pt idx="15">
                  <c:v>1.9271872909890034E-2</c:v>
                </c:pt>
                <c:pt idx="16">
                  <c:v>1.8452967399439482E-2</c:v>
                </c:pt>
                <c:pt idx="17">
                  <c:v>1.8562191214230507E-2</c:v>
                </c:pt>
                <c:pt idx="18">
                  <c:v>1.8409623528493839E-2</c:v>
                </c:pt>
                <c:pt idx="19">
                  <c:v>1.8652918600089944E-2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AA_amphi_den!$A$15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AA_amphi_den!$B$15:$U$15</c:f>
              <c:numCache>
                <c:formatCode>General</c:formatCode>
                <c:ptCount val="20"/>
                <c:pt idx="0">
                  <c:v>1.4581140018467801E-2</c:v>
                </c:pt>
                <c:pt idx="1">
                  <c:v>1.5318817688051203E-2</c:v>
                </c:pt>
                <c:pt idx="2">
                  <c:v>1.5423564153703421E-2</c:v>
                </c:pt>
                <c:pt idx="3">
                  <c:v>1.5002245897742338E-2</c:v>
                </c:pt>
                <c:pt idx="4">
                  <c:v>1.4813057138227047E-2</c:v>
                </c:pt>
                <c:pt idx="5">
                  <c:v>1.46772359994329E-2</c:v>
                </c:pt>
                <c:pt idx="6">
                  <c:v>1.4730704626183937E-2</c:v>
                </c:pt>
                <c:pt idx="7">
                  <c:v>1.4761714856356269E-2</c:v>
                </c:pt>
                <c:pt idx="8">
                  <c:v>1.4967888159035587E-2</c:v>
                </c:pt>
                <c:pt idx="9">
                  <c:v>1.4762777631224301E-2</c:v>
                </c:pt>
                <c:pt idx="10">
                  <c:v>1.6233220111630593E-2</c:v>
                </c:pt>
                <c:pt idx="11">
                  <c:v>1.6639171773217772E-2</c:v>
                </c:pt>
                <c:pt idx="12">
                  <c:v>1.6712211070013434E-2</c:v>
                </c:pt>
                <c:pt idx="13">
                  <c:v>1.6498486050763976E-2</c:v>
                </c:pt>
                <c:pt idx="14">
                  <c:v>1.7140441840972496E-2</c:v>
                </c:pt>
                <c:pt idx="15">
                  <c:v>1.7230039110144101E-2</c:v>
                </c:pt>
                <c:pt idx="16">
                  <c:v>1.6682733383039612E-2</c:v>
                </c:pt>
                <c:pt idx="17">
                  <c:v>1.6783978696097414E-2</c:v>
                </c:pt>
                <c:pt idx="18">
                  <c:v>1.6562112190797947E-2</c:v>
                </c:pt>
                <c:pt idx="19">
                  <c:v>1.6387022012861383E-2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AA_amphi_den!$A$16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AA_amphi_den!$B$16:$U$16</c:f>
              <c:numCache>
                <c:formatCode>General</c:formatCode>
                <c:ptCount val="20"/>
                <c:pt idx="0">
                  <c:v>1.358733678303619E-2</c:v>
                </c:pt>
                <c:pt idx="1">
                  <c:v>1.7073024467757679E-2</c:v>
                </c:pt>
                <c:pt idx="2">
                  <c:v>1.8809631741874236E-2</c:v>
                </c:pt>
                <c:pt idx="3">
                  <c:v>1.9261358397485617E-2</c:v>
                </c:pt>
                <c:pt idx="4">
                  <c:v>1.9656777490465623E-2</c:v>
                </c:pt>
                <c:pt idx="5">
                  <c:v>1.9914195955399158E-2</c:v>
                </c:pt>
                <c:pt idx="6">
                  <c:v>2.0561522668947816E-2</c:v>
                </c:pt>
                <c:pt idx="7">
                  <c:v>2.0730177805921398E-2</c:v>
                </c:pt>
                <c:pt idx="8">
                  <c:v>2.104632097751168E-2</c:v>
                </c:pt>
                <c:pt idx="9">
                  <c:v>2.0502585259304339E-2</c:v>
                </c:pt>
                <c:pt idx="10">
                  <c:v>2.2562888459618818E-2</c:v>
                </c:pt>
                <c:pt idx="11">
                  <c:v>2.296135635335364E-2</c:v>
                </c:pt>
                <c:pt idx="12">
                  <c:v>2.2905555871766448E-2</c:v>
                </c:pt>
                <c:pt idx="13">
                  <c:v>2.2526462294373061E-2</c:v>
                </c:pt>
                <c:pt idx="14">
                  <c:v>2.2935474654833872E-2</c:v>
                </c:pt>
                <c:pt idx="15">
                  <c:v>2.3192338935583499E-2</c:v>
                </c:pt>
                <c:pt idx="16">
                  <c:v>2.2775519567722592E-2</c:v>
                </c:pt>
                <c:pt idx="17">
                  <c:v>2.2888292388809794E-2</c:v>
                </c:pt>
                <c:pt idx="18">
                  <c:v>2.2950990140334419E-2</c:v>
                </c:pt>
                <c:pt idx="19">
                  <c:v>2.3015052834589825E-2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AA_amphi_den!$A$17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AA_amphi_den!$B$17:$U$17</c:f>
              <c:numCache>
                <c:formatCode>General</c:formatCode>
                <c:ptCount val="20"/>
                <c:pt idx="0">
                  <c:v>1.33218314614552E-2</c:v>
                </c:pt>
                <c:pt idx="1">
                  <c:v>1.6959551991533695E-2</c:v>
                </c:pt>
                <c:pt idx="2">
                  <c:v>1.8783499935468562E-2</c:v>
                </c:pt>
                <c:pt idx="3">
                  <c:v>1.9276967194045043E-2</c:v>
                </c:pt>
                <c:pt idx="4">
                  <c:v>1.981311304663733E-2</c:v>
                </c:pt>
                <c:pt idx="5">
                  <c:v>2.0023967195447787E-2</c:v>
                </c:pt>
                <c:pt idx="6">
                  <c:v>2.0275705972939342E-2</c:v>
                </c:pt>
                <c:pt idx="7">
                  <c:v>2.0416227969821454E-2</c:v>
                </c:pt>
                <c:pt idx="8">
                  <c:v>2.1022943469137381E-2</c:v>
                </c:pt>
                <c:pt idx="9">
                  <c:v>2.0619757737538654E-2</c:v>
                </c:pt>
                <c:pt idx="10">
                  <c:v>2.2403364920083695E-2</c:v>
                </c:pt>
                <c:pt idx="11">
                  <c:v>2.2730426122549111E-2</c:v>
                </c:pt>
                <c:pt idx="12">
                  <c:v>2.2635302262249069E-2</c:v>
                </c:pt>
                <c:pt idx="13">
                  <c:v>2.2276545722881121E-2</c:v>
                </c:pt>
                <c:pt idx="14">
                  <c:v>2.2654622894724447E-2</c:v>
                </c:pt>
                <c:pt idx="15">
                  <c:v>2.2973858063356747E-2</c:v>
                </c:pt>
                <c:pt idx="16">
                  <c:v>2.2457098801751819E-2</c:v>
                </c:pt>
                <c:pt idx="17">
                  <c:v>2.2542689282829261E-2</c:v>
                </c:pt>
                <c:pt idx="18">
                  <c:v>2.2541587645321808E-2</c:v>
                </c:pt>
                <c:pt idx="19">
                  <c:v>2.2162848283492305E-2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AA_amphi_den!$A$18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AA_amphi_den!$B$18:$U$18</c:f>
              <c:numCache>
                <c:formatCode>General</c:formatCode>
                <c:ptCount val="20"/>
                <c:pt idx="0">
                  <c:v>1.3420526324292012E-2</c:v>
                </c:pt>
                <c:pt idx="1">
                  <c:v>1.6831732043749093E-2</c:v>
                </c:pt>
                <c:pt idx="2">
                  <c:v>1.8675851902667698E-2</c:v>
                </c:pt>
                <c:pt idx="3">
                  <c:v>1.9366353573171534E-2</c:v>
                </c:pt>
                <c:pt idx="4">
                  <c:v>1.9673764719686265E-2</c:v>
                </c:pt>
                <c:pt idx="5">
                  <c:v>1.9671664343930237E-2</c:v>
                </c:pt>
                <c:pt idx="6">
                  <c:v>2.0157234251843414E-2</c:v>
                </c:pt>
                <c:pt idx="7">
                  <c:v>2.0491915539662016E-2</c:v>
                </c:pt>
                <c:pt idx="8">
                  <c:v>2.0704204471124251E-2</c:v>
                </c:pt>
                <c:pt idx="9">
                  <c:v>2.0371866440534726E-2</c:v>
                </c:pt>
                <c:pt idx="10">
                  <c:v>2.226810782481119E-2</c:v>
                </c:pt>
                <c:pt idx="11">
                  <c:v>2.2393966861879715E-2</c:v>
                </c:pt>
                <c:pt idx="12">
                  <c:v>2.2464808827397601E-2</c:v>
                </c:pt>
                <c:pt idx="13">
                  <c:v>2.2325602136909477E-2</c:v>
                </c:pt>
                <c:pt idx="14">
                  <c:v>2.2391173604667389E-2</c:v>
                </c:pt>
                <c:pt idx="15">
                  <c:v>2.270966107178916E-2</c:v>
                </c:pt>
                <c:pt idx="16">
                  <c:v>2.2009816992633286E-2</c:v>
                </c:pt>
                <c:pt idx="17">
                  <c:v>2.2280340241651899E-2</c:v>
                </c:pt>
                <c:pt idx="18">
                  <c:v>2.2301599781983233E-2</c:v>
                </c:pt>
                <c:pt idx="19">
                  <c:v>2.2427294184965314E-2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AA_amphi_den!$A$19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AA_amphi_den!$B$19:$U$19</c:f>
              <c:numCache>
                <c:formatCode>General</c:formatCode>
                <c:ptCount val="20"/>
                <c:pt idx="0">
                  <c:v>1.5584844137642134E-2</c:v>
                </c:pt>
                <c:pt idx="1">
                  <c:v>1.7603844902076053E-2</c:v>
                </c:pt>
                <c:pt idx="2">
                  <c:v>1.8989584250707507E-2</c:v>
                </c:pt>
                <c:pt idx="3">
                  <c:v>1.9197258497236358E-2</c:v>
                </c:pt>
                <c:pt idx="4">
                  <c:v>1.9564564296272787E-2</c:v>
                </c:pt>
                <c:pt idx="5">
                  <c:v>1.9766843122999603E-2</c:v>
                </c:pt>
                <c:pt idx="6">
                  <c:v>2.0015417858036427E-2</c:v>
                </c:pt>
                <c:pt idx="7">
                  <c:v>2.0116475114645798E-2</c:v>
                </c:pt>
                <c:pt idx="8">
                  <c:v>2.0518112050216291E-2</c:v>
                </c:pt>
                <c:pt idx="9">
                  <c:v>2.0035841957391203E-2</c:v>
                </c:pt>
                <c:pt idx="10">
                  <c:v>2.1768824896801525E-2</c:v>
                </c:pt>
                <c:pt idx="11">
                  <c:v>2.216070870844386E-2</c:v>
                </c:pt>
                <c:pt idx="12">
                  <c:v>2.2127253471279782E-2</c:v>
                </c:pt>
                <c:pt idx="13">
                  <c:v>2.1960032940509099E-2</c:v>
                </c:pt>
                <c:pt idx="14">
                  <c:v>2.2079047146130227E-2</c:v>
                </c:pt>
                <c:pt idx="15">
                  <c:v>2.2461851170638966E-2</c:v>
                </c:pt>
                <c:pt idx="16">
                  <c:v>2.1858627185511598E-2</c:v>
                </c:pt>
                <c:pt idx="17">
                  <c:v>2.1917606948367387E-2</c:v>
                </c:pt>
                <c:pt idx="18">
                  <c:v>2.1996434754430128E-2</c:v>
                </c:pt>
                <c:pt idx="19">
                  <c:v>2.1826944715554127E-2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AA_amphi_den!$A$20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AA_amphi_den!$B$20:$U$20</c:f>
              <c:numCache>
                <c:formatCode>General</c:formatCode>
                <c:ptCount val="20"/>
                <c:pt idx="0">
                  <c:v>1.5907949431095161E-2</c:v>
                </c:pt>
                <c:pt idx="1">
                  <c:v>1.7748618605817994E-2</c:v>
                </c:pt>
                <c:pt idx="2">
                  <c:v>1.92611496863405E-2</c:v>
                </c:pt>
                <c:pt idx="3">
                  <c:v>1.945582569558519E-2</c:v>
                </c:pt>
                <c:pt idx="4">
                  <c:v>1.9798095294583838E-2</c:v>
                </c:pt>
                <c:pt idx="5">
                  <c:v>1.9998866455928719E-2</c:v>
                </c:pt>
                <c:pt idx="6">
                  <c:v>2.0298232113021383E-2</c:v>
                </c:pt>
                <c:pt idx="7">
                  <c:v>2.0345489474004073E-2</c:v>
                </c:pt>
                <c:pt idx="8">
                  <c:v>2.0705348151198212E-2</c:v>
                </c:pt>
                <c:pt idx="9">
                  <c:v>2.0438421926279274E-2</c:v>
                </c:pt>
                <c:pt idx="10">
                  <c:v>2.2092581718737372E-2</c:v>
                </c:pt>
                <c:pt idx="11">
                  <c:v>2.2073236419386182E-2</c:v>
                </c:pt>
                <c:pt idx="12">
                  <c:v>2.1875851273611233E-2</c:v>
                </c:pt>
                <c:pt idx="13">
                  <c:v>2.1655862851697856E-2</c:v>
                </c:pt>
                <c:pt idx="14">
                  <c:v>2.1872257525963355E-2</c:v>
                </c:pt>
                <c:pt idx="15">
                  <c:v>2.181960583212476E-2</c:v>
                </c:pt>
                <c:pt idx="16">
                  <c:v>2.1396265849122301E-2</c:v>
                </c:pt>
                <c:pt idx="17">
                  <c:v>2.1477961885741439E-2</c:v>
                </c:pt>
                <c:pt idx="18">
                  <c:v>2.12422292550664E-2</c:v>
                </c:pt>
                <c:pt idx="19">
                  <c:v>2.1211180997997178E-2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AA_amphi_den!$A$21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AA_amphi_den!$B$21:$U$21</c:f>
              <c:numCache>
                <c:formatCode>General</c:formatCode>
                <c:ptCount val="20"/>
                <c:pt idx="0">
                  <c:v>1.5782849671716455E-2</c:v>
                </c:pt>
                <c:pt idx="1">
                  <c:v>1.758262208702226E-2</c:v>
                </c:pt>
                <c:pt idx="2">
                  <c:v>1.9115988852223154E-2</c:v>
                </c:pt>
                <c:pt idx="3">
                  <c:v>1.9384714718170392E-2</c:v>
                </c:pt>
                <c:pt idx="4">
                  <c:v>1.9810261252952988E-2</c:v>
                </c:pt>
                <c:pt idx="5">
                  <c:v>1.9854614380240325E-2</c:v>
                </c:pt>
                <c:pt idx="6">
                  <c:v>2.0283844787829512E-2</c:v>
                </c:pt>
                <c:pt idx="7">
                  <c:v>2.0254742564268055E-2</c:v>
                </c:pt>
                <c:pt idx="8">
                  <c:v>2.0624364671625029E-2</c:v>
                </c:pt>
                <c:pt idx="9">
                  <c:v>2.0144756641849511E-2</c:v>
                </c:pt>
                <c:pt idx="10">
                  <c:v>2.1715786309255091E-2</c:v>
                </c:pt>
                <c:pt idx="11">
                  <c:v>2.1945523498789466E-2</c:v>
                </c:pt>
                <c:pt idx="12">
                  <c:v>2.190166713660173E-2</c:v>
                </c:pt>
                <c:pt idx="13">
                  <c:v>2.1779142506128595E-2</c:v>
                </c:pt>
                <c:pt idx="14">
                  <c:v>2.1920439202359084E-2</c:v>
                </c:pt>
                <c:pt idx="15">
                  <c:v>2.1975126400058467E-2</c:v>
                </c:pt>
                <c:pt idx="16">
                  <c:v>2.1368225084693819E-2</c:v>
                </c:pt>
                <c:pt idx="17">
                  <c:v>2.1638141022541347E-2</c:v>
                </c:pt>
                <c:pt idx="18">
                  <c:v>2.1566255102704664E-2</c:v>
                </c:pt>
                <c:pt idx="19">
                  <c:v>2.1317605901316025E-2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AA_amphi_den!$A$22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AA_amphi_den!$B$22:$U$22</c:f>
              <c:numCache>
                <c:formatCode>General</c:formatCode>
                <c:ptCount val="20"/>
                <c:pt idx="0">
                  <c:v>1.5823268556144573E-2</c:v>
                </c:pt>
                <c:pt idx="1">
                  <c:v>1.7725923151135758E-2</c:v>
                </c:pt>
                <c:pt idx="2">
                  <c:v>1.9171666765531697E-2</c:v>
                </c:pt>
                <c:pt idx="3">
                  <c:v>1.9293005554888023E-2</c:v>
                </c:pt>
                <c:pt idx="4">
                  <c:v>1.9544141457741557E-2</c:v>
                </c:pt>
                <c:pt idx="5">
                  <c:v>1.9844188087854125E-2</c:v>
                </c:pt>
                <c:pt idx="6">
                  <c:v>2.0152921382715568E-2</c:v>
                </c:pt>
                <c:pt idx="7">
                  <c:v>2.0359569573290735E-2</c:v>
                </c:pt>
                <c:pt idx="8">
                  <c:v>2.0684973700173234E-2</c:v>
                </c:pt>
                <c:pt idx="9">
                  <c:v>2.0313773275707905E-2</c:v>
                </c:pt>
                <c:pt idx="10">
                  <c:v>2.1937885645346423E-2</c:v>
                </c:pt>
                <c:pt idx="11">
                  <c:v>2.2059920682334564E-2</c:v>
                </c:pt>
                <c:pt idx="12">
                  <c:v>2.1771941688941546E-2</c:v>
                </c:pt>
                <c:pt idx="13">
                  <c:v>2.1561494545792731E-2</c:v>
                </c:pt>
                <c:pt idx="14">
                  <c:v>2.1735006326960689E-2</c:v>
                </c:pt>
                <c:pt idx="15">
                  <c:v>2.1888632530565642E-2</c:v>
                </c:pt>
                <c:pt idx="16">
                  <c:v>2.1350723953304715E-2</c:v>
                </c:pt>
                <c:pt idx="17">
                  <c:v>2.1441451258129119E-2</c:v>
                </c:pt>
                <c:pt idx="18">
                  <c:v>2.1510406829516427E-2</c:v>
                </c:pt>
                <c:pt idx="19">
                  <c:v>2.1360024033034452E-2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AA_amphi_den!$A$23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AA_amphi_den!$B$23:$U$23</c:f>
              <c:numCache>
                <c:formatCode>General</c:formatCode>
                <c:ptCount val="20"/>
                <c:pt idx="0">
                  <c:v>1.6029088569405752E-2</c:v>
                </c:pt>
                <c:pt idx="1">
                  <c:v>1.787267969712171E-2</c:v>
                </c:pt>
                <c:pt idx="2">
                  <c:v>1.9416235116717664E-2</c:v>
                </c:pt>
                <c:pt idx="3">
                  <c:v>1.9617086371407959E-2</c:v>
                </c:pt>
                <c:pt idx="4">
                  <c:v>1.9914838208075745E-2</c:v>
                </c:pt>
                <c:pt idx="5">
                  <c:v>2.0090852247229868E-2</c:v>
                </c:pt>
                <c:pt idx="6">
                  <c:v>2.0363829467064776E-2</c:v>
                </c:pt>
                <c:pt idx="7">
                  <c:v>2.0664675982185878E-2</c:v>
                </c:pt>
                <c:pt idx="8">
                  <c:v>2.0922574175272872E-2</c:v>
                </c:pt>
                <c:pt idx="9">
                  <c:v>2.047637492381579E-2</c:v>
                </c:pt>
                <c:pt idx="10">
                  <c:v>2.1920329126583413E-2</c:v>
                </c:pt>
                <c:pt idx="11">
                  <c:v>2.2134911872082018E-2</c:v>
                </c:pt>
                <c:pt idx="12">
                  <c:v>2.2033055918128111E-2</c:v>
                </c:pt>
                <c:pt idx="13">
                  <c:v>2.1804948806830492E-2</c:v>
                </c:pt>
                <c:pt idx="14">
                  <c:v>2.1833304755295099E-2</c:v>
                </c:pt>
                <c:pt idx="15">
                  <c:v>2.2035648800837748E-2</c:v>
                </c:pt>
                <c:pt idx="16">
                  <c:v>2.120716689203074E-2</c:v>
                </c:pt>
                <c:pt idx="17">
                  <c:v>2.1346069863405284E-2</c:v>
                </c:pt>
                <c:pt idx="18">
                  <c:v>2.1406946297485987E-2</c:v>
                </c:pt>
                <c:pt idx="19">
                  <c:v>2.1218337885814384E-2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AA_amphi_den!$A$24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AA_amphi_den!$B$24:$U$24</c:f>
              <c:numCache>
                <c:formatCode>General</c:formatCode>
                <c:ptCount val="20"/>
                <c:pt idx="0">
                  <c:v>1.578631636867027E-2</c:v>
                </c:pt>
                <c:pt idx="1">
                  <c:v>1.7608032576782062E-2</c:v>
                </c:pt>
                <c:pt idx="2">
                  <c:v>1.9062473311527491E-2</c:v>
                </c:pt>
                <c:pt idx="3">
                  <c:v>1.9213719666042364E-2</c:v>
                </c:pt>
                <c:pt idx="4">
                  <c:v>1.9610123673549574E-2</c:v>
                </c:pt>
                <c:pt idx="5">
                  <c:v>1.9790048178775367E-2</c:v>
                </c:pt>
                <c:pt idx="6">
                  <c:v>1.9992487676621984E-2</c:v>
                </c:pt>
                <c:pt idx="7">
                  <c:v>2.0091492633647214E-2</c:v>
                </c:pt>
                <c:pt idx="8">
                  <c:v>2.0427793148026362E-2</c:v>
                </c:pt>
                <c:pt idx="9">
                  <c:v>2.0000038746658483E-2</c:v>
                </c:pt>
                <c:pt idx="10">
                  <c:v>2.1781449927603672E-2</c:v>
                </c:pt>
                <c:pt idx="11">
                  <c:v>2.1964430145594349E-2</c:v>
                </c:pt>
                <c:pt idx="12">
                  <c:v>2.168422522082069E-2</c:v>
                </c:pt>
                <c:pt idx="13">
                  <c:v>2.1524972394691318E-2</c:v>
                </c:pt>
                <c:pt idx="14">
                  <c:v>2.1761844249754147E-2</c:v>
                </c:pt>
                <c:pt idx="15">
                  <c:v>2.1954361833288388E-2</c:v>
                </c:pt>
                <c:pt idx="16">
                  <c:v>2.1195574608051024E-2</c:v>
                </c:pt>
                <c:pt idx="17">
                  <c:v>2.1444914225680414E-2</c:v>
                </c:pt>
                <c:pt idx="18">
                  <c:v>2.1178312051027368E-2</c:v>
                </c:pt>
                <c:pt idx="19">
                  <c:v>2.1047614441840799E-2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AA_amphi_den!$A$25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AA_amphi_den!$B$25:$U$25</c:f>
              <c:numCache>
                <c:formatCode>General</c:formatCode>
                <c:ptCount val="20"/>
                <c:pt idx="0">
                  <c:v>1.5813598551954796E-2</c:v>
                </c:pt>
                <c:pt idx="1">
                  <c:v>1.7591271271902634E-2</c:v>
                </c:pt>
                <c:pt idx="2">
                  <c:v>1.9067620699038165E-2</c:v>
                </c:pt>
                <c:pt idx="3">
                  <c:v>1.9459093492891762E-2</c:v>
                </c:pt>
                <c:pt idx="4">
                  <c:v>1.9693952336916488E-2</c:v>
                </c:pt>
                <c:pt idx="5">
                  <c:v>1.9978486487527876E-2</c:v>
                </c:pt>
                <c:pt idx="6">
                  <c:v>2.0322006753783553E-2</c:v>
                </c:pt>
                <c:pt idx="7">
                  <c:v>2.0478682533562987E-2</c:v>
                </c:pt>
                <c:pt idx="8">
                  <c:v>2.0785260291088965E-2</c:v>
                </c:pt>
                <c:pt idx="9">
                  <c:v>2.0385615145228055E-2</c:v>
                </c:pt>
                <c:pt idx="10">
                  <c:v>2.2055801894687449E-2</c:v>
                </c:pt>
                <c:pt idx="11">
                  <c:v>2.2006326550431662E-2</c:v>
                </c:pt>
                <c:pt idx="12">
                  <c:v>2.1887336629553895E-2</c:v>
                </c:pt>
                <c:pt idx="13">
                  <c:v>2.1855478058650814E-2</c:v>
                </c:pt>
                <c:pt idx="14">
                  <c:v>2.1961367415083932E-2</c:v>
                </c:pt>
                <c:pt idx="15">
                  <c:v>2.1972596023574712E-2</c:v>
                </c:pt>
                <c:pt idx="16">
                  <c:v>2.1374748058512378E-2</c:v>
                </c:pt>
                <c:pt idx="17">
                  <c:v>2.1314240699481943E-2</c:v>
                </c:pt>
                <c:pt idx="18">
                  <c:v>2.1170480139024419E-2</c:v>
                </c:pt>
                <c:pt idx="19">
                  <c:v>2.1204330147664888E-2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AA_amphi_den!$A$26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AA_amphi_den!$B$26:$U$26</c:f>
              <c:numCache>
                <c:formatCode>General</c:formatCode>
                <c:ptCount val="20"/>
                <c:pt idx="0">
                  <c:v>1.3258625347407852E-2</c:v>
                </c:pt>
                <c:pt idx="1">
                  <c:v>1.7088098318207828E-2</c:v>
                </c:pt>
                <c:pt idx="2">
                  <c:v>1.9432612895974168E-2</c:v>
                </c:pt>
                <c:pt idx="3">
                  <c:v>2.0075938832598856E-2</c:v>
                </c:pt>
                <c:pt idx="4">
                  <c:v>2.081086413992498E-2</c:v>
                </c:pt>
                <c:pt idx="5">
                  <c:v>2.1246199193362118E-2</c:v>
                </c:pt>
                <c:pt idx="6">
                  <c:v>2.1694860451979037E-2</c:v>
                </c:pt>
                <c:pt idx="7">
                  <c:v>2.1974122840210986E-2</c:v>
                </c:pt>
                <c:pt idx="8">
                  <c:v>2.225780726270199E-2</c:v>
                </c:pt>
                <c:pt idx="9">
                  <c:v>2.1977514420654147E-2</c:v>
                </c:pt>
                <c:pt idx="10">
                  <c:v>2.3762706589932705E-2</c:v>
                </c:pt>
                <c:pt idx="11">
                  <c:v>2.3960505522125669E-2</c:v>
                </c:pt>
                <c:pt idx="12">
                  <c:v>2.402642417950282E-2</c:v>
                </c:pt>
                <c:pt idx="13">
                  <c:v>2.373882111698486E-2</c:v>
                </c:pt>
                <c:pt idx="14">
                  <c:v>2.4023793708129217E-2</c:v>
                </c:pt>
                <c:pt idx="15">
                  <c:v>2.4027669905953994E-2</c:v>
                </c:pt>
                <c:pt idx="16">
                  <c:v>2.3307293507498369E-2</c:v>
                </c:pt>
                <c:pt idx="17">
                  <c:v>2.3617038993072981E-2</c:v>
                </c:pt>
                <c:pt idx="18">
                  <c:v>2.3456016000038021E-2</c:v>
                </c:pt>
                <c:pt idx="19">
                  <c:v>2.3566023057588856E-2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AA_amphi_den!$A$27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AA_amphi_den!$B$27:$U$27</c:f>
              <c:numCache>
                <c:formatCode>General</c:formatCode>
                <c:ptCount val="20"/>
                <c:pt idx="0">
                  <c:v>1.548987449974976E-2</c:v>
                </c:pt>
                <c:pt idx="1">
                  <c:v>1.7408787151736015E-2</c:v>
                </c:pt>
                <c:pt idx="2">
                  <c:v>1.8901621795299039E-2</c:v>
                </c:pt>
                <c:pt idx="3">
                  <c:v>1.9129645150847634E-2</c:v>
                </c:pt>
                <c:pt idx="4">
                  <c:v>1.9432845250930149E-2</c:v>
                </c:pt>
                <c:pt idx="5">
                  <c:v>1.9782075727672384E-2</c:v>
                </c:pt>
                <c:pt idx="6">
                  <c:v>2.0003688758356921E-2</c:v>
                </c:pt>
                <c:pt idx="7">
                  <c:v>2.0127679217544495E-2</c:v>
                </c:pt>
                <c:pt idx="8">
                  <c:v>2.0345113275677482E-2</c:v>
                </c:pt>
                <c:pt idx="9">
                  <c:v>2.0076841653793077E-2</c:v>
                </c:pt>
                <c:pt idx="10">
                  <c:v>2.188529938916987E-2</c:v>
                </c:pt>
                <c:pt idx="11">
                  <c:v>2.1975113011284887E-2</c:v>
                </c:pt>
                <c:pt idx="12">
                  <c:v>2.183978908746001E-2</c:v>
                </c:pt>
                <c:pt idx="13">
                  <c:v>2.147542909100339E-2</c:v>
                </c:pt>
                <c:pt idx="14">
                  <c:v>2.1558440681768657E-2</c:v>
                </c:pt>
                <c:pt idx="15">
                  <c:v>2.1603984951536388E-2</c:v>
                </c:pt>
                <c:pt idx="16">
                  <c:v>2.1222202617476985E-2</c:v>
                </c:pt>
                <c:pt idx="17">
                  <c:v>2.1407817009091244E-2</c:v>
                </c:pt>
                <c:pt idx="18">
                  <c:v>2.1222115149986145E-2</c:v>
                </c:pt>
                <c:pt idx="19">
                  <c:v>2.1197591572624748E-2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AA_amphi_den!$A$28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AA_amphi_den!$B$28:$U$28</c:f>
              <c:numCache>
                <c:formatCode>General</c:formatCode>
                <c:ptCount val="20"/>
                <c:pt idx="0">
                  <c:v>1.5711488201829583E-2</c:v>
                </c:pt>
                <c:pt idx="1">
                  <c:v>1.7493923399722187E-2</c:v>
                </c:pt>
                <c:pt idx="2">
                  <c:v>1.9021980217462497E-2</c:v>
                </c:pt>
                <c:pt idx="3">
                  <c:v>1.9173350853676562E-2</c:v>
                </c:pt>
                <c:pt idx="4">
                  <c:v>1.9499655102303018E-2</c:v>
                </c:pt>
                <c:pt idx="5">
                  <c:v>1.9740058730355059E-2</c:v>
                </c:pt>
                <c:pt idx="6">
                  <c:v>2.0000549219581758E-2</c:v>
                </c:pt>
                <c:pt idx="7">
                  <c:v>1.9949534688172406E-2</c:v>
                </c:pt>
                <c:pt idx="8">
                  <c:v>2.0342543982738017E-2</c:v>
                </c:pt>
                <c:pt idx="9">
                  <c:v>2.0153418384136125E-2</c:v>
                </c:pt>
                <c:pt idx="10">
                  <c:v>2.1935527390202346E-2</c:v>
                </c:pt>
                <c:pt idx="11">
                  <c:v>2.2091517062551535E-2</c:v>
                </c:pt>
                <c:pt idx="12">
                  <c:v>2.1940155863347483E-2</c:v>
                </c:pt>
                <c:pt idx="13">
                  <c:v>2.1815159616676929E-2</c:v>
                </c:pt>
                <c:pt idx="14">
                  <c:v>2.193954201523507E-2</c:v>
                </c:pt>
                <c:pt idx="15">
                  <c:v>2.1974654158945946E-2</c:v>
                </c:pt>
                <c:pt idx="16">
                  <c:v>2.1441587216782791E-2</c:v>
                </c:pt>
                <c:pt idx="17">
                  <c:v>2.1494267002579042E-2</c:v>
                </c:pt>
                <c:pt idx="18">
                  <c:v>2.1199136981502064E-2</c:v>
                </c:pt>
                <c:pt idx="19">
                  <c:v>2.1093670668731086E-2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AA_amphi_den!$A$29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AA_amphi_den!$B$29:$U$29</c:f>
              <c:numCache>
                <c:formatCode>General</c:formatCode>
                <c:ptCount val="20"/>
                <c:pt idx="0">
                  <c:v>1.5363447442648162E-2</c:v>
                </c:pt>
                <c:pt idx="1">
                  <c:v>1.6920266282491495E-2</c:v>
                </c:pt>
                <c:pt idx="2">
                  <c:v>1.8355266254388915E-2</c:v>
                </c:pt>
                <c:pt idx="3">
                  <c:v>1.8552823307384392E-2</c:v>
                </c:pt>
                <c:pt idx="4">
                  <c:v>1.8839218943830303E-2</c:v>
                </c:pt>
                <c:pt idx="5">
                  <c:v>1.88826432938024E-2</c:v>
                </c:pt>
                <c:pt idx="6">
                  <c:v>1.9046555426791106E-2</c:v>
                </c:pt>
                <c:pt idx="7">
                  <c:v>1.8969973273511281E-2</c:v>
                </c:pt>
                <c:pt idx="8">
                  <c:v>1.9334262857422763E-2</c:v>
                </c:pt>
                <c:pt idx="9">
                  <c:v>1.9056108145203889E-2</c:v>
                </c:pt>
                <c:pt idx="10">
                  <c:v>2.074727464603553E-2</c:v>
                </c:pt>
                <c:pt idx="11">
                  <c:v>2.1170731014966176E-2</c:v>
                </c:pt>
                <c:pt idx="12">
                  <c:v>2.1030220096908438E-2</c:v>
                </c:pt>
                <c:pt idx="13">
                  <c:v>2.0790278126942049E-2</c:v>
                </c:pt>
                <c:pt idx="14">
                  <c:v>2.0801128341488399E-2</c:v>
                </c:pt>
                <c:pt idx="15">
                  <c:v>2.0993768361639936E-2</c:v>
                </c:pt>
                <c:pt idx="16">
                  <c:v>2.0626531167544735E-2</c:v>
                </c:pt>
                <c:pt idx="17">
                  <c:v>2.0770784908818455E-2</c:v>
                </c:pt>
                <c:pt idx="18">
                  <c:v>2.0910680219304159E-2</c:v>
                </c:pt>
                <c:pt idx="19">
                  <c:v>2.0894048390385486E-2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AA_amphi_den!$A$30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AA_amphi_den!$B$30:$U$30</c:f>
              <c:numCache>
                <c:formatCode>General</c:formatCode>
                <c:ptCount val="20"/>
                <c:pt idx="0">
                  <c:v>1.8603447306965962E-2</c:v>
                </c:pt>
                <c:pt idx="1">
                  <c:v>2.1123024982339419E-2</c:v>
                </c:pt>
                <c:pt idx="2">
                  <c:v>2.3239384368542705E-2</c:v>
                </c:pt>
                <c:pt idx="3">
                  <c:v>2.3549193396802368E-2</c:v>
                </c:pt>
                <c:pt idx="4">
                  <c:v>2.3981315393203903E-2</c:v>
                </c:pt>
                <c:pt idx="5">
                  <c:v>2.4254035206277672E-2</c:v>
                </c:pt>
                <c:pt idx="6">
                  <c:v>2.4959237046540125E-2</c:v>
                </c:pt>
                <c:pt idx="7">
                  <c:v>2.5670780996196688E-2</c:v>
                </c:pt>
                <c:pt idx="8">
                  <c:v>2.6070547281714401E-2</c:v>
                </c:pt>
                <c:pt idx="9">
                  <c:v>2.5838675151988511E-2</c:v>
                </c:pt>
                <c:pt idx="10">
                  <c:v>2.7806093580934905E-2</c:v>
                </c:pt>
                <c:pt idx="11">
                  <c:v>2.7783125927176907E-2</c:v>
                </c:pt>
                <c:pt idx="12">
                  <c:v>2.8088279654199588E-2</c:v>
                </c:pt>
                <c:pt idx="13">
                  <c:v>2.7807417105892872E-2</c:v>
                </c:pt>
                <c:pt idx="14">
                  <c:v>2.7674678869602874E-2</c:v>
                </c:pt>
                <c:pt idx="15">
                  <c:v>2.7905541056765324E-2</c:v>
                </c:pt>
                <c:pt idx="16">
                  <c:v>2.7645871970297203E-2</c:v>
                </c:pt>
                <c:pt idx="17">
                  <c:v>2.7967833622601204E-2</c:v>
                </c:pt>
                <c:pt idx="18">
                  <c:v>2.7816651598773688E-2</c:v>
                </c:pt>
                <c:pt idx="19">
                  <c:v>2.776565810140702E-2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AA_amphi_den!$A$31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AA_amphi_den!$B$31:$U$31</c:f>
              <c:numCache>
                <c:formatCode>General</c:formatCode>
                <c:ptCount val="20"/>
                <c:pt idx="0">
                  <c:v>1.7299382783213628E-2</c:v>
                </c:pt>
                <c:pt idx="1">
                  <c:v>1.8926210556792993E-2</c:v>
                </c:pt>
                <c:pt idx="2">
                  <c:v>1.9210246047179615E-2</c:v>
                </c:pt>
                <c:pt idx="3">
                  <c:v>1.9279550310812514E-2</c:v>
                </c:pt>
                <c:pt idx="4">
                  <c:v>1.9511126164478917E-2</c:v>
                </c:pt>
                <c:pt idx="5">
                  <c:v>1.979181339473713E-2</c:v>
                </c:pt>
                <c:pt idx="6">
                  <c:v>2.0197486628846833E-2</c:v>
                </c:pt>
                <c:pt idx="7">
                  <c:v>2.0502701212296651E-2</c:v>
                </c:pt>
                <c:pt idx="8">
                  <c:v>2.0626700572506759E-2</c:v>
                </c:pt>
                <c:pt idx="9">
                  <c:v>2.0450153364334811E-2</c:v>
                </c:pt>
                <c:pt idx="10">
                  <c:v>2.2364547187885494E-2</c:v>
                </c:pt>
                <c:pt idx="11">
                  <c:v>2.238782703288637E-2</c:v>
                </c:pt>
                <c:pt idx="12">
                  <c:v>2.2193920429217816E-2</c:v>
                </c:pt>
                <c:pt idx="13">
                  <c:v>2.195371234621514E-2</c:v>
                </c:pt>
                <c:pt idx="14">
                  <c:v>2.1981399741864083E-2</c:v>
                </c:pt>
                <c:pt idx="15">
                  <c:v>2.2312436632172264E-2</c:v>
                </c:pt>
                <c:pt idx="16">
                  <c:v>2.191805006003204E-2</c:v>
                </c:pt>
                <c:pt idx="17">
                  <c:v>2.2087105791984262E-2</c:v>
                </c:pt>
                <c:pt idx="18">
                  <c:v>2.1923473944307739E-2</c:v>
                </c:pt>
                <c:pt idx="19">
                  <c:v>2.1883235364583548E-2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AA_amphi_den!$A$32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AA_amphi_den!$B$32:$U$32</c:f>
              <c:numCache>
                <c:formatCode>General</c:formatCode>
                <c:ptCount val="20"/>
                <c:pt idx="0">
                  <c:v>1.7077659155953773E-2</c:v>
                </c:pt>
                <c:pt idx="1">
                  <c:v>2.1451114763181362E-2</c:v>
                </c:pt>
                <c:pt idx="2">
                  <c:v>2.4222113497222076E-2</c:v>
                </c:pt>
                <c:pt idx="3">
                  <c:v>2.5514289924572043E-2</c:v>
                </c:pt>
                <c:pt idx="4">
                  <c:v>2.6119304078759925E-2</c:v>
                </c:pt>
                <c:pt idx="5">
                  <c:v>2.6612106651079669E-2</c:v>
                </c:pt>
                <c:pt idx="6">
                  <c:v>2.7445353762312601E-2</c:v>
                </c:pt>
                <c:pt idx="7">
                  <c:v>2.8339392390280698E-2</c:v>
                </c:pt>
                <c:pt idx="8">
                  <c:v>2.8929513691577813E-2</c:v>
                </c:pt>
                <c:pt idx="9">
                  <c:v>2.8917879784634278E-2</c:v>
                </c:pt>
                <c:pt idx="10">
                  <c:v>3.1479212162981933E-2</c:v>
                </c:pt>
                <c:pt idx="11">
                  <c:v>3.1645318397412747E-2</c:v>
                </c:pt>
                <c:pt idx="12">
                  <c:v>3.1805783647336591E-2</c:v>
                </c:pt>
                <c:pt idx="13">
                  <c:v>3.1422951594721936E-2</c:v>
                </c:pt>
                <c:pt idx="14">
                  <c:v>3.1647906171239609E-2</c:v>
                </c:pt>
                <c:pt idx="15">
                  <c:v>3.2124504471316838E-2</c:v>
                </c:pt>
                <c:pt idx="16">
                  <c:v>3.1599645713714215E-2</c:v>
                </c:pt>
                <c:pt idx="17">
                  <c:v>3.1854211365209439E-2</c:v>
                </c:pt>
                <c:pt idx="18">
                  <c:v>3.1603989849636374E-2</c:v>
                </c:pt>
                <c:pt idx="19">
                  <c:v>3.1463288056898547E-2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AA_amphi_den!$A$33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AA_amphi_den!$B$33:$U$33</c:f>
              <c:numCache>
                <c:formatCode>General</c:formatCode>
                <c:ptCount val="20"/>
                <c:pt idx="0">
                  <c:v>1.7895317755954689E-2</c:v>
                </c:pt>
                <c:pt idx="1">
                  <c:v>2.2367823390622394E-2</c:v>
                </c:pt>
                <c:pt idx="2">
                  <c:v>2.4459658339596686E-2</c:v>
                </c:pt>
                <c:pt idx="3">
                  <c:v>2.5514376048427673E-2</c:v>
                </c:pt>
                <c:pt idx="4">
                  <c:v>2.6150222301284783E-2</c:v>
                </c:pt>
                <c:pt idx="5">
                  <c:v>2.6760676482120362E-2</c:v>
                </c:pt>
                <c:pt idx="6">
                  <c:v>2.793550360445957E-2</c:v>
                </c:pt>
                <c:pt idx="7">
                  <c:v>2.878995664067719E-2</c:v>
                </c:pt>
                <c:pt idx="8">
                  <c:v>2.9583778004676202E-2</c:v>
                </c:pt>
                <c:pt idx="9">
                  <c:v>2.9325390846824385E-2</c:v>
                </c:pt>
                <c:pt idx="10">
                  <c:v>3.1805586528855907E-2</c:v>
                </c:pt>
                <c:pt idx="11">
                  <c:v>3.1776372890813136E-2</c:v>
                </c:pt>
                <c:pt idx="12">
                  <c:v>3.2243622839489956E-2</c:v>
                </c:pt>
                <c:pt idx="13">
                  <c:v>3.2160084019848281E-2</c:v>
                </c:pt>
                <c:pt idx="14">
                  <c:v>3.2352703591677023E-2</c:v>
                </c:pt>
                <c:pt idx="15">
                  <c:v>3.2815339777450311E-2</c:v>
                </c:pt>
                <c:pt idx="16">
                  <c:v>3.2058230594676225E-2</c:v>
                </c:pt>
                <c:pt idx="17">
                  <c:v>3.2524968730358039E-2</c:v>
                </c:pt>
                <c:pt idx="18">
                  <c:v>3.2118704633268012E-2</c:v>
                </c:pt>
                <c:pt idx="19">
                  <c:v>3.2013669057583606E-2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AA_amphi_den!$A$34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AA_amphi_den!$B$34:$U$34</c:f>
              <c:numCache>
                <c:formatCode>General</c:formatCode>
                <c:ptCount val="20"/>
                <c:pt idx="0">
                  <c:v>1.7784563825725741E-2</c:v>
                </c:pt>
                <c:pt idx="1">
                  <c:v>2.2381709294329279E-2</c:v>
                </c:pt>
                <c:pt idx="2">
                  <c:v>2.4413392073096552E-2</c:v>
                </c:pt>
                <c:pt idx="3">
                  <c:v>2.5438374592736655E-2</c:v>
                </c:pt>
                <c:pt idx="4">
                  <c:v>2.6103328423221456E-2</c:v>
                </c:pt>
                <c:pt idx="5">
                  <c:v>2.6799874680132483E-2</c:v>
                </c:pt>
                <c:pt idx="6">
                  <c:v>2.788398078949849E-2</c:v>
                </c:pt>
                <c:pt idx="7">
                  <c:v>2.9134764741746068E-2</c:v>
                </c:pt>
                <c:pt idx="8">
                  <c:v>2.9878525686640005E-2</c:v>
                </c:pt>
                <c:pt idx="9">
                  <c:v>2.9633080719316467E-2</c:v>
                </c:pt>
                <c:pt idx="10">
                  <c:v>3.2057177941851284E-2</c:v>
                </c:pt>
                <c:pt idx="11">
                  <c:v>3.1998914646872691E-2</c:v>
                </c:pt>
                <c:pt idx="12">
                  <c:v>3.2319844993694578E-2</c:v>
                </c:pt>
                <c:pt idx="13">
                  <c:v>3.2267395570501657E-2</c:v>
                </c:pt>
                <c:pt idx="14">
                  <c:v>3.2247058062437328E-2</c:v>
                </c:pt>
                <c:pt idx="15">
                  <c:v>3.2806398135541537E-2</c:v>
                </c:pt>
                <c:pt idx="16">
                  <c:v>3.2162325868057381E-2</c:v>
                </c:pt>
                <c:pt idx="17">
                  <c:v>3.2643287979642555E-2</c:v>
                </c:pt>
                <c:pt idx="18">
                  <c:v>3.2726315605943017E-2</c:v>
                </c:pt>
                <c:pt idx="19">
                  <c:v>3.2574478143388069E-2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AA_amphi_den!$A$35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AA_amphi_den!$B$35:$U$35</c:f>
              <c:numCache>
                <c:formatCode>General</c:formatCode>
                <c:ptCount val="20"/>
                <c:pt idx="0">
                  <c:v>1.3341830856089412E-2</c:v>
                </c:pt>
                <c:pt idx="1">
                  <c:v>1.4384027558283288E-2</c:v>
                </c:pt>
                <c:pt idx="2">
                  <c:v>1.4674945501347007E-2</c:v>
                </c:pt>
                <c:pt idx="3">
                  <c:v>1.4644015677770843E-2</c:v>
                </c:pt>
                <c:pt idx="4">
                  <c:v>1.4877760469699915E-2</c:v>
                </c:pt>
                <c:pt idx="5">
                  <c:v>1.495371735978036E-2</c:v>
                </c:pt>
                <c:pt idx="6">
                  <c:v>1.5487080184646359E-2</c:v>
                </c:pt>
                <c:pt idx="7">
                  <c:v>1.5624739978761753E-2</c:v>
                </c:pt>
                <c:pt idx="8">
                  <c:v>1.5861618256866231E-2</c:v>
                </c:pt>
                <c:pt idx="9">
                  <c:v>1.5843672074370447E-2</c:v>
                </c:pt>
                <c:pt idx="10">
                  <c:v>1.7357899408967179E-2</c:v>
                </c:pt>
                <c:pt idx="11">
                  <c:v>1.7542998350021991E-2</c:v>
                </c:pt>
                <c:pt idx="12">
                  <c:v>1.7622844907182928E-2</c:v>
                </c:pt>
                <c:pt idx="13">
                  <c:v>1.7383745382074184E-2</c:v>
                </c:pt>
                <c:pt idx="14">
                  <c:v>1.7368349184733352E-2</c:v>
                </c:pt>
                <c:pt idx="15">
                  <c:v>1.7336971128627657E-2</c:v>
                </c:pt>
                <c:pt idx="16">
                  <c:v>1.7102832807147344E-2</c:v>
                </c:pt>
                <c:pt idx="17">
                  <c:v>1.7368802993491157E-2</c:v>
                </c:pt>
                <c:pt idx="18">
                  <c:v>1.7191848330715721E-2</c:v>
                </c:pt>
                <c:pt idx="19">
                  <c:v>1.7137945668443323E-2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AA_amphi_den!$A$36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AA_amphi_den!$B$36:$U$36</c:f>
              <c:numCache>
                <c:formatCode>General</c:formatCode>
                <c:ptCount val="20"/>
                <c:pt idx="0">
                  <c:v>1.3076183505371711E-2</c:v>
                </c:pt>
                <c:pt idx="1">
                  <c:v>1.4030650504084334E-2</c:v>
                </c:pt>
                <c:pt idx="2">
                  <c:v>1.4380679314056588E-2</c:v>
                </c:pt>
                <c:pt idx="3">
                  <c:v>1.4426001595602563E-2</c:v>
                </c:pt>
                <c:pt idx="4">
                  <c:v>1.4663540997211694E-2</c:v>
                </c:pt>
                <c:pt idx="5">
                  <c:v>1.4910552922063362E-2</c:v>
                </c:pt>
                <c:pt idx="6">
                  <c:v>1.5160161979998131E-2</c:v>
                </c:pt>
                <c:pt idx="7">
                  <c:v>1.5445193670018847E-2</c:v>
                </c:pt>
                <c:pt idx="8">
                  <c:v>1.5938669431338114E-2</c:v>
                </c:pt>
                <c:pt idx="9">
                  <c:v>1.5896550377826852E-2</c:v>
                </c:pt>
                <c:pt idx="10">
                  <c:v>1.7494645707663136E-2</c:v>
                </c:pt>
                <c:pt idx="11">
                  <c:v>1.7889046529528118E-2</c:v>
                </c:pt>
                <c:pt idx="12">
                  <c:v>1.8015109902283912E-2</c:v>
                </c:pt>
                <c:pt idx="13">
                  <c:v>1.7751183011935512E-2</c:v>
                </c:pt>
                <c:pt idx="14">
                  <c:v>1.8076302392705867E-2</c:v>
                </c:pt>
                <c:pt idx="15">
                  <c:v>1.8245943983864331E-2</c:v>
                </c:pt>
                <c:pt idx="16">
                  <c:v>1.809003932112712E-2</c:v>
                </c:pt>
                <c:pt idx="17">
                  <c:v>1.8514979042617629E-2</c:v>
                </c:pt>
                <c:pt idx="18">
                  <c:v>1.8304157152819731E-2</c:v>
                </c:pt>
                <c:pt idx="19">
                  <c:v>1.8205988756187761E-2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AA_amphi_den!$A$37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AA_amphi_den!$B$2:$U$2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AA_amphi_den!$B$37:$U$37</c:f>
              <c:numCache>
                <c:formatCode>General</c:formatCode>
                <c:ptCount val="20"/>
                <c:pt idx="0">
                  <c:v>1.3133414213926777E-2</c:v>
                </c:pt>
                <c:pt idx="1">
                  <c:v>1.3727746526543081E-2</c:v>
                </c:pt>
                <c:pt idx="2">
                  <c:v>1.3807706323077476E-2</c:v>
                </c:pt>
                <c:pt idx="3">
                  <c:v>1.3553927372201621E-2</c:v>
                </c:pt>
                <c:pt idx="4">
                  <c:v>1.3615536468899715E-2</c:v>
                </c:pt>
                <c:pt idx="5">
                  <c:v>1.3605034103315984E-2</c:v>
                </c:pt>
                <c:pt idx="6">
                  <c:v>1.3673420186155496E-2</c:v>
                </c:pt>
                <c:pt idx="7">
                  <c:v>1.3545446374730033E-2</c:v>
                </c:pt>
                <c:pt idx="8">
                  <c:v>1.3674148299105788E-2</c:v>
                </c:pt>
                <c:pt idx="9">
                  <c:v>1.3454204877694444E-2</c:v>
                </c:pt>
                <c:pt idx="10">
                  <c:v>1.4758391314215812E-2</c:v>
                </c:pt>
                <c:pt idx="11">
                  <c:v>1.4825676595388441E-2</c:v>
                </c:pt>
                <c:pt idx="12">
                  <c:v>1.4757540120906363E-2</c:v>
                </c:pt>
                <c:pt idx="13">
                  <c:v>1.4526592554564517E-2</c:v>
                </c:pt>
                <c:pt idx="14">
                  <c:v>1.4479756896833439E-2</c:v>
                </c:pt>
                <c:pt idx="15">
                  <c:v>1.437552450790637E-2</c:v>
                </c:pt>
                <c:pt idx="16">
                  <c:v>1.4054740010347377E-2</c:v>
                </c:pt>
                <c:pt idx="17">
                  <c:v>1.4239668816791253E-2</c:v>
                </c:pt>
                <c:pt idx="18">
                  <c:v>1.4321664999828534E-2</c:v>
                </c:pt>
                <c:pt idx="19">
                  <c:v>1.4290122744776267E-2</c:v>
                </c:pt>
              </c:numCache>
            </c:numRef>
          </c:yVal>
          <c:smooth val="1"/>
        </c:ser>
        <c:axId val="89951616"/>
        <c:axId val="89966080"/>
      </c:scatterChart>
      <c:valAx>
        <c:axId val="8995161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966080"/>
        <c:crosses val="autoZero"/>
        <c:crossBetween val="midCat"/>
      </c:valAx>
      <c:valAx>
        <c:axId val="89966080"/>
        <c:scaling>
          <c:orientation val="minMax"/>
        </c:scaling>
        <c:axPos val="l"/>
        <c:numFmt formatCode="General" sourceLinked="1"/>
        <c:tickLblPos val="nextTo"/>
        <c:crossAx val="89951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993247875677814"/>
          <c:y val="7.9861475648877231E-2"/>
          <c:w val="0.25513456464379947"/>
          <c:h val="0.86590167849130595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AA_R_phophi_ty!$B$3:$U$3</c:f>
              <c:numCache>
                <c:formatCode>General</c:formatCode>
                <c:ptCount val="20"/>
                <c:pt idx="0">
                  <c:v>-0.18644780034291097</c:v>
                </c:pt>
                <c:pt idx="1">
                  <c:v>-0.17124072507069893</c:v>
                </c:pt>
                <c:pt idx="2">
                  <c:v>-0.15294331559790794</c:v>
                </c:pt>
                <c:pt idx="3">
                  <c:v>-0.1448271763256368</c:v>
                </c:pt>
                <c:pt idx="4">
                  <c:v>-0.13838038081205564</c:v>
                </c:pt>
                <c:pt idx="5">
                  <c:v>-0.12190054316818459</c:v>
                </c:pt>
                <c:pt idx="6">
                  <c:v>-0.12280286499092195</c:v>
                </c:pt>
                <c:pt idx="7">
                  <c:v>-0.11014931255111243</c:v>
                </c:pt>
                <c:pt idx="8">
                  <c:v>-0.10620294254407969</c:v>
                </c:pt>
                <c:pt idx="9">
                  <c:v>-0.10750322052745315</c:v>
                </c:pt>
                <c:pt idx="10">
                  <c:v>-9.9938831854438345E-2</c:v>
                </c:pt>
                <c:pt idx="11">
                  <c:v>-9.8944536631618424E-2</c:v>
                </c:pt>
                <c:pt idx="12">
                  <c:v>-9.8736330028520239E-2</c:v>
                </c:pt>
                <c:pt idx="13">
                  <c:v>-9.2769279978192482E-2</c:v>
                </c:pt>
                <c:pt idx="14">
                  <c:v>-9.208802281577165E-2</c:v>
                </c:pt>
                <c:pt idx="15">
                  <c:v>-8.3571475307935156E-2</c:v>
                </c:pt>
                <c:pt idx="16">
                  <c:v>-8.2624984949861535E-2</c:v>
                </c:pt>
                <c:pt idx="17">
                  <c:v>-7.535191700068436E-2</c:v>
                </c:pt>
                <c:pt idx="18">
                  <c:v>-7.7788521811175126E-2</c:v>
                </c:pt>
                <c:pt idx="19">
                  <c:v>-7.3909925107917024E-2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AA_R_phophi_ty!$B$21:$U$21</c:f>
              <c:numCache>
                <c:formatCode>General</c:formatCode>
                <c:ptCount val="20"/>
                <c:pt idx="0">
                  <c:v>-0.13239182604159427</c:v>
                </c:pt>
                <c:pt idx="1">
                  <c:v>-9.4922767056877494E-2</c:v>
                </c:pt>
                <c:pt idx="2">
                  <c:v>-5.4236776325467674E-2</c:v>
                </c:pt>
                <c:pt idx="3">
                  <c:v>-3.8830900153182905E-2</c:v>
                </c:pt>
                <c:pt idx="4">
                  <c:v>-3.1784503448075728E-2</c:v>
                </c:pt>
                <c:pt idx="5">
                  <c:v>-2.5709526102023445E-2</c:v>
                </c:pt>
                <c:pt idx="6">
                  <c:v>-2.4219712275631675E-2</c:v>
                </c:pt>
                <c:pt idx="7">
                  <c:v>-2.3057210533995905E-2</c:v>
                </c:pt>
                <c:pt idx="8">
                  <c:v>-2.1663328131504289E-2</c:v>
                </c:pt>
                <c:pt idx="9">
                  <c:v>-2.1142662930182139E-2</c:v>
                </c:pt>
                <c:pt idx="10">
                  <c:v>-2.0885748820210024E-2</c:v>
                </c:pt>
                <c:pt idx="11">
                  <c:v>-2.0580477136939817E-2</c:v>
                </c:pt>
                <c:pt idx="12">
                  <c:v>-1.8946585473579358E-2</c:v>
                </c:pt>
                <c:pt idx="13">
                  <c:v>-1.8558731842731078E-2</c:v>
                </c:pt>
                <c:pt idx="14">
                  <c:v>-1.8516840936248957E-2</c:v>
                </c:pt>
                <c:pt idx="15">
                  <c:v>-1.7865158564345885E-2</c:v>
                </c:pt>
                <c:pt idx="16">
                  <c:v>-1.7677716989290344E-2</c:v>
                </c:pt>
                <c:pt idx="17">
                  <c:v>-1.6901956795097602E-2</c:v>
                </c:pt>
                <c:pt idx="18">
                  <c:v>-1.7032337242491244E-2</c:v>
                </c:pt>
                <c:pt idx="19">
                  <c:v>-1.7587975703837081E-2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AA_R_phophi_ty!$B$37:$U$37</c:f>
              <c:numCache>
                <c:formatCode>General</c:formatCode>
                <c:ptCount val="20"/>
                <c:pt idx="0">
                  <c:v>-0.14395205654440399</c:v>
                </c:pt>
                <c:pt idx="1">
                  <c:v>-0.13254335161007375</c:v>
                </c:pt>
                <c:pt idx="2">
                  <c:v>-0.12300371848890955</c:v>
                </c:pt>
                <c:pt idx="3">
                  <c:v>-0.12188573604224318</c:v>
                </c:pt>
                <c:pt idx="4">
                  <c:v>-0.12235632334030647</c:v>
                </c:pt>
                <c:pt idx="5">
                  <c:v>-0.12005606105230432</c:v>
                </c:pt>
                <c:pt idx="6">
                  <c:v>-0.12341991599843283</c:v>
                </c:pt>
                <c:pt idx="7">
                  <c:v>-0.1260540758876936</c:v>
                </c:pt>
                <c:pt idx="8">
                  <c:v>-0.12639614526866239</c:v>
                </c:pt>
                <c:pt idx="9">
                  <c:v>-0.12741584687826094</c:v>
                </c:pt>
                <c:pt idx="10">
                  <c:v>-0.11794892285398614</c:v>
                </c:pt>
                <c:pt idx="11">
                  <c:v>-0.1182140993226409</c:v>
                </c:pt>
                <c:pt idx="12">
                  <c:v>-0.12223987583263275</c:v>
                </c:pt>
                <c:pt idx="13">
                  <c:v>-0.1236843004035304</c:v>
                </c:pt>
                <c:pt idx="14">
                  <c:v>-0.1211811119288628</c:v>
                </c:pt>
                <c:pt idx="15">
                  <c:v>-0.12243987007968585</c:v>
                </c:pt>
                <c:pt idx="16">
                  <c:v>-0.12576066334602265</c:v>
                </c:pt>
                <c:pt idx="17">
                  <c:v>-0.1278424410678024</c:v>
                </c:pt>
                <c:pt idx="18">
                  <c:v>-0.12382516197427935</c:v>
                </c:pt>
                <c:pt idx="19">
                  <c:v>-0.1245923790403094</c:v>
                </c:pt>
              </c:numCache>
            </c:numRef>
          </c:yVal>
          <c:smooth val="1"/>
        </c:ser>
        <c:axId val="92068480"/>
        <c:axId val="96535296"/>
      </c:scatterChart>
      <c:valAx>
        <c:axId val="9206848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535296"/>
        <c:crosses val="autoZero"/>
        <c:crossBetween val="midCat"/>
      </c:valAx>
      <c:valAx>
        <c:axId val="96535296"/>
        <c:scaling>
          <c:orientation val="minMax"/>
        </c:scaling>
        <c:axPos val="l"/>
        <c:numFmt formatCode="General" sourceLinked="1"/>
        <c:tickLblPos val="nextTo"/>
        <c:crossAx val="92068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AA_pho_A!$B$3:$U$3</c:f>
              <c:numCache>
                <c:formatCode>General</c:formatCode>
                <c:ptCount val="20"/>
                <c:pt idx="0">
                  <c:v>562.1078</c:v>
                </c:pt>
                <c:pt idx="1">
                  <c:v>351.8938</c:v>
                </c:pt>
                <c:pt idx="2">
                  <c:v>197.76599999999999</c:v>
                </c:pt>
                <c:pt idx="3">
                  <c:v>132.09059999999999</c:v>
                </c:pt>
                <c:pt idx="4">
                  <c:v>95.020939999999996</c:v>
                </c:pt>
                <c:pt idx="5">
                  <c:v>71.418980000000005</c:v>
                </c:pt>
                <c:pt idx="6">
                  <c:v>59.022030000000001</c:v>
                </c:pt>
                <c:pt idx="7">
                  <c:v>47.295020000000001</c:v>
                </c:pt>
                <c:pt idx="8">
                  <c:v>40.357979999999998</c:v>
                </c:pt>
                <c:pt idx="9">
                  <c:v>36.152009999999997</c:v>
                </c:pt>
                <c:pt idx="10">
                  <c:v>32.717030000000001</c:v>
                </c:pt>
                <c:pt idx="11">
                  <c:v>29.006019999999999</c:v>
                </c:pt>
                <c:pt idx="12">
                  <c:v>25.850999999999999</c:v>
                </c:pt>
                <c:pt idx="13">
                  <c:v>22.032990000000002</c:v>
                </c:pt>
                <c:pt idx="14">
                  <c:v>20.58399</c:v>
                </c:pt>
                <c:pt idx="15">
                  <c:v>17.696999999999999</c:v>
                </c:pt>
                <c:pt idx="16">
                  <c:v>16.471</c:v>
                </c:pt>
                <c:pt idx="17">
                  <c:v>14.795999999999999</c:v>
                </c:pt>
                <c:pt idx="18">
                  <c:v>14.531000000000001</c:v>
                </c:pt>
                <c:pt idx="19">
                  <c:v>13.589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AA_pho_A!$B$21:$U$21</c:f>
              <c:numCache>
                <c:formatCode>General</c:formatCode>
                <c:ptCount val="20"/>
                <c:pt idx="0">
                  <c:v>1665.616</c:v>
                </c:pt>
                <c:pt idx="1">
                  <c:v>826.76080000000002</c:v>
                </c:pt>
                <c:pt idx="2">
                  <c:v>309.84550000000002</c:v>
                </c:pt>
                <c:pt idx="3">
                  <c:v>157.4769</c:v>
                </c:pt>
                <c:pt idx="4">
                  <c:v>97.272869999999998</c:v>
                </c:pt>
                <c:pt idx="5">
                  <c:v>66.142970000000005</c:v>
                </c:pt>
                <c:pt idx="6">
                  <c:v>49.889020000000002</c:v>
                </c:pt>
                <c:pt idx="7">
                  <c:v>41.863030000000002</c:v>
                </c:pt>
                <c:pt idx="8">
                  <c:v>34.482990000000001</c:v>
                </c:pt>
                <c:pt idx="9">
                  <c:v>30.821020000000001</c:v>
                </c:pt>
                <c:pt idx="10">
                  <c:v>27.154019999999999</c:v>
                </c:pt>
                <c:pt idx="11">
                  <c:v>24.19501</c:v>
                </c:pt>
                <c:pt idx="12">
                  <c:v>21.077999999999999</c:v>
                </c:pt>
                <c:pt idx="13">
                  <c:v>18.922989999999999</c:v>
                </c:pt>
                <c:pt idx="14">
                  <c:v>17.236999999999998</c:v>
                </c:pt>
                <c:pt idx="15">
                  <c:v>15.263</c:v>
                </c:pt>
                <c:pt idx="16">
                  <c:v>14.31</c:v>
                </c:pt>
                <c:pt idx="17">
                  <c:v>12.89</c:v>
                </c:pt>
                <c:pt idx="18">
                  <c:v>11.922000000000001</c:v>
                </c:pt>
                <c:pt idx="19">
                  <c:v>11.441000000000001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AA_pho_A!$B$37:$U$37</c:f>
              <c:numCache>
                <c:formatCode>General</c:formatCode>
                <c:ptCount val="20"/>
                <c:pt idx="0">
                  <c:v>4070.7420000000002</c:v>
                </c:pt>
                <c:pt idx="1">
                  <c:v>2562.5039999999999</c:v>
                </c:pt>
                <c:pt idx="2">
                  <c:v>1470.99</c:v>
                </c:pt>
                <c:pt idx="3">
                  <c:v>1007.052</c:v>
                </c:pt>
                <c:pt idx="4">
                  <c:v>737.16010000000006</c:v>
                </c:pt>
                <c:pt idx="5">
                  <c:v>573.01610000000005</c:v>
                </c:pt>
                <c:pt idx="6">
                  <c:v>452.59120000000001</c:v>
                </c:pt>
                <c:pt idx="7">
                  <c:v>381.22669999999999</c:v>
                </c:pt>
                <c:pt idx="8">
                  <c:v>320.06029999999998</c:v>
                </c:pt>
                <c:pt idx="9">
                  <c:v>272.55029999999999</c:v>
                </c:pt>
                <c:pt idx="10">
                  <c:v>239.5078</c:v>
                </c:pt>
                <c:pt idx="11">
                  <c:v>209.0342</c:v>
                </c:pt>
                <c:pt idx="12">
                  <c:v>186.78049999999999</c:v>
                </c:pt>
                <c:pt idx="13">
                  <c:v>168.7217</c:v>
                </c:pt>
                <c:pt idx="14">
                  <c:v>153.33770000000001</c:v>
                </c:pt>
                <c:pt idx="15">
                  <c:v>139.68870000000001</c:v>
                </c:pt>
                <c:pt idx="16">
                  <c:v>130.9847</c:v>
                </c:pt>
                <c:pt idx="17">
                  <c:v>122.5637</c:v>
                </c:pt>
                <c:pt idx="18">
                  <c:v>112.3368</c:v>
                </c:pt>
                <c:pt idx="19">
                  <c:v>105.4299</c:v>
                </c:pt>
              </c:numCache>
            </c:numRef>
          </c:yVal>
          <c:smooth val="1"/>
        </c:ser>
        <c:axId val="90641536"/>
        <c:axId val="90643456"/>
      </c:scatterChart>
      <c:valAx>
        <c:axId val="9064153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43456"/>
        <c:crosses val="autoZero"/>
        <c:crossBetween val="midCat"/>
      </c:valAx>
      <c:valAx>
        <c:axId val="90643456"/>
        <c:scaling>
          <c:orientation val="minMax"/>
        </c:scaling>
        <c:axPos val="l"/>
        <c:numFmt formatCode="General" sourceLinked="1"/>
        <c:tickLblPos val="nextTo"/>
        <c:crossAx val="906415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6869758069521399E-2"/>
          <c:y val="3.5106781612772711E-2"/>
          <c:w val="0.66051861751647833"/>
          <c:h val="0.92978643677445461"/>
        </c:manualLayout>
      </c:layout>
      <c:scatterChart>
        <c:scatterStyle val="smoothMarker"/>
        <c:ser>
          <c:idx val="0"/>
          <c:order val="0"/>
          <c:tx>
            <c:strRef>
              <c:f>AA_R_phophi_ty!$A$3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AA_R_phophi_ty!$B$3:$U$3</c:f>
              <c:numCache>
                <c:formatCode>General</c:formatCode>
                <c:ptCount val="20"/>
                <c:pt idx="0">
                  <c:v>-0.18644780034291097</c:v>
                </c:pt>
                <c:pt idx="1">
                  <c:v>-0.17124072507069893</c:v>
                </c:pt>
                <c:pt idx="2">
                  <c:v>-0.15294331559790794</c:v>
                </c:pt>
                <c:pt idx="3">
                  <c:v>-0.1448271763256368</c:v>
                </c:pt>
                <c:pt idx="4">
                  <c:v>-0.13838038081205564</c:v>
                </c:pt>
                <c:pt idx="5">
                  <c:v>-0.12190054316818459</c:v>
                </c:pt>
                <c:pt idx="6">
                  <c:v>-0.12280286499092195</c:v>
                </c:pt>
                <c:pt idx="7">
                  <c:v>-0.11014931255111243</c:v>
                </c:pt>
                <c:pt idx="8">
                  <c:v>-0.10620294254407969</c:v>
                </c:pt>
                <c:pt idx="9">
                  <c:v>-0.10750322052745315</c:v>
                </c:pt>
                <c:pt idx="10">
                  <c:v>-9.9938831854438345E-2</c:v>
                </c:pt>
                <c:pt idx="11">
                  <c:v>-9.8944536631618424E-2</c:v>
                </c:pt>
                <c:pt idx="12">
                  <c:v>-9.8736330028520239E-2</c:v>
                </c:pt>
                <c:pt idx="13">
                  <c:v>-9.2769279978192482E-2</c:v>
                </c:pt>
                <c:pt idx="14">
                  <c:v>-9.208802281577165E-2</c:v>
                </c:pt>
                <c:pt idx="15">
                  <c:v>-8.3571475307935156E-2</c:v>
                </c:pt>
                <c:pt idx="16">
                  <c:v>-8.2624984949861535E-2</c:v>
                </c:pt>
                <c:pt idx="17">
                  <c:v>-7.535191700068436E-2</c:v>
                </c:pt>
                <c:pt idx="18">
                  <c:v>-7.7788521811175126E-2</c:v>
                </c:pt>
                <c:pt idx="19">
                  <c:v>-7.3909925107917024E-2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AA_R_phophi_ty!$A$4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AA_R_phophi_ty!$B$4:$U$4</c:f>
              <c:numCache>
                <c:formatCode>General</c:formatCode>
                <c:ptCount val="20"/>
                <c:pt idx="0">
                  <c:v>-0.17583377372758946</c:v>
                </c:pt>
                <c:pt idx="1">
                  <c:v>-0.15469620948522719</c:v>
                </c:pt>
                <c:pt idx="2">
                  <c:v>-0.13086649251650798</c:v>
                </c:pt>
                <c:pt idx="3">
                  <c:v>-0.12297756157055147</c:v>
                </c:pt>
                <c:pt idx="4">
                  <c:v>-0.12739974858871062</c:v>
                </c:pt>
                <c:pt idx="5">
                  <c:v>-0.12051525872229057</c:v>
                </c:pt>
                <c:pt idx="6">
                  <c:v>-0.12286499854149042</c:v>
                </c:pt>
                <c:pt idx="7">
                  <c:v>-0.12763391204720914</c:v>
                </c:pt>
                <c:pt idx="8">
                  <c:v>-0.12635517308411537</c:v>
                </c:pt>
                <c:pt idx="9">
                  <c:v>-0.12928616820311009</c:v>
                </c:pt>
                <c:pt idx="10">
                  <c:v>-0.13039763262839202</c:v>
                </c:pt>
                <c:pt idx="11">
                  <c:v>-0.13422913528915942</c:v>
                </c:pt>
                <c:pt idx="12">
                  <c:v>-0.13151651268251277</c:v>
                </c:pt>
                <c:pt idx="13">
                  <c:v>-0.13506105584541966</c:v>
                </c:pt>
                <c:pt idx="14">
                  <c:v>-0.13315315083183335</c:v>
                </c:pt>
                <c:pt idx="15">
                  <c:v>-0.12947758473512749</c:v>
                </c:pt>
                <c:pt idx="16">
                  <c:v>-0.1294527228469215</c:v>
                </c:pt>
                <c:pt idx="17">
                  <c:v>-0.13258054779379944</c:v>
                </c:pt>
                <c:pt idx="18">
                  <c:v>-0.13003484731552284</c:v>
                </c:pt>
                <c:pt idx="19">
                  <c:v>-0.12943858798397689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AA_R_phophi_ty!$A$5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AA_R_phophi_ty!$B$5:$U$5</c:f>
              <c:numCache>
                <c:formatCode>General</c:formatCode>
                <c:ptCount val="20"/>
                <c:pt idx="0">
                  <c:v>-0.10776821296146857</c:v>
                </c:pt>
                <c:pt idx="1">
                  <c:v>-7.7327298701804922E-2</c:v>
                </c:pt>
                <c:pt idx="2">
                  <c:v>-6.0194454578206311E-2</c:v>
                </c:pt>
                <c:pt idx="3">
                  <c:v>-5.1066958971306593E-2</c:v>
                </c:pt>
                <c:pt idx="4">
                  <c:v>-4.7547549625756649E-2</c:v>
                </c:pt>
                <c:pt idx="5">
                  <c:v>-4.4668871980106661E-2</c:v>
                </c:pt>
                <c:pt idx="6">
                  <c:v>-4.2517053472326802E-2</c:v>
                </c:pt>
                <c:pt idx="7">
                  <c:v>-3.9398631103212137E-2</c:v>
                </c:pt>
                <c:pt idx="8">
                  <c:v>-3.725329692059301E-2</c:v>
                </c:pt>
                <c:pt idx="9">
                  <c:v>-3.8175620187723566E-2</c:v>
                </c:pt>
                <c:pt idx="10">
                  <c:v>-3.6631512211154557E-2</c:v>
                </c:pt>
                <c:pt idx="11">
                  <c:v>-3.7018134611417189E-2</c:v>
                </c:pt>
                <c:pt idx="12">
                  <c:v>-3.6964872169424609E-2</c:v>
                </c:pt>
                <c:pt idx="13">
                  <c:v>-3.5773967051973977E-2</c:v>
                </c:pt>
                <c:pt idx="14">
                  <c:v>-3.4159016830165624E-2</c:v>
                </c:pt>
                <c:pt idx="15">
                  <c:v>-3.0727654952798309E-2</c:v>
                </c:pt>
                <c:pt idx="16">
                  <c:v>-3.1676979941027451E-2</c:v>
                </c:pt>
                <c:pt idx="17">
                  <c:v>-3.0998161392723284E-2</c:v>
                </c:pt>
                <c:pt idx="18">
                  <c:v>-3.0934739216556963E-2</c:v>
                </c:pt>
                <c:pt idx="19">
                  <c:v>-3.079592465044759E-2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AA_R_phophi_ty!$A$6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AA_R_phophi_ty!$B$6:$U$6</c:f>
              <c:numCache>
                <c:formatCode>General</c:formatCode>
                <c:ptCount val="20"/>
                <c:pt idx="0">
                  <c:v>-0.20268917538615372</c:v>
                </c:pt>
                <c:pt idx="1">
                  <c:v>-0.12110064978119613</c:v>
                </c:pt>
                <c:pt idx="2">
                  <c:v>-0.11195909563064853</c:v>
                </c:pt>
                <c:pt idx="3">
                  <c:v>-9.1715283133766354E-2</c:v>
                </c:pt>
                <c:pt idx="4">
                  <c:v>-7.9214792843878071E-2</c:v>
                </c:pt>
                <c:pt idx="5">
                  <c:v>-7.182858966527994E-2</c:v>
                </c:pt>
                <c:pt idx="6">
                  <c:v>-6.8532273834836191E-2</c:v>
                </c:pt>
                <c:pt idx="7">
                  <c:v>-6.4398487595172735E-2</c:v>
                </c:pt>
                <c:pt idx="8">
                  <c:v>-6.0185002150655725E-2</c:v>
                </c:pt>
                <c:pt idx="9">
                  <c:v>-5.9158663252522461E-2</c:v>
                </c:pt>
                <c:pt idx="10">
                  <c:v>-5.0240093573415127E-2</c:v>
                </c:pt>
                <c:pt idx="11">
                  <c:v>-4.4388798759296196E-2</c:v>
                </c:pt>
                <c:pt idx="12">
                  <c:v>-4.7698473794019092E-2</c:v>
                </c:pt>
                <c:pt idx="13">
                  <c:v>-4.5267324699418361E-2</c:v>
                </c:pt>
                <c:pt idx="14">
                  <c:v>-3.8957062079808091E-2</c:v>
                </c:pt>
                <c:pt idx="15">
                  <c:v>-3.9822694942000865E-2</c:v>
                </c:pt>
                <c:pt idx="16">
                  <c:v>-3.7357705354459189E-2</c:v>
                </c:pt>
                <c:pt idx="17">
                  <c:v>-3.6473180590806988E-2</c:v>
                </c:pt>
                <c:pt idx="18">
                  <c:v>-3.1202351837741837E-2</c:v>
                </c:pt>
                <c:pt idx="19">
                  <c:v>-2.8477071944830588E-2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AA_R_phophi_ty!$A$7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AA_R_phophi_ty!$B$7:$U$7</c:f>
              <c:numCache>
                <c:formatCode>General</c:formatCode>
                <c:ptCount val="20"/>
                <c:pt idx="0">
                  <c:v>-0.17489937501264136</c:v>
                </c:pt>
                <c:pt idx="1">
                  <c:v>-0.10892951667679923</c:v>
                </c:pt>
                <c:pt idx="2">
                  <c:v>-9.1705949621853855E-2</c:v>
                </c:pt>
                <c:pt idx="3">
                  <c:v>-7.4148481752272191E-2</c:v>
                </c:pt>
                <c:pt idx="4">
                  <c:v>-5.7333538093845317E-2</c:v>
                </c:pt>
                <c:pt idx="5">
                  <c:v>-5.0402470732825513E-2</c:v>
                </c:pt>
                <c:pt idx="6">
                  <c:v>-4.7393797313988621E-2</c:v>
                </c:pt>
                <c:pt idx="7">
                  <c:v>-4.1913711826427065E-2</c:v>
                </c:pt>
                <c:pt idx="8">
                  <c:v>-3.9943885985489376E-2</c:v>
                </c:pt>
                <c:pt idx="9">
                  <c:v>-3.2911960244569244E-2</c:v>
                </c:pt>
                <c:pt idx="10">
                  <c:v>-2.9359311766211423E-2</c:v>
                </c:pt>
                <c:pt idx="11">
                  <c:v>-2.6643450097924529E-2</c:v>
                </c:pt>
                <c:pt idx="12">
                  <c:v>-2.2698127606416953E-2</c:v>
                </c:pt>
                <c:pt idx="13">
                  <c:v>-2.3984730787050636E-2</c:v>
                </c:pt>
                <c:pt idx="14">
                  <c:v>-2.59293636453801E-2</c:v>
                </c:pt>
                <c:pt idx="15">
                  <c:v>-2.4983428435695346E-2</c:v>
                </c:pt>
                <c:pt idx="16">
                  <c:v>-2.4612801368179282E-2</c:v>
                </c:pt>
                <c:pt idx="17">
                  <c:v>-2.3515473995091581E-2</c:v>
                </c:pt>
                <c:pt idx="18">
                  <c:v>-2.4731843676040966E-2</c:v>
                </c:pt>
                <c:pt idx="19">
                  <c:v>-2.5438445761864433E-2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AA_R_phophi_ty!$A$8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AA_R_phophi_ty!$B$8:$U$8</c:f>
              <c:numCache>
                <c:formatCode>General</c:formatCode>
                <c:ptCount val="20"/>
                <c:pt idx="0">
                  <c:v>-0.17783312517016273</c:v>
                </c:pt>
                <c:pt idx="1">
                  <c:v>-0.11126479029253311</c:v>
                </c:pt>
                <c:pt idx="2">
                  <c:v>-8.927678262453681E-2</c:v>
                </c:pt>
                <c:pt idx="3">
                  <c:v>-6.7799421623100833E-2</c:v>
                </c:pt>
                <c:pt idx="4">
                  <c:v>-5.9383176881018976E-2</c:v>
                </c:pt>
                <c:pt idx="5">
                  <c:v>-5.180324888764342E-2</c:v>
                </c:pt>
                <c:pt idx="6">
                  <c:v>-5.247265099634383E-2</c:v>
                </c:pt>
                <c:pt idx="7">
                  <c:v>-4.6981327937347432E-2</c:v>
                </c:pt>
                <c:pt idx="8">
                  <c:v>-4.2844730612606581E-2</c:v>
                </c:pt>
                <c:pt idx="9">
                  <c:v>-4.215878272302926E-2</c:v>
                </c:pt>
                <c:pt idx="10">
                  <c:v>-2.9884750985515855E-2</c:v>
                </c:pt>
                <c:pt idx="11">
                  <c:v>-3.0638126703989115E-2</c:v>
                </c:pt>
                <c:pt idx="12">
                  <c:v>-3.1372588691266509E-2</c:v>
                </c:pt>
                <c:pt idx="13">
                  <c:v>-2.9810511648079876E-2</c:v>
                </c:pt>
                <c:pt idx="14">
                  <c:v>-2.8938995671726996E-2</c:v>
                </c:pt>
                <c:pt idx="15">
                  <c:v>-2.0562933612996909E-2</c:v>
                </c:pt>
                <c:pt idx="16">
                  <c:v>-2.1297911050111924E-2</c:v>
                </c:pt>
                <c:pt idx="17">
                  <c:v>-2.3434759391689972E-2</c:v>
                </c:pt>
                <c:pt idx="18">
                  <c:v>-2.5052064607282064E-2</c:v>
                </c:pt>
                <c:pt idx="19">
                  <c:v>-2.6043808827961951E-2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AA_R_phophi_ty!$A$9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AA_R_phophi_ty!$B$9:$U$9</c:f>
              <c:numCache>
                <c:formatCode>General</c:formatCode>
                <c:ptCount val="20"/>
                <c:pt idx="0">
                  <c:v>-0.17480069378588298</c:v>
                </c:pt>
                <c:pt idx="1">
                  <c:v>-0.10824983814579826</c:v>
                </c:pt>
                <c:pt idx="2">
                  <c:v>-8.4964387582068063E-2</c:v>
                </c:pt>
                <c:pt idx="3">
                  <c:v>-6.7882386271378811E-2</c:v>
                </c:pt>
                <c:pt idx="4">
                  <c:v>-6.0557536436097049E-2</c:v>
                </c:pt>
                <c:pt idx="5">
                  <c:v>-5.5837273598457325E-2</c:v>
                </c:pt>
                <c:pt idx="6">
                  <c:v>-4.7780303010070954E-2</c:v>
                </c:pt>
                <c:pt idx="7">
                  <c:v>-4.4822667953571475E-2</c:v>
                </c:pt>
                <c:pt idx="8">
                  <c:v>-4.4486168334825743E-2</c:v>
                </c:pt>
                <c:pt idx="9">
                  <c:v>-4.090761842062117E-2</c:v>
                </c:pt>
                <c:pt idx="10">
                  <c:v>-3.4404066771149204E-2</c:v>
                </c:pt>
                <c:pt idx="11">
                  <c:v>-3.4717791366722574E-2</c:v>
                </c:pt>
                <c:pt idx="12">
                  <c:v>-3.7065949816878455E-2</c:v>
                </c:pt>
                <c:pt idx="13">
                  <c:v>-4.0470578816641234E-2</c:v>
                </c:pt>
                <c:pt idx="14">
                  <c:v>-4.0020531126515643E-2</c:v>
                </c:pt>
                <c:pt idx="15">
                  <c:v>-3.9618785819910032E-2</c:v>
                </c:pt>
                <c:pt idx="16">
                  <c:v>-3.7374903088281348E-2</c:v>
                </c:pt>
                <c:pt idx="17">
                  <c:v>-3.6430108582328112E-2</c:v>
                </c:pt>
                <c:pt idx="18">
                  <c:v>-3.5393278195148446E-2</c:v>
                </c:pt>
                <c:pt idx="19">
                  <c:v>-3.6737077399477826E-2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AA_R_phophi_ty!$A$10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AA_R_phophi_ty!$B$10:$U$10</c:f>
              <c:numCache>
                <c:formatCode>General</c:formatCode>
                <c:ptCount val="20"/>
                <c:pt idx="0">
                  <c:v>-0.1787182086147947</c:v>
                </c:pt>
                <c:pt idx="1">
                  <c:v>-0.11306656622212061</c:v>
                </c:pt>
                <c:pt idx="2">
                  <c:v>-9.3584788181163933E-2</c:v>
                </c:pt>
                <c:pt idx="3">
                  <c:v>-6.9941786803251832E-2</c:v>
                </c:pt>
                <c:pt idx="4">
                  <c:v>-6.1779317262811516E-2</c:v>
                </c:pt>
                <c:pt idx="5">
                  <c:v>-5.1370604994457156E-2</c:v>
                </c:pt>
                <c:pt idx="6">
                  <c:v>-4.9188373373709564E-2</c:v>
                </c:pt>
                <c:pt idx="7">
                  <c:v>-4.5255921340847563E-2</c:v>
                </c:pt>
                <c:pt idx="8">
                  <c:v>-4.1962481798001265E-2</c:v>
                </c:pt>
                <c:pt idx="9">
                  <c:v>-3.7858920815737399E-2</c:v>
                </c:pt>
                <c:pt idx="10">
                  <c:v>-3.5523797937177519E-2</c:v>
                </c:pt>
                <c:pt idx="11">
                  <c:v>-3.4162166965347768E-2</c:v>
                </c:pt>
                <c:pt idx="12">
                  <c:v>-3.4707828759105795E-2</c:v>
                </c:pt>
                <c:pt idx="13">
                  <c:v>-3.5320809578300943E-2</c:v>
                </c:pt>
                <c:pt idx="14">
                  <c:v>-3.2893758588120665E-2</c:v>
                </c:pt>
                <c:pt idx="15">
                  <c:v>-3.2156378888917828E-2</c:v>
                </c:pt>
                <c:pt idx="16">
                  <c:v>-3.0771769384406032E-2</c:v>
                </c:pt>
                <c:pt idx="17">
                  <c:v>-2.774417304984049E-2</c:v>
                </c:pt>
                <c:pt idx="18">
                  <c:v>-2.9608666694226644E-2</c:v>
                </c:pt>
                <c:pt idx="19">
                  <c:v>-2.330840298248656E-2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AA_R_phophi_ty!$A$11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AA_R_phophi_ty!$B$11:$U$11</c:f>
              <c:numCache>
                <c:formatCode>General</c:formatCode>
                <c:ptCount val="20"/>
                <c:pt idx="0">
                  <c:v>-0.18865048217529989</c:v>
                </c:pt>
                <c:pt idx="1">
                  <c:v>-0.12040448783120498</c:v>
                </c:pt>
                <c:pt idx="2">
                  <c:v>-9.8669082823263157E-2</c:v>
                </c:pt>
                <c:pt idx="3">
                  <c:v>-8.0008931488841986E-2</c:v>
                </c:pt>
                <c:pt idx="4">
                  <c:v>-7.0930073751395248E-2</c:v>
                </c:pt>
                <c:pt idx="5">
                  <c:v>-5.7486707934833833E-2</c:v>
                </c:pt>
                <c:pt idx="6">
                  <c:v>-5.1721031151521414E-2</c:v>
                </c:pt>
                <c:pt idx="7">
                  <c:v>-4.4049339098953158E-2</c:v>
                </c:pt>
                <c:pt idx="8">
                  <c:v>-3.8319127998313184E-2</c:v>
                </c:pt>
                <c:pt idx="9">
                  <c:v>-3.7825773472370712E-2</c:v>
                </c:pt>
                <c:pt idx="10">
                  <c:v>-2.0337306115014182E-2</c:v>
                </c:pt>
                <c:pt idx="11">
                  <c:v>-1.6806913472129613E-2</c:v>
                </c:pt>
                <c:pt idx="12">
                  <c:v>-1.5118199887286052E-2</c:v>
                </c:pt>
                <c:pt idx="13">
                  <c:v>-1.12189302936078E-2</c:v>
                </c:pt>
                <c:pt idx="14">
                  <c:v>-1.1691392267777505E-2</c:v>
                </c:pt>
                <c:pt idx="15">
                  <c:v>-1.2029337277828754E-2</c:v>
                </c:pt>
                <c:pt idx="16">
                  <c:v>-1.1626513976456171E-2</c:v>
                </c:pt>
                <c:pt idx="17">
                  <c:v>-1.1242334597697501E-2</c:v>
                </c:pt>
                <c:pt idx="18">
                  <c:v>-1.0720653842564135E-2</c:v>
                </c:pt>
                <c:pt idx="19">
                  <c:v>-1.1117012176024458E-2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AA_R_phophi_ty!$A$12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AA_R_phophi_ty!$B$12:$U$12</c:f>
              <c:numCache>
                <c:formatCode>General</c:formatCode>
                <c:ptCount val="20"/>
                <c:pt idx="0">
                  <c:v>-9.0585276246073584E-2</c:v>
                </c:pt>
                <c:pt idx="1">
                  <c:v>-6.247061935877353E-2</c:v>
                </c:pt>
                <c:pt idx="2">
                  <c:v>-4.9268187517699638E-2</c:v>
                </c:pt>
                <c:pt idx="3">
                  <c:v>-4.2229331443647967E-2</c:v>
                </c:pt>
                <c:pt idx="4">
                  <c:v>-4.336868534276013E-2</c:v>
                </c:pt>
                <c:pt idx="5">
                  <c:v>-3.7338457643555589E-2</c:v>
                </c:pt>
                <c:pt idx="6">
                  <c:v>-3.5622182235328495E-2</c:v>
                </c:pt>
                <c:pt idx="7">
                  <c:v>-3.7663018643449106E-2</c:v>
                </c:pt>
                <c:pt idx="8">
                  <c:v>-3.9357840023891325E-2</c:v>
                </c:pt>
                <c:pt idx="9">
                  <c:v>-3.9138401821179808E-2</c:v>
                </c:pt>
                <c:pt idx="10">
                  <c:v>-3.7716856950764766E-2</c:v>
                </c:pt>
                <c:pt idx="11">
                  <c:v>-3.1485450577258989E-2</c:v>
                </c:pt>
                <c:pt idx="12">
                  <c:v>-3.2065203680858786E-2</c:v>
                </c:pt>
                <c:pt idx="13">
                  <c:v>-3.2499573874384534E-2</c:v>
                </c:pt>
                <c:pt idx="14">
                  <c:v>-3.1680032302719326E-2</c:v>
                </c:pt>
                <c:pt idx="15">
                  <c:v>-3.2019635539658954E-2</c:v>
                </c:pt>
                <c:pt idx="16">
                  <c:v>-3.4667897398002821E-2</c:v>
                </c:pt>
                <c:pt idx="17">
                  <c:v>-3.1450849310062173E-2</c:v>
                </c:pt>
                <c:pt idx="18">
                  <c:v>-3.1535965512333744E-2</c:v>
                </c:pt>
                <c:pt idx="19">
                  <c:v>-2.8941155093942596E-2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AA_R_phophi_ty!$A$13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AA_R_phophi_ty!$B$13:$U$13</c:f>
              <c:numCache>
                <c:formatCode>General</c:formatCode>
                <c:ptCount val="20"/>
                <c:pt idx="0">
                  <c:v>-9.6233137748164568E-2</c:v>
                </c:pt>
                <c:pt idx="1">
                  <c:v>-5.932612837846038E-2</c:v>
                </c:pt>
                <c:pt idx="2">
                  <c:v>-5.1581048732996244E-2</c:v>
                </c:pt>
                <c:pt idx="3">
                  <c:v>-4.261199504447738E-2</c:v>
                </c:pt>
                <c:pt idx="4">
                  <c:v>-4.0436201041162252E-2</c:v>
                </c:pt>
                <c:pt idx="5">
                  <c:v>-4.043136003478584E-2</c:v>
                </c:pt>
                <c:pt idx="6">
                  <c:v>-3.7933468040739944E-2</c:v>
                </c:pt>
                <c:pt idx="7">
                  <c:v>-3.6917271446989981E-2</c:v>
                </c:pt>
                <c:pt idx="8">
                  <c:v>-3.6641074886905267E-2</c:v>
                </c:pt>
                <c:pt idx="9">
                  <c:v>-3.5578383373620188E-2</c:v>
                </c:pt>
                <c:pt idx="10">
                  <c:v>-3.4945230068689069E-2</c:v>
                </c:pt>
                <c:pt idx="11">
                  <c:v>-3.5993164219859534E-2</c:v>
                </c:pt>
                <c:pt idx="12">
                  <c:v>-3.4600948360250669E-2</c:v>
                </c:pt>
                <c:pt idx="13">
                  <c:v>-3.1197709250741747E-2</c:v>
                </c:pt>
                <c:pt idx="14">
                  <c:v>-3.4370180841631792E-2</c:v>
                </c:pt>
                <c:pt idx="15">
                  <c:v>-3.4883121904732146E-2</c:v>
                </c:pt>
                <c:pt idx="16">
                  <c:v>-3.7550677919555124E-2</c:v>
                </c:pt>
                <c:pt idx="17">
                  <c:v>-3.481326517032339E-2</c:v>
                </c:pt>
                <c:pt idx="18">
                  <c:v>-3.3302753842576652E-2</c:v>
                </c:pt>
                <c:pt idx="19">
                  <c:v>-3.4636655009634816E-2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AA_R_phophi_ty!$A$14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AA_R_phophi_ty!$B$14:$U$14</c:f>
              <c:numCache>
                <c:formatCode>General</c:formatCode>
                <c:ptCount val="20"/>
                <c:pt idx="0">
                  <c:v>-8.5324618693525339E-2</c:v>
                </c:pt>
                <c:pt idx="1">
                  <c:v>-5.2450666768951451E-2</c:v>
                </c:pt>
                <c:pt idx="2">
                  <c:v>-4.1794073349496648E-2</c:v>
                </c:pt>
                <c:pt idx="3">
                  <c:v>-3.3964952587395084E-2</c:v>
                </c:pt>
                <c:pt idx="4">
                  <c:v>-3.0603582869282227E-2</c:v>
                </c:pt>
                <c:pt idx="5">
                  <c:v>-2.9780688949084904E-2</c:v>
                </c:pt>
                <c:pt idx="6">
                  <c:v>-2.8994440561751676E-2</c:v>
                </c:pt>
                <c:pt idx="7">
                  <c:v>-2.804828295534537E-2</c:v>
                </c:pt>
                <c:pt idx="8">
                  <c:v>-2.8504892804157154E-2</c:v>
                </c:pt>
                <c:pt idx="9">
                  <c:v>-2.8154747728724824E-2</c:v>
                </c:pt>
                <c:pt idx="10">
                  <c:v>-2.4396540239100189E-2</c:v>
                </c:pt>
                <c:pt idx="11">
                  <c:v>-1.8778930832579616E-2</c:v>
                </c:pt>
                <c:pt idx="12">
                  <c:v>-1.8758112082789307E-2</c:v>
                </c:pt>
                <c:pt idx="13">
                  <c:v>-1.8764082662630119E-2</c:v>
                </c:pt>
                <c:pt idx="14">
                  <c:v>-1.7673151301332166E-2</c:v>
                </c:pt>
                <c:pt idx="15">
                  <c:v>-1.7946839576471165E-2</c:v>
                </c:pt>
                <c:pt idx="16">
                  <c:v>-1.8783949708296582E-2</c:v>
                </c:pt>
                <c:pt idx="17">
                  <c:v>-2.0196296704776025E-2</c:v>
                </c:pt>
                <c:pt idx="18">
                  <c:v>-2.1108920921641215E-2</c:v>
                </c:pt>
                <c:pt idx="19">
                  <c:v>-2.0122675846169637E-2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AA_R_phophi_ty!$A$15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AA_R_phophi_ty!$B$15:$U$15</c:f>
              <c:numCache>
                <c:formatCode>General</c:formatCode>
                <c:ptCount val="20"/>
                <c:pt idx="0">
                  <c:v>-6.8332893808619358E-2</c:v>
                </c:pt>
                <c:pt idx="1">
                  <c:v>-5.8857966198499444E-2</c:v>
                </c:pt>
                <c:pt idx="2">
                  <c:v>-4.9406775540747454E-2</c:v>
                </c:pt>
                <c:pt idx="3">
                  <c:v>-4.7265831741975378E-2</c:v>
                </c:pt>
                <c:pt idx="4">
                  <c:v>-4.6985804921727173E-2</c:v>
                </c:pt>
                <c:pt idx="5">
                  <c:v>-4.6205920259211913E-2</c:v>
                </c:pt>
                <c:pt idx="6">
                  <c:v>-4.7379427655867959E-2</c:v>
                </c:pt>
                <c:pt idx="7">
                  <c:v>-4.6481555199319083E-2</c:v>
                </c:pt>
                <c:pt idx="8">
                  <c:v>-4.4430248701438593E-2</c:v>
                </c:pt>
                <c:pt idx="9">
                  <c:v>-4.5819007655633931E-2</c:v>
                </c:pt>
                <c:pt idx="10">
                  <c:v>-4.2429734361677546E-2</c:v>
                </c:pt>
                <c:pt idx="11">
                  <c:v>-4.1630146761596938E-2</c:v>
                </c:pt>
                <c:pt idx="12">
                  <c:v>-3.9809512667095412E-2</c:v>
                </c:pt>
                <c:pt idx="13">
                  <c:v>-3.9803192409744358E-2</c:v>
                </c:pt>
                <c:pt idx="14">
                  <c:v>-3.5652263158250534E-2</c:v>
                </c:pt>
                <c:pt idx="15">
                  <c:v>-3.4354760088373293E-2</c:v>
                </c:pt>
                <c:pt idx="16">
                  <c:v>-3.577240700793801E-2</c:v>
                </c:pt>
                <c:pt idx="17">
                  <c:v>-3.6100522392026949E-2</c:v>
                </c:pt>
                <c:pt idx="18">
                  <c:v>-3.6989030450440906E-2</c:v>
                </c:pt>
                <c:pt idx="19">
                  <c:v>-3.8368137806991914E-2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AA_R_phophi_ty!$A$16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AA_R_phophi_ty!$B$16:$U$16</c:f>
              <c:numCache>
                <c:formatCode>General</c:formatCode>
                <c:ptCount val="20"/>
                <c:pt idx="0">
                  <c:v>-0.19871039838255339</c:v>
                </c:pt>
                <c:pt idx="1">
                  <c:v>-0.11632358993987599</c:v>
                </c:pt>
                <c:pt idx="2">
                  <c:v>-7.2447643408645582E-2</c:v>
                </c:pt>
                <c:pt idx="3">
                  <c:v>-5.6198820392271198E-2</c:v>
                </c:pt>
                <c:pt idx="4">
                  <c:v>-4.7160069400595396E-2</c:v>
                </c:pt>
                <c:pt idx="5">
                  <c:v>-4.0756463235196515E-2</c:v>
                </c:pt>
                <c:pt idx="6">
                  <c:v>-3.7335143119602093E-2</c:v>
                </c:pt>
                <c:pt idx="7">
                  <c:v>-3.4525289835874599E-2</c:v>
                </c:pt>
                <c:pt idx="8">
                  <c:v>-3.3821285506205223E-2</c:v>
                </c:pt>
                <c:pt idx="9">
                  <c:v>-3.3036206462106171E-2</c:v>
                </c:pt>
                <c:pt idx="10">
                  <c:v>-2.9675750101555053E-2</c:v>
                </c:pt>
                <c:pt idx="11">
                  <c:v>-2.7698746806778089E-2</c:v>
                </c:pt>
                <c:pt idx="12">
                  <c:v>-2.7432832094703877E-2</c:v>
                </c:pt>
                <c:pt idx="13">
                  <c:v>-2.7226088706090341E-2</c:v>
                </c:pt>
                <c:pt idx="14">
                  <c:v>-2.5689435378848165E-2</c:v>
                </c:pt>
                <c:pt idx="15">
                  <c:v>-2.2784475892672577E-2</c:v>
                </c:pt>
                <c:pt idx="16">
                  <c:v>-2.1822417199665517E-2</c:v>
                </c:pt>
                <c:pt idx="17">
                  <c:v>-2.2888562912100025E-2</c:v>
                </c:pt>
                <c:pt idx="18">
                  <c:v>-2.3165729457045005E-2</c:v>
                </c:pt>
                <c:pt idx="19">
                  <c:v>-2.2835991758247468E-2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AA_R_phophi_ty!$A$17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AA_R_phophi_ty!$B$17:$U$17</c:f>
              <c:numCache>
                <c:formatCode>General</c:formatCode>
                <c:ptCount val="20"/>
                <c:pt idx="0">
                  <c:v>-0.20524832699043113</c:v>
                </c:pt>
                <c:pt idx="1">
                  <c:v>-0.1181413252063221</c:v>
                </c:pt>
                <c:pt idx="2">
                  <c:v>-7.1911005459098717E-2</c:v>
                </c:pt>
                <c:pt idx="3">
                  <c:v>-5.5947397971095957E-2</c:v>
                </c:pt>
                <c:pt idx="4">
                  <c:v>-4.8715245522694371E-2</c:v>
                </c:pt>
                <c:pt idx="5">
                  <c:v>-4.1316770666227895E-2</c:v>
                </c:pt>
                <c:pt idx="6">
                  <c:v>-3.9840095960888694E-2</c:v>
                </c:pt>
                <c:pt idx="7">
                  <c:v>-3.9079317978188442E-2</c:v>
                </c:pt>
                <c:pt idx="8">
                  <c:v>-3.5277330620298357E-2</c:v>
                </c:pt>
                <c:pt idx="9">
                  <c:v>-3.67425265397784E-2</c:v>
                </c:pt>
                <c:pt idx="10">
                  <c:v>-3.4476682172603898E-2</c:v>
                </c:pt>
                <c:pt idx="11">
                  <c:v>-2.8688205940366703E-2</c:v>
                </c:pt>
                <c:pt idx="12">
                  <c:v>-2.7818399244296684E-2</c:v>
                </c:pt>
                <c:pt idx="13">
                  <c:v>-2.8845902525193933E-2</c:v>
                </c:pt>
                <c:pt idx="14">
                  <c:v>-2.5780379616043233E-2</c:v>
                </c:pt>
                <c:pt idx="15">
                  <c:v>-2.6929377830346241E-2</c:v>
                </c:pt>
                <c:pt idx="16">
                  <c:v>-2.8184658322830746E-2</c:v>
                </c:pt>
                <c:pt idx="17">
                  <c:v>-2.8166687078188056E-2</c:v>
                </c:pt>
                <c:pt idx="18">
                  <c:v>-2.9405182871982696E-2</c:v>
                </c:pt>
                <c:pt idx="19">
                  <c:v>-3.0749065148679335E-2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AA_R_phophi_ty!$A$18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AA_R_phophi_ty!$B$18:$U$18</c:f>
              <c:numCache>
                <c:formatCode>General</c:formatCode>
                <c:ptCount val="20"/>
                <c:pt idx="0">
                  <c:v>-0.21435629965709979</c:v>
                </c:pt>
                <c:pt idx="1">
                  <c:v>-0.13384650186335689</c:v>
                </c:pt>
                <c:pt idx="2">
                  <c:v>-8.6098120476534937E-2</c:v>
                </c:pt>
                <c:pt idx="3">
                  <c:v>-6.7042836662413452E-2</c:v>
                </c:pt>
                <c:pt idx="4">
                  <c:v>-6.2513987656904593E-2</c:v>
                </c:pt>
                <c:pt idx="5">
                  <c:v>-5.7044774608414263E-2</c:v>
                </c:pt>
                <c:pt idx="6">
                  <c:v>-5.3421660271915673E-2</c:v>
                </c:pt>
                <c:pt idx="7">
                  <c:v>-4.9392893277708558E-2</c:v>
                </c:pt>
                <c:pt idx="8">
                  <c:v>-5.2487352743148433E-2</c:v>
                </c:pt>
                <c:pt idx="9">
                  <c:v>-5.2315441245603965E-2</c:v>
                </c:pt>
                <c:pt idx="10">
                  <c:v>-4.7291189228779992E-2</c:v>
                </c:pt>
                <c:pt idx="11">
                  <c:v>-4.6146081840635463E-2</c:v>
                </c:pt>
                <c:pt idx="12">
                  <c:v>-4.4550183685777726E-2</c:v>
                </c:pt>
                <c:pt idx="13">
                  <c:v>-4.2169988173697666E-2</c:v>
                </c:pt>
                <c:pt idx="14">
                  <c:v>-4.010776317291305E-2</c:v>
                </c:pt>
                <c:pt idx="15">
                  <c:v>-3.5732974038284342E-2</c:v>
                </c:pt>
                <c:pt idx="16">
                  <c:v>-3.7858324241255674E-2</c:v>
                </c:pt>
                <c:pt idx="17">
                  <c:v>-3.8804737518231741E-2</c:v>
                </c:pt>
                <c:pt idx="18">
                  <c:v>-4.0599549443043302E-2</c:v>
                </c:pt>
                <c:pt idx="19">
                  <c:v>-3.894621346691747E-2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AA_R_phophi_ty!$A$19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AA_R_phophi_ty!$B$19:$U$19</c:f>
              <c:numCache>
                <c:formatCode>General</c:formatCode>
                <c:ptCount val="20"/>
                <c:pt idx="0">
                  <c:v>-0.13856216904744986</c:v>
                </c:pt>
                <c:pt idx="1">
                  <c:v>-9.7087549287302094E-2</c:v>
                </c:pt>
                <c:pt idx="2">
                  <c:v>-6.028253007337412E-2</c:v>
                </c:pt>
                <c:pt idx="3">
                  <c:v>-4.6558948407428115E-2</c:v>
                </c:pt>
                <c:pt idx="4">
                  <c:v>-3.8836191999744626E-2</c:v>
                </c:pt>
                <c:pt idx="5">
                  <c:v>-3.1931956153801053E-2</c:v>
                </c:pt>
                <c:pt idx="6">
                  <c:v>-2.9905479160542457E-2</c:v>
                </c:pt>
                <c:pt idx="7">
                  <c:v>-2.7469992659472128E-2</c:v>
                </c:pt>
                <c:pt idx="8">
                  <c:v>-2.4765291182168692E-2</c:v>
                </c:pt>
                <c:pt idx="9">
                  <c:v>-2.398899495708243E-2</c:v>
                </c:pt>
                <c:pt idx="10">
                  <c:v>-2.2203639083909876E-2</c:v>
                </c:pt>
                <c:pt idx="11">
                  <c:v>-2.1624913237061741E-2</c:v>
                </c:pt>
                <c:pt idx="12">
                  <c:v>-1.9538813888029461E-2</c:v>
                </c:pt>
                <c:pt idx="13">
                  <c:v>-1.8961369613190119E-2</c:v>
                </c:pt>
                <c:pt idx="14">
                  <c:v>-1.8285933036128316E-2</c:v>
                </c:pt>
                <c:pt idx="15">
                  <c:v>-1.6977841947114332E-2</c:v>
                </c:pt>
                <c:pt idx="16">
                  <c:v>-1.7438611247970481E-2</c:v>
                </c:pt>
                <c:pt idx="17">
                  <c:v>-1.7240752452158909E-2</c:v>
                </c:pt>
                <c:pt idx="18">
                  <c:v>-1.7175844413650981E-2</c:v>
                </c:pt>
                <c:pt idx="19">
                  <c:v>-1.7586926392653919E-2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AA_R_phophi_ty!$A$20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AA_R_phophi_ty!$B$20:$U$20</c:f>
              <c:numCache>
                <c:formatCode>General</c:formatCode>
                <c:ptCount val="20"/>
                <c:pt idx="0">
                  <c:v>-0.13027400645275516</c:v>
                </c:pt>
                <c:pt idx="1">
                  <c:v>-9.2828058766527513E-2</c:v>
                </c:pt>
                <c:pt idx="2">
                  <c:v>-5.2602437871444453E-2</c:v>
                </c:pt>
                <c:pt idx="3">
                  <c:v>-3.8662232641021116E-2</c:v>
                </c:pt>
                <c:pt idx="4">
                  <c:v>-3.2187489300510151E-2</c:v>
                </c:pt>
                <c:pt idx="5">
                  <c:v>-2.3865667859607389E-2</c:v>
                </c:pt>
                <c:pt idx="6">
                  <c:v>-2.3719653889699092E-2</c:v>
                </c:pt>
                <c:pt idx="7">
                  <c:v>-2.2986835477840716E-2</c:v>
                </c:pt>
                <c:pt idx="8">
                  <c:v>-2.0212004958788447E-2</c:v>
                </c:pt>
                <c:pt idx="9">
                  <c:v>-1.9252743522188028E-2</c:v>
                </c:pt>
                <c:pt idx="10">
                  <c:v>-1.9257986964378592E-2</c:v>
                </c:pt>
                <c:pt idx="11">
                  <c:v>-1.8979761016064332E-2</c:v>
                </c:pt>
                <c:pt idx="12">
                  <c:v>-1.883178856133565E-2</c:v>
                </c:pt>
                <c:pt idx="13">
                  <c:v>-1.8658392191155025E-2</c:v>
                </c:pt>
                <c:pt idx="14">
                  <c:v>-1.8655462504494263E-2</c:v>
                </c:pt>
                <c:pt idx="15">
                  <c:v>-1.8666775577472521E-2</c:v>
                </c:pt>
                <c:pt idx="16">
                  <c:v>-1.6359049026301153E-2</c:v>
                </c:pt>
                <c:pt idx="17">
                  <c:v>-1.6993100649518256E-2</c:v>
                </c:pt>
                <c:pt idx="18">
                  <c:v>-1.7913317404910575E-2</c:v>
                </c:pt>
                <c:pt idx="19">
                  <c:v>-1.7820211360776821E-2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AA_R_phophi_ty!$A$21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AA_R_phophi_ty!$B$21:$U$21</c:f>
              <c:numCache>
                <c:formatCode>General</c:formatCode>
                <c:ptCount val="20"/>
                <c:pt idx="0">
                  <c:v>-0.13239182604159427</c:v>
                </c:pt>
                <c:pt idx="1">
                  <c:v>-9.4922767056877494E-2</c:v>
                </c:pt>
                <c:pt idx="2">
                  <c:v>-5.4236776325467674E-2</c:v>
                </c:pt>
                <c:pt idx="3">
                  <c:v>-3.8830900153182905E-2</c:v>
                </c:pt>
                <c:pt idx="4">
                  <c:v>-3.1784503448075728E-2</c:v>
                </c:pt>
                <c:pt idx="5">
                  <c:v>-2.5709526102023445E-2</c:v>
                </c:pt>
                <c:pt idx="6">
                  <c:v>-2.4219712275631675E-2</c:v>
                </c:pt>
                <c:pt idx="7">
                  <c:v>-2.3057210533995905E-2</c:v>
                </c:pt>
                <c:pt idx="8">
                  <c:v>-2.1663328131504289E-2</c:v>
                </c:pt>
                <c:pt idx="9">
                  <c:v>-2.1142662930182139E-2</c:v>
                </c:pt>
                <c:pt idx="10">
                  <c:v>-2.0885748820210024E-2</c:v>
                </c:pt>
                <c:pt idx="11">
                  <c:v>-2.0580477136939817E-2</c:v>
                </c:pt>
                <c:pt idx="12">
                  <c:v>-1.8946585473579358E-2</c:v>
                </c:pt>
                <c:pt idx="13">
                  <c:v>-1.8558731842731078E-2</c:v>
                </c:pt>
                <c:pt idx="14">
                  <c:v>-1.8516840936248957E-2</c:v>
                </c:pt>
                <c:pt idx="15">
                  <c:v>-1.7865158564345885E-2</c:v>
                </c:pt>
                <c:pt idx="16">
                  <c:v>-1.7677716989290344E-2</c:v>
                </c:pt>
                <c:pt idx="17">
                  <c:v>-1.6901956795097602E-2</c:v>
                </c:pt>
                <c:pt idx="18">
                  <c:v>-1.7032337242491244E-2</c:v>
                </c:pt>
                <c:pt idx="19">
                  <c:v>-1.7587975703837081E-2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AA_R_phophi_ty!$A$22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AA_R_phophi_ty!$B$22:$U$22</c:f>
              <c:numCache>
                <c:formatCode>General</c:formatCode>
                <c:ptCount val="20"/>
                <c:pt idx="0">
                  <c:v>-0.12866385683741111</c:v>
                </c:pt>
                <c:pt idx="1">
                  <c:v>-9.0072220004227224E-2</c:v>
                </c:pt>
                <c:pt idx="2">
                  <c:v>-5.1578811261297465E-2</c:v>
                </c:pt>
                <c:pt idx="3">
                  <c:v>-3.8517842090474846E-2</c:v>
                </c:pt>
                <c:pt idx="4">
                  <c:v>-3.1887388538362163E-2</c:v>
                </c:pt>
                <c:pt idx="5">
                  <c:v>-2.5474753309303565E-2</c:v>
                </c:pt>
                <c:pt idx="6">
                  <c:v>-2.3065994841635185E-2</c:v>
                </c:pt>
                <c:pt idx="7">
                  <c:v>-2.1124182642501474E-2</c:v>
                </c:pt>
                <c:pt idx="8">
                  <c:v>-1.8790084618299136E-2</c:v>
                </c:pt>
                <c:pt idx="9">
                  <c:v>-1.8682749033828126E-2</c:v>
                </c:pt>
                <c:pt idx="10">
                  <c:v>-1.9273415271807485E-2</c:v>
                </c:pt>
                <c:pt idx="11">
                  <c:v>-1.9511074555161202E-2</c:v>
                </c:pt>
                <c:pt idx="12">
                  <c:v>-1.9093724483624158E-2</c:v>
                </c:pt>
                <c:pt idx="13">
                  <c:v>-1.9888968488055395E-2</c:v>
                </c:pt>
                <c:pt idx="14">
                  <c:v>-1.8731989873775799E-2</c:v>
                </c:pt>
                <c:pt idx="15">
                  <c:v>-1.7651330652239793E-2</c:v>
                </c:pt>
                <c:pt idx="16">
                  <c:v>-1.7720554510262124E-2</c:v>
                </c:pt>
                <c:pt idx="17">
                  <c:v>-1.7846158178820994E-2</c:v>
                </c:pt>
                <c:pt idx="18">
                  <c:v>-1.85389345101248E-2</c:v>
                </c:pt>
                <c:pt idx="19">
                  <c:v>-1.934779552328415E-2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AA_R_phophi_ty!$A$23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AA_R_phophi_ty!$B$23:$U$23</c:f>
              <c:numCache>
                <c:formatCode>General</c:formatCode>
                <c:ptCount val="20"/>
                <c:pt idx="0">
                  <c:v>-0.12860788845498466</c:v>
                </c:pt>
                <c:pt idx="1">
                  <c:v>-9.1875197713612522E-2</c:v>
                </c:pt>
                <c:pt idx="2">
                  <c:v>-5.2007543108465379E-2</c:v>
                </c:pt>
                <c:pt idx="3">
                  <c:v>-3.8079180236678445E-2</c:v>
                </c:pt>
                <c:pt idx="4">
                  <c:v>-3.0506780094234208E-2</c:v>
                </c:pt>
                <c:pt idx="5">
                  <c:v>-2.4230778094200607E-2</c:v>
                </c:pt>
                <c:pt idx="6">
                  <c:v>-2.3842748671222477E-2</c:v>
                </c:pt>
                <c:pt idx="7">
                  <c:v>-2.1140689961808883E-2</c:v>
                </c:pt>
                <c:pt idx="8">
                  <c:v>-1.9734589301462761E-2</c:v>
                </c:pt>
                <c:pt idx="9">
                  <c:v>-1.86290159464132E-2</c:v>
                </c:pt>
                <c:pt idx="10">
                  <c:v>-1.9368838245841992E-2</c:v>
                </c:pt>
                <c:pt idx="11">
                  <c:v>-1.9036152430673702E-2</c:v>
                </c:pt>
                <c:pt idx="12">
                  <c:v>-1.8179891617814914E-2</c:v>
                </c:pt>
                <c:pt idx="13">
                  <c:v>-1.8614671429538727E-2</c:v>
                </c:pt>
                <c:pt idx="14">
                  <c:v>-1.8895680110935981E-2</c:v>
                </c:pt>
                <c:pt idx="15">
                  <c:v>-1.7803799687568025E-2</c:v>
                </c:pt>
                <c:pt idx="16">
                  <c:v>-1.7642037176124867E-2</c:v>
                </c:pt>
                <c:pt idx="17">
                  <c:v>-1.8177489185286257E-2</c:v>
                </c:pt>
                <c:pt idx="18">
                  <c:v>-1.7848416145715484E-2</c:v>
                </c:pt>
                <c:pt idx="19">
                  <c:v>-1.7293126513723597E-2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AA_R_phophi_ty!$A$24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AA_R_phophi_ty!$B$24:$U$24</c:f>
              <c:numCache>
                <c:formatCode>General</c:formatCode>
                <c:ptCount val="20"/>
                <c:pt idx="0">
                  <c:v>-0.13101586510507518</c:v>
                </c:pt>
                <c:pt idx="1">
                  <c:v>-9.3229402905948416E-2</c:v>
                </c:pt>
                <c:pt idx="2">
                  <c:v>-5.4124340742525624E-2</c:v>
                </c:pt>
                <c:pt idx="3">
                  <c:v>-4.0988855171313725E-2</c:v>
                </c:pt>
                <c:pt idx="4">
                  <c:v>-3.3921376386452623E-2</c:v>
                </c:pt>
                <c:pt idx="5">
                  <c:v>-2.7722343675688585E-2</c:v>
                </c:pt>
                <c:pt idx="6">
                  <c:v>-2.5111316063069843E-2</c:v>
                </c:pt>
                <c:pt idx="7">
                  <c:v>-2.4329906725333382E-2</c:v>
                </c:pt>
                <c:pt idx="8">
                  <c:v>-2.1648497948389103E-2</c:v>
                </c:pt>
                <c:pt idx="9">
                  <c:v>-2.147590267028297E-2</c:v>
                </c:pt>
                <c:pt idx="10">
                  <c:v>-2.0575672643144544E-2</c:v>
                </c:pt>
                <c:pt idx="11">
                  <c:v>-2.0953652026207231E-2</c:v>
                </c:pt>
                <c:pt idx="12">
                  <c:v>-1.9539911219822383E-2</c:v>
                </c:pt>
                <c:pt idx="13">
                  <c:v>-1.8788213821854655E-2</c:v>
                </c:pt>
                <c:pt idx="14">
                  <c:v>-1.8091217377720393E-2</c:v>
                </c:pt>
                <c:pt idx="15">
                  <c:v>-1.8114261971682807E-2</c:v>
                </c:pt>
                <c:pt idx="16">
                  <c:v>-1.8127757358628326E-2</c:v>
                </c:pt>
                <c:pt idx="17">
                  <c:v>-1.8725976199187564E-2</c:v>
                </c:pt>
                <c:pt idx="18">
                  <c:v>-1.9620831234282519E-2</c:v>
                </c:pt>
                <c:pt idx="19">
                  <c:v>-1.9270887997407747E-2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AA_R_phophi_ty!$A$25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AA_R_phophi_ty!$B$25:$U$25</c:f>
              <c:numCache>
                <c:formatCode>General</c:formatCode>
                <c:ptCount val="20"/>
                <c:pt idx="0">
                  <c:v>-0.1323251728357335</c:v>
                </c:pt>
                <c:pt idx="1">
                  <c:v>-9.6194264745279312E-2</c:v>
                </c:pt>
                <c:pt idx="2">
                  <c:v>-5.6204245300371554E-2</c:v>
                </c:pt>
                <c:pt idx="3">
                  <c:v>-4.0687820585027325E-2</c:v>
                </c:pt>
                <c:pt idx="4">
                  <c:v>-3.4294917940596303E-2</c:v>
                </c:pt>
                <c:pt idx="5">
                  <c:v>-2.7737732532905901E-2</c:v>
                </c:pt>
                <c:pt idx="6">
                  <c:v>-2.5594580857572557E-2</c:v>
                </c:pt>
                <c:pt idx="7">
                  <c:v>-2.4110270568407467E-2</c:v>
                </c:pt>
                <c:pt idx="8">
                  <c:v>-2.1598409674353711E-2</c:v>
                </c:pt>
                <c:pt idx="9">
                  <c:v>-2.0439513491141641E-2</c:v>
                </c:pt>
                <c:pt idx="10">
                  <c:v>-1.8789365983451274E-2</c:v>
                </c:pt>
                <c:pt idx="11">
                  <c:v>-1.9718781946355443E-2</c:v>
                </c:pt>
                <c:pt idx="12">
                  <c:v>-1.6899705454362514E-2</c:v>
                </c:pt>
                <c:pt idx="13">
                  <c:v>-1.6897485744161493E-2</c:v>
                </c:pt>
                <c:pt idx="14">
                  <c:v>-1.6157908015928171E-2</c:v>
                </c:pt>
                <c:pt idx="15">
                  <c:v>-1.6963296646728326E-2</c:v>
                </c:pt>
                <c:pt idx="16">
                  <c:v>-1.747285723796585E-2</c:v>
                </c:pt>
                <c:pt idx="17">
                  <c:v>-1.7564531174794243E-2</c:v>
                </c:pt>
                <c:pt idx="18">
                  <c:v>-1.820950299724319E-2</c:v>
                </c:pt>
                <c:pt idx="19">
                  <c:v>-1.6714954333336664E-2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AA_R_phophi_ty!$A$26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AA_R_phophi_ty!$B$26:$U$26</c:f>
              <c:numCache>
                <c:formatCode>General</c:formatCode>
                <c:ptCount val="20"/>
                <c:pt idx="0">
                  <c:v>-0.20763066061032978</c:v>
                </c:pt>
                <c:pt idx="1">
                  <c:v>-0.11789978853963053</c:v>
                </c:pt>
                <c:pt idx="2">
                  <c:v>-6.2573854267927331E-2</c:v>
                </c:pt>
                <c:pt idx="3">
                  <c:v>-4.6127968931052539E-2</c:v>
                </c:pt>
                <c:pt idx="4">
                  <c:v>-3.5281435610555072E-2</c:v>
                </c:pt>
                <c:pt idx="5">
                  <c:v>-2.809835867736285E-2</c:v>
                </c:pt>
                <c:pt idx="6">
                  <c:v>-2.5634451064298194E-2</c:v>
                </c:pt>
                <c:pt idx="7">
                  <c:v>-2.0506350929171739E-2</c:v>
                </c:pt>
                <c:pt idx="8">
                  <c:v>-2.1370558754691137E-2</c:v>
                </c:pt>
                <c:pt idx="9">
                  <c:v>-1.8356017163310649E-2</c:v>
                </c:pt>
                <c:pt idx="10">
                  <c:v>-1.7473208643503081E-2</c:v>
                </c:pt>
                <c:pt idx="11">
                  <c:v>-1.7220535838112422E-2</c:v>
                </c:pt>
                <c:pt idx="12">
                  <c:v>-1.4477615136650144E-2</c:v>
                </c:pt>
                <c:pt idx="13">
                  <c:v>-1.5058935679285911E-2</c:v>
                </c:pt>
                <c:pt idx="14">
                  <c:v>-1.308964125913618E-2</c:v>
                </c:pt>
                <c:pt idx="15">
                  <c:v>-1.3865308688152247E-2</c:v>
                </c:pt>
                <c:pt idx="16">
                  <c:v>-1.4226469313111365E-2</c:v>
                </c:pt>
                <c:pt idx="17">
                  <c:v>-1.3625072216374282E-2</c:v>
                </c:pt>
                <c:pt idx="18">
                  <c:v>-1.4117713342621583E-2</c:v>
                </c:pt>
                <c:pt idx="19">
                  <c:v>-1.3881340056013011E-2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AA_R_phophi_ty!$A$27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AA_R_phophi_ty!$B$27:$U$27</c:f>
              <c:numCache>
                <c:formatCode>General</c:formatCode>
                <c:ptCount val="20"/>
                <c:pt idx="0">
                  <c:v>-0.14020369646842243</c:v>
                </c:pt>
                <c:pt idx="1">
                  <c:v>-9.9755993897950049E-2</c:v>
                </c:pt>
                <c:pt idx="2">
                  <c:v>-5.8908082230763194E-2</c:v>
                </c:pt>
                <c:pt idx="3">
                  <c:v>-4.5493142396829611E-2</c:v>
                </c:pt>
                <c:pt idx="4">
                  <c:v>-3.7816729426124754E-2</c:v>
                </c:pt>
                <c:pt idx="5">
                  <c:v>-3.1320637878210308E-2</c:v>
                </c:pt>
                <c:pt idx="6">
                  <c:v>-2.9477978272515845E-2</c:v>
                </c:pt>
                <c:pt idx="7">
                  <c:v>-2.6783108454312553E-2</c:v>
                </c:pt>
                <c:pt idx="8">
                  <c:v>-2.6804651330785238E-2</c:v>
                </c:pt>
                <c:pt idx="9">
                  <c:v>-2.3900945478128502E-2</c:v>
                </c:pt>
                <c:pt idx="10">
                  <c:v>-2.2715072929076412E-2</c:v>
                </c:pt>
                <c:pt idx="11">
                  <c:v>-2.1204735936443255E-2</c:v>
                </c:pt>
                <c:pt idx="12">
                  <c:v>-1.9839433944344193E-2</c:v>
                </c:pt>
                <c:pt idx="13">
                  <c:v>-2.0033073554466697E-2</c:v>
                </c:pt>
                <c:pt idx="14">
                  <c:v>-2.0045739970310648E-2</c:v>
                </c:pt>
                <c:pt idx="15">
                  <c:v>-2.0140845688317078E-2</c:v>
                </c:pt>
                <c:pt idx="16">
                  <c:v>-2.0732669059649152E-2</c:v>
                </c:pt>
                <c:pt idx="17">
                  <c:v>-1.857717964938382E-2</c:v>
                </c:pt>
                <c:pt idx="18">
                  <c:v>-1.9497555893430607E-2</c:v>
                </c:pt>
                <c:pt idx="19">
                  <c:v>-1.8915955073272536E-2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AA_R_phophi_ty!$A$28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AA_R_phophi_ty!$B$28:$U$28</c:f>
              <c:numCache>
                <c:formatCode>General</c:formatCode>
                <c:ptCount val="20"/>
                <c:pt idx="0">
                  <c:v>-0.13526329030382039</c:v>
                </c:pt>
                <c:pt idx="1">
                  <c:v>-9.8481572629390168E-2</c:v>
                </c:pt>
                <c:pt idx="2">
                  <c:v>-5.783799090313789E-2</c:v>
                </c:pt>
                <c:pt idx="3">
                  <c:v>-4.4651880732419963E-2</c:v>
                </c:pt>
                <c:pt idx="4">
                  <c:v>-3.6862632990644108E-2</c:v>
                </c:pt>
                <c:pt idx="5">
                  <c:v>-3.0885528438467872E-2</c:v>
                </c:pt>
                <c:pt idx="6">
                  <c:v>-2.7897156823432818E-2</c:v>
                </c:pt>
                <c:pt idx="7">
                  <c:v>-2.6918850865435114E-2</c:v>
                </c:pt>
                <c:pt idx="8">
                  <c:v>-2.5804124058875871E-2</c:v>
                </c:pt>
                <c:pt idx="9">
                  <c:v>-2.2011176647256717E-2</c:v>
                </c:pt>
                <c:pt idx="10">
                  <c:v>-2.0034482811175938E-2</c:v>
                </c:pt>
                <c:pt idx="11">
                  <c:v>-1.9116594885269376E-2</c:v>
                </c:pt>
                <c:pt idx="12">
                  <c:v>-1.7796481216422976E-2</c:v>
                </c:pt>
                <c:pt idx="13">
                  <c:v>-1.6996408592162816E-2</c:v>
                </c:pt>
                <c:pt idx="14">
                  <c:v>-1.6409312186871385E-2</c:v>
                </c:pt>
                <c:pt idx="15">
                  <c:v>-1.6688677704518189E-2</c:v>
                </c:pt>
                <c:pt idx="16">
                  <c:v>-1.6792986166619246E-2</c:v>
                </c:pt>
                <c:pt idx="17">
                  <c:v>-1.7141797170701106E-2</c:v>
                </c:pt>
                <c:pt idx="18">
                  <c:v>-1.8548858683134859E-2</c:v>
                </c:pt>
                <c:pt idx="19">
                  <c:v>-1.8268041396773283E-2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AA_R_phophi_ty!$A$29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AA_R_phophi_ty!$B$29:$U$29</c:f>
              <c:numCache>
                <c:formatCode>General</c:formatCode>
                <c:ptCount val="20"/>
                <c:pt idx="0">
                  <c:v>-0.13983009857511233</c:v>
                </c:pt>
                <c:pt idx="1">
                  <c:v>-0.10596691003266343</c:v>
                </c:pt>
                <c:pt idx="2">
                  <c:v>-6.7966476195844394E-2</c:v>
                </c:pt>
                <c:pt idx="3">
                  <c:v>-5.4605153485884052E-2</c:v>
                </c:pt>
                <c:pt idx="4">
                  <c:v>-4.642755310025283E-2</c:v>
                </c:pt>
                <c:pt idx="5">
                  <c:v>-4.231764479682474E-2</c:v>
                </c:pt>
                <c:pt idx="6">
                  <c:v>-4.1808289005846079E-2</c:v>
                </c:pt>
                <c:pt idx="7">
                  <c:v>-3.9127207867967577E-2</c:v>
                </c:pt>
                <c:pt idx="8">
                  <c:v>-3.6956995465306876E-2</c:v>
                </c:pt>
                <c:pt idx="9">
                  <c:v>-3.5008444875348155E-2</c:v>
                </c:pt>
                <c:pt idx="10">
                  <c:v>-2.9345566707745348E-2</c:v>
                </c:pt>
                <c:pt idx="11">
                  <c:v>-2.6410606185834577E-2</c:v>
                </c:pt>
                <c:pt idx="12">
                  <c:v>-2.6355072215464216E-2</c:v>
                </c:pt>
                <c:pt idx="13">
                  <c:v>-2.5816768398127653E-2</c:v>
                </c:pt>
                <c:pt idx="14">
                  <c:v>-2.5862887104602258E-2</c:v>
                </c:pt>
                <c:pt idx="15">
                  <c:v>-2.5488268766009299E-2</c:v>
                </c:pt>
                <c:pt idx="16">
                  <c:v>-2.2669482503816164E-2</c:v>
                </c:pt>
                <c:pt idx="17">
                  <c:v>-2.1512691093430094E-2</c:v>
                </c:pt>
                <c:pt idx="18">
                  <c:v>-2.2235935105602005E-2</c:v>
                </c:pt>
                <c:pt idx="19">
                  <c:v>-2.0999378726324635E-2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AA_R_phophi_ty!$A$30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AA_R_phophi_ty!$B$30:$U$30</c:f>
              <c:numCache>
                <c:formatCode>General</c:formatCode>
                <c:ptCount val="20"/>
                <c:pt idx="0">
                  <c:v>-0.10227501482053704</c:v>
                </c:pt>
                <c:pt idx="1">
                  <c:v>-6.6890504856271002E-2</c:v>
                </c:pt>
                <c:pt idx="2">
                  <c:v>-3.3209686233778998E-2</c:v>
                </c:pt>
                <c:pt idx="3">
                  <c:v>-2.6327200559895146E-2</c:v>
                </c:pt>
                <c:pt idx="4">
                  <c:v>-2.2703724627030165E-2</c:v>
                </c:pt>
                <c:pt idx="5">
                  <c:v>-1.6977847978610974E-2</c:v>
                </c:pt>
                <c:pt idx="6">
                  <c:v>-1.3758276072459098E-2</c:v>
                </c:pt>
                <c:pt idx="7">
                  <c:v>-1.2069271610305101E-2</c:v>
                </c:pt>
                <c:pt idx="8">
                  <c:v>-1.1494708254684856E-2</c:v>
                </c:pt>
                <c:pt idx="9">
                  <c:v>-1.0532114641258647E-2</c:v>
                </c:pt>
                <c:pt idx="10">
                  <c:v>-1.0501561326770197E-2</c:v>
                </c:pt>
                <c:pt idx="11">
                  <c:v>-1.0167933711435581E-2</c:v>
                </c:pt>
                <c:pt idx="12">
                  <c:v>-9.29012601826186E-3</c:v>
                </c:pt>
                <c:pt idx="13">
                  <c:v>-8.9425700809644404E-3</c:v>
                </c:pt>
                <c:pt idx="14">
                  <c:v>-9.043808141660975E-3</c:v>
                </c:pt>
                <c:pt idx="15">
                  <c:v>-9.0581072236653563E-3</c:v>
                </c:pt>
                <c:pt idx="16">
                  <c:v>-9.508468129759402E-3</c:v>
                </c:pt>
                <c:pt idx="17">
                  <c:v>-9.9247788310516671E-3</c:v>
                </c:pt>
                <c:pt idx="18">
                  <c:v>-9.8737600597958546E-3</c:v>
                </c:pt>
                <c:pt idx="19">
                  <c:v>-1.0180460879872838E-2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AA_R_phophi_ty!$A$31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AA_R_phophi_ty!$B$31:$U$31</c:f>
              <c:numCache>
                <c:formatCode>General</c:formatCode>
                <c:ptCount val="20"/>
                <c:pt idx="0">
                  <c:v>-0.13351843586828196</c:v>
                </c:pt>
                <c:pt idx="1">
                  <c:v>-0.11377900153793667</c:v>
                </c:pt>
                <c:pt idx="2">
                  <c:v>-0.10535453742371453</c:v>
                </c:pt>
                <c:pt idx="3">
                  <c:v>-0.10028617484626312</c:v>
                </c:pt>
                <c:pt idx="4">
                  <c:v>-9.5969415061935112E-2</c:v>
                </c:pt>
                <c:pt idx="5">
                  <c:v>-8.7439401173172254E-2</c:v>
                </c:pt>
                <c:pt idx="6">
                  <c:v>-8.7093068163843032E-2</c:v>
                </c:pt>
                <c:pt idx="7">
                  <c:v>-8.5984917454297788E-2</c:v>
                </c:pt>
                <c:pt idx="8">
                  <c:v>-8.4902585451548232E-2</c:v>
                </c:pt>
                <c:pt idx="9">
                  <c:v>-8.289195630635883E-2</c:v>
                </c:pt>
                <c:pt idx="10">
                  <c:v>-7.6507906256093702E-2</c:v>
                </c:pt>
                <c:pt idx="11">
                  <c:v>-7.7278123426402889E-2</c:v>
                </c:pt>
                <c:pt idx="12">
                  <c:v>-7.9646596184528004E-2</c:v>
                </c:pt>
                <c:pt idx="13">
                  <c:v>-8.2449084338055367E-2</c:v>
                </c:pt>
                <c:pt idx="14">
                  <c:v>-8.2701424102052945E-2</c:v>
                </c:pt>
                <c:pt idx="15">
                  <c:v>-8.0420730173655447E-2</c:v>
                </c:pt>
                <c:pt idx="16">
                  <c:v>-7.808694923481449E-2</c:v>
                </c:pt>
                <c:pt idx="17">
                  <c:v>-7.7988465171329097E-2</c:v>
                </c:pt>
                <c:pt idx="18">
                  <c:v>-7.7316594373688638E-2</c:v>
                </c:pt>
                <c:pt idx="19">
                  <c:v>-7.9059832536016408E-2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AA_R_phophi_ty!$A$32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AA_R_phophi_ty!$B$32:$U$32</c:f>
              <c:numCache>
                <c:formatCode>General</c:formatCode>
                <c:ptCount val="20"/>
                <c:pt idx="0">
                  <c:v>-0.14100433059983414</c:v>
                </c:pt>
                <c:pt idx="1">
                  <c:v>-7.4646528512943025E-2</c:v>
                </c:pt>
                <c:pt idx="2">
                  <c:v>-3.3789268084004571E-2</c:v>
                </c:pt>
                <c:pt idx="3">
                  <c:v>-2.0463256839059897E-2</c:v>
                </c:pt>
                <c:pt idx="4">
                  <c:v>-1.621048704510137E-2</c:v>
                </c:pt>
                <c:pt idx="5">
                  <c:v>-1.3667914363807617E-2</c:v>
                </c:pt>
                <c:pt idx="6">
                  <c:v>-1.0995586696211871E-2</c:v>
                </c:pt>
                <c:pt idx="7">
                  <c:v>-9.1824678244208716E-3</c:v>
                </c:pt>
                <c:pt idx="8">
                  <c:v>-8.279775608320895E-3</c:v>
                </c:pt>
                <c:pt idx="9">
                  <c:v>-6.5746111532175473E-3</c:v>
                </c:pt>
                <c:pt idx="10">
                  <c:v>-5.2727243103206341E-3</c:v>
                </c:pt>
                <c:pt idx="11">
                  <c:v>-4.6437762290542023E-3</c:v>
                </c:pt>
                <c:pt idx="12">
                  <c:v>-3.8288763003211609E-3</c:v>
                </c:pt>
                <c:pt idx="13">
                  <c:v>-3.8459627841626438E-3</c:v>
                </c:pt>
                <c:pt idx="14">
                  <c:v>-2.8174455665532614E-3</c:v>
                </c:pt>
                <c:pt idx="15">
                  <c:v>-3.0164679679153543E-3</c:v>
                </c:pt>
                <c:pt idx="16">
                  <c:v>-2.3090112093091227E-3</c:v>
                </c:pt>
                <c:pt idx="17">
                  <c:v>-2.575294877181476E-3</c:v>
                </c:pt>
                <c:pt idx="18">
                  <c:v>-2.9061760892874896E-3</c:v>
                </c:pt>
                <c:pt idx="19">
                  <c:v>-2.6877076647595132E-3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AA_R_phophi_ty!$A$33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AA_R_phophi_ty!$B$33:$U$33</c:f>
              <c:numCache>
                <c:formatCode>General</c:formatCode>
                <c:ptCount val="20"/>
                <c:pt idx="0">
                  <c:v>-0.12811211668437308</c:v>
                </c:pt>
                <c:pt idx="1">
                  <c:v>-6.3218779832748401E-2</c:v>
                </c:pt>
                <c:pt idx="2">
                  <c:v>-3.4699131959631549E-2</c:v>
                </c:pt>
                <c:pt idx="3">
                  <c:v>-2.2570545255057604E-2</c:v>
                </c:pt>
                <c:pt idx="4">
                  <c:v>-2.027703007969283E-2</c:v>
                </c:pt>
                <c:pt idx="5">
                  <c:v>-1.6799975070278854E-2</c:v>
                </c:pt>
                <c:pt idx="6">
                  <c:v>-1.3889477385771194E-2</c:v>
                </c:pt>
                <c:pt idx="7">
                  <c:v>-1.0522402830252936E-2</c:v>
                </c:pt>
                <c:pt idx="8">
                  <c:v>-9.1280462363131955E-3</c:v>
                </c:pt>
                <c:pt idx="9">
                  <c:v>-8.0189892746765461E-3</c:v>
                </c:pt>
                <c:pt idx="10">
                  <c:v>-7.7925479381143348E-3</c:v>
                </c:pt>
                <c:pt idx="11">
                  <c:v>-7.1740891447135144E-3</c:v>
                </c:pt>
                <c:pt idx="12">
                  <c:v>-6.4476371483433628E-3</c:v>
                </c:pt>
                <c:pt idx="13">
                  <c:v>-6.1653482817326495E-3</c:v>
                </c:pt>
                <c:pt idx="14">
                  <c:v>-6.1285510397723463E-3</c:v>
                </c:pt>
                <c:pt idx="15">
                  <c:v>-5.0202043229788818E-3</c:v>
                </c:pt>
                <c:pt idx="16">
                  <c:v>-5.0822869141387006E-3</c:v>
                </c:pt>
                <c:pt idx="17">
                  <c:v>-5.52939073890211E-3</c:v>
                </c:pt>
                <c:pt idx="18">
                  <c:v>-6.1049672566455306E-3</c:v>
                </c:pt>
                <c:pt idx="19">
                  <c:v>-6.4891488402069953E-3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AA_R_phophi_ty!$A$34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AA_R_phophi_ty!$B$34:$U$34</c:f>
              <c:numCache>
                <c:formatCode>General</c:formatCode>
                <c:ptCount val="20"/>
                <c:pt idx="0">
                  <c:v>-0.12979770770679508</c:v>
                </c:pt>
                <c:pt idx="1">
                  <c:v>-6.2510385376015332E-2</c:v>
                </c:pt>
                <c:pt idx="2">
                  <c:v>-3.3646555730474703E-2</c:v>
                </c:pt>
                <c:pt idx="3">
                  <c:v>-2.275305860624241E-2</c:v>
                </c:pt>
                <c:pt idx="4">
                  <c:v>-1.9523188799114459E-2</c:v>
                </c:pt>
                <c:pt idx="5">
                  <c:v>-1.5743289606458124E-2</c:v>
                </c:pt>
                <c:pt idx="6">
                  <c:v>-1.3698057406471925E-2</c:v>
                </c:pt>
                <c:pt idx="7">
                  <c:v>-1.0929143922624139E-2</c:v>
                </c:pt>
                <c:pt idx="8">
                  <c:v>-8.995281405985444E-3</c:v>
                </c:pt>
                <c:pt idx="9">
                  <c:v>-7.4469336078928795E-3</c:v>
                </c:pt>
                <c:pt idx="10">
                  <c:v>-5.3045406076546106E-3</c:v>
                </c:pt>
                <c:pt idx="11">
                  <c:v>-5.416884746651634E-3</c:v>
                </c:pt>
                <c:pt idx="12">
                  <c:v>-4.6483586525471621E-3</c:v>
                </c:pt>
                <c:pt idx="13">
                  <c:v>-3.9556867035319045E-3</c:v>
                </c:pt>
                <c:pt idx="14">
                  <c:v>-4.2002095006449533E-3</c:v>
                </c:pt>
                <c:pt idx="15">
                  <c:v>-4.2325893283392951E-3</c:v>
                </c:pt>
                <c:pt idx="16">
                  <c:v>-4.2835682078374718E-3</c:v>
                </c:pt>
                <c:pt idx="17">
                  <c:v>-3.8521839290184697E-3</c:v>
                </c:pt>
                <c:pt idx="18">
                  <c:v>-3.8164464919483144E-3</c:v>
                </c:pt>
                <c:pt idx="19">
                  <c:v>-4.0477342198337778E-3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AA_R_phophi_ty!$A$35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AA_R_phophi_ty!$B$35:$U$35</c:f>
              <c:numCache>
                <c:formatCode>General</c:formatCode>
                <c:ptCount val="20"/>
                <c:pt idx="0">
                  <c:v>-0.13625311767202972</c:v>
                </c:pt>
                <c:pt idx="1">
                  <c:v>-0.11723947764902777</c:v>
                </c:pt>
                <c:pt idx="2">
                  <c:v>-0.10623039624613194</c:v>
                </c:pt>
                <c:pt idx="3">
                  <c:v>-9.9317801396633876E-2</c:v>
                </c:pt>
                <c:pt idx="4">
                  <c:v>-9.4601425777170581E-2</c:v>
                </c:pt>
                <c:pt idx="5">
                  <c:v>-8.7935184453226553E-2</c:v>
                </c:pt>
                <c:pt idx="6">
                  <c:v>-8.1345082262012994E-2</c:v>
                </c:pt>
                <c:pt idx="7">
                  <c:v>-7.6658322320122041E-2</c:v>
                </c:pt>
                <c:pt idx="8">
                  <c:v>-7.2234789135205327E-2</c:v>
                </c:pt>
                <c:pt idx="9">
                  <c:v>-6.4671800270584626E-2</c:v>
                </c:pt>
                <c:pt idx="10">
                  <c:v>-6.0886600313612337E-2</c:v>
                </c:pt>
                <c:pt idx="11">
                  <c:v>-6.0162732975500531E-2</c:v>
                </c:pt>
                <c:pt idx="12">
                  <c:v>-5.7125517043737611E-2</c:v>
                </c:pt>
                <c:pt idx="13">
                  <c:v>-5.7410728081756388E-2</c:v>
                </c:pt>
                <c:pt idx="14">
                  <c:v>-5.4853064820208498E-2</c:v>
                </c:pt>
                <c:pt idx="15">
                  <c:v>-5.5320737518578342E-2</c:v>
                </c:pt>
                <c:pt idx="16">
                  <c:v>-5.5855517391296808E-2</c:v>
                </c:pt>
                <c:pt idx="17">
                  <c:v>-5.5273854359942899E-2</c:v>
                </c:pt>
                <c:pt idx="18">
                  <c:v>-5.6019606452792012E-2</c:v>
                </c:pt>
                <c:pt idx="19">
                  <c:v>-5.3272276494149028E-2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AA_R_phophi_ty!$A$36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AA_R_phophi_ty!$B$36:$U$36</c:f>
              <c:numCache>
                <c:formatCode>General</c:formatCode>
                <c:ptCount val="20"/>
                <c:pt idx="0">
                  <c:v>-0.15314910088304562</c:v>
                </c:pt>
                <c:pt idx="1">
                  <c:v>-0.13706793009951843</c:v>
                </c:pt>
                <c:pt idx="2">
                  <c:v>-0.12401288257757045</c:v>
                </c:pt>
                <c:pt idx="3">
                  <c:v>-0.11637473608027668</c:v>
                </c:pt>
                <c:pt idx="4">
                  <c:v>-0.11101003952734087</c:v>
                </c:pt>
                <c:pt idx="5">
                  <c:v>-0.10162295840814067</c:v>
                </c:pt>
                <c:pt idx="6">
                  <c:v>-0.10048096015105326</c:v>
                </c:pt>
                <c:pt idx="7">
                  <c:v>-9.4410338317727133E-2</c:v>
                </c:pt>
                <c:pt idx="8">
                  <c:v>-8.8104734104456364E-2</c:v>
                </c:pt>
                <c:pt idx="9">
                  <c:v>-8.2609326403569661E-2</c:v>
                </c:pt>
                <c:pt idx="10">
                  <c:v>-7.4186169247701203E-2</c:v>
                </c:pt>
                <c:pt idx="11">
                  <c:v>-7.2342167732719301E-2</c:v>
                </c:pt>
                <c:pt idx="12">
                  <c:v>-6.941471084494856E-2</c:v>
                </c:pt>
                <c:pt idx="13">
                  <c:v>-6.9881605725915258E-2</c:v>
                </c:pt>
                <c:pt idx="14">
                  <c:v>-6.6098268561450804E-2</c:v>
                </c:pt>
                <c:pt idx="15">
                  <c:v>-6.5407495759858034E-2</c:v>
                </c:pt>
                <c:pt idx="16">
                  <c:v>-6.4961953479279536E-2</c:v>
                </c:pt>
                <c:pt idx="17">
                  <c:v>-6.179245179452194E-2</c:v>
                </c:pt>
                <c:pt idx="18">
                  <c:v>-6.0913707850777266E-2</c:v>
                </c:pt>
                <c:pt idx="19">
                  <c:v>-6.1899460919127E-2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AA_R_phophi_ty!$A$37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AA_R_phophi_ty!$B$2:$U$2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AA_R_phophi_ty!$B$37:$U$37</c:f>
              <c:numCache>
                <c:formatCode>General</c:formatCode>
                <c:ptCount val="20"/>
                <c:pt idx="0">
                  <c:v>-0.14395205654440399</c:v>
                </c:pt>
                <c:pt idx="1">
                  <c:v>-0.13254335161007375</c:v>
                </c:pt>
                <c:pt idx="2">
                  <c:v>-0.12300371848890955</c:v>
                </c:pt>
                <c:pt idx="3">
                  <c:v>-0.12188573604224318</c:v>
                </c:pt>
                <c:pt idx="4">
                  <c:v>-0.12235632334030647</c:v>
                </c:pt>
                <c:pt idx="5">
                  <c:v>-0.12005606105230432</c:v>
                </c:pt>
                <c:pt idx="6">
                  <c:v>-0.12341991599843283</c:v>
                </c:pt>
                <c:pt idx="7">
                  <c:v>-0.1260540758876936</c:v>
                </c:pt>
                <c:pt idx="8">
                  <c:v>-0.12639614526866239</c:v>
                </c:pt>
                <c:pt idx="9">
                  <c:v>-0.12741584687826094</c:v>
                </c:pt>
                <c:pt idx="10">
                  <c:v>-0.11794892285398614</c:v>
                </c:pt>
                <c:pt idx="11">
                  <c:v>-0.1182140993226409</c:v>
                </c:pt>
                <c:pt idx="12">
                  <c:v>-0.12223987583263275</c:v>
                </c:pt>
                <c:pt idx="13">
                  <c:v>-0.1236843004035304</c:v>
                </c:pt>
                <c:pt idx="14">
                  <c:v>-0.1211811119288628</c:v>
                </c:pt>
                <c:pt idx="15">
                  <c:v>-0.12243987007968585</c:v>
                </c:pt>
                <c:pt idx="16">
                  <c:v>-0.12576066334602265</c:v>
                </c:pt>
                <c:pt idx="17">
                  <c:v>-0.1278424410678024</c:v>
                </c:pt>
                <c:pt idx="18">
                  <c:v>-0.12382516197427935</c:v>
                </c:pt>
                <c:pt idx="19">
                  <c:v>-0.1245923790403094</c:v>
                </c:pt>
              </c:numCache>
            </c:numRef>
          </c:yVal>
          <c:smooth val="1"/>
        </c:ser>
        <c:axId val="96585984"/>
        <c:axId val="96682368"/>
      </c:scatterChart>
      <c:valAx>
        <c:axId val="9658598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682368"/>
        <c:crosses val="autoZero"/>
        <c:crossBetween val="midCat"/>
      </c:valAx>
      <c:valAx>
        <c:axId val="96682368"/>
        <c:scaling>
          <c:orientation val="minMax"/>
        </c:scaling>
        <c:axPos val="l"/>
        <c:numFmt formatCode="General" sourceLinked="1"/>
        <c:tickLblPos val="nextTo"/>
        <c:crossAx val="965859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876622489976451"/>
          <c:y val="7.9861475648877231E-2"/>
          <c:w val="0.23934839726747242"/>
          <c:h val="0.85768759142261364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'!$B$3:$U$3</c:f>
              <c:numCache>
                <c:formatCode>General</c:formatCode>
                <c:ptCount val="20"/>
                <c:pt idx="0">
                  <c:v>-0.22917742760882265</c:v>
                </c:pt>
                <c:pt idx="1">
                  <c:v>-0.20662299687120481</c:v>
                </c:pt>
                <c:pt idx="2">
                  <c:v>-0.18055853688925827</c:v>
                </c:pt>
                <c:pt idx="3">
                  <c:v>-0.16935427824210744</c:v>
                </c:pt>
                <c:pt idx="4">
                  <c:v>-0.16060495574889047</c:v>
                </c:pt>
                <c:pt idx="5">
                  <c:v>-0.13882316202312889</c:v>
                </c:pt>
                <c:pt idx="6">
                  <c:v>-0.13999460336774933</c:v>
                </c:pt>
                <c:pt idx="7">
                  <c:v>-0.12378403939530511</c:v>
                </c:pt>
                <c:pt idx="8">
                  <c:v>-0.11882221099090755</c:v>
                </c:pt>
                <c:pt idx="9">
                  <c:v>-0.12045222234973896</c:v>
                </c:pt>
                <c:pt idx="10">
                  <c:v>-0.11103560001410462</c:v>
                </c:pt>
                <c:pt idx="11">
                  <c:v>-0.10980959625031049</c:v>
                </c:pt>
                <c:pt idx="12">
                  <c:v>-0.1095532121378472</c:v>
                </c:pt>
                <c:pt idx="13">
                  <c:v>-0.10225544388087141</c:v>
                </c:pt>
                <c:pt idx="14">
                  <c:v>-0.10142835994010206</c:v>
                </c:pt>
                <c:pt idx="15">
                  <c:v>-9.119257318623572E-2</c:v>
                </c:pt>
                <c:pt idx="16">
                  <c:v>-9.0066748706193758E-2</c:v>
                </c:pt>
                <c:pt idx="17">
                  <c:v>-8.1492535794009904E-2</c:v>
                </c:pt>
                <c:pt idx="18">
                  <c:v>-8.4349982244796728E-2</c:v>
                </c:pt>
                <c:pt idx="19">
                  <c:v>-7.9808570582650631E-2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'!$B$21:$U$21</c:f>
              <c:numCache>
                <c:formatCode>General</c:formatCode>
                <c:ptCount val="20"/>
                <c:pt idx="0">
                  <c:v>-0.15259402805942363</c:v>
                </c:pt>
                <c:pt idx="1">
                  <c:v>-0.10487808509800699</c:v>
                </c:pt>
                <c:pt idx="2">
                  <c:v>-5.7347098055625288E-2</c:v>
                </c:pt>
                <c:pt idx="3">
                  <c:v>-4.0399655127668424E-2</c:v>
                </c:pt>
                <c:pt idx="4">
                  <c:v>-3.2827922669352944E-2</c:v>
                </c:pt>
                <c:pt idx="5">
                  <c:v>-2.6387947733044995E-2</c:v>
                </c:pt>
                <c:pt idx="6">
                  <c:v>-2.4820866521207172E-2</c:v>
                </c:pt>
                <c:pt idx="7">
                  <c:v>-2.3601392817074733E-2</c:v>
                </c:pt>
                <c:pt idx="8">
                  <c:v>-2.2143019631606115E-2</c:v>
                </c:pt>
                <c:pt idx="9">
                  <c:v>-2.1599330290021743E-2</c:v>
                </c:pt>
                <c:pt idx="10">
                  <c:v>-2.133126833262166E-2</c:v>
                </c:pt>
                <c:pt idx="11">
                  <c:v>-2.1012933330937209E-2</c:v>
                </c:pt>
                <c:pt idx="12">
                  <c:v>-1.9312491239557382E-2</c:v>
                </c:pt>
                <c:pt idx="13">
                  <c:v>-1.8909671362787216E-2</c:v>
                </c:pt>
                <c:pt idx="14">
                  <c:v>-1.8866183046800721E-2</c:v>
                </c:pt>
                <c:pt idx="15">
                  <c:v>-1.8190128086924558E-2</c:v>
                </c:pt>
                <c:pt idx="16">
                  <c:v>-1.799584239818941E-2</c:v>
                </c:pt>
                <c:pt idx="17">
                  <c:v>-1.7192544438393118E-2</c:v>
                </c:pt>
                <c:pt idx="18">
                  <c:v>-1.7327464460743916E-2</c:v>
                </c:pt>
                <c:pt idx="19">
                  <c:v>-1.7902850605312746E-2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'!$B$37:$U$37</c:f>
              <c:numCache>
                <c:formatCode>General</c:formatCode>
                <c:ptCount val="20"/>
                <c:pt idx="0">
                  <c:v>-0.16815887199414889</c:v>
                </c:pt>
                <c:pt idx="1">
                  <c:v>-0.15279536084723719</c:v>
                </c:pt>
                <c:pt idx="2">
                  <c:v>-0.14025568988385048</c:v>
                </c:pt>
                <c:pt idx="3">
                  <c:v>-0.13880395871590887</c:v>
                </c:pt>
                <c:pt idx="4">
                  <c:v>-0.13941457859753958</c:v>
                </c:pt>
                <c:pt idx="5">
                  <c:v>-0.13643603386356243</c:v>
                </c:pt>
                <c:pt idx="6">
                  <c:v>-0.14079707975456601</c:v>
                </c:pt>
                <c:pt idx="7">
                  <c:v>-0.14423555555308593</c:v>
                </c:pt>
                <c:pt idx="8">
                  <c:v>-0.1446835938098435</c:v>
                </c:pt>
                <c:pt idx="9">
                  <c:v>-0.14602127075356644</c:v>
                </c:pt>
                <c:pt idx="10">
                  <c:v>-0.13372119360210361</c:v>
                </c:pt>
                <c:pt idx="11">
                  <c:v>-0.1340621337127671</c:v>
                </c:pt>
                <c:pt idx="12">
                  <c:v>-0.13926341886240051</c:v>
                </c:pt>
                <c:pt idx="13">
                  <c:v>-0.14114125817954098</c:v>
                </c:pt>
                <c:pt idx="14">
                  <c:v>-0.13789088238059541</c:v>
                </c:pt>
                <c:pt idx="15">
                  <c:v>-0.1395230547800797</c:v>
                </c:pt>
                <c:pt idx="16">
                  <c:v>-0.14385152677681276</c:v>
                </c:pt>
                <c:pt idx="17">
                  <c:v>-0.14658181856994146</c:v>
                </c:pt>
                <c:pt idx="18">
                  <c:v>-0.14132471808171737</c:v>
                </c:pt>
                <c:pt idx="19">
                  <c:v>-0.14232498787675785</c:v>
                </c:pt>
              </c:numCache>
            </c:numRef>
          </c:yVal>
          <c:smooth val="1"/>
        </c:ser>
        <c:axId val="70602752"/>
        <c:axId val="70603904"/>
      </c:scatterChart>
      <c:valAx>
        <c:axId val="70602752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603904"/>
        <c:crosses val="autoZero"/>
        <c:crossBetween val="midCat"/>
      </c:valAx>
      <c:valAx>
        <c:axId val="70603904"/>
        <c:scaling>
          <c:orientation val="minMax"/>
        </c:scaling>
        <c:axPos val="l"/>
        <c:numFmt formatCode="General" sourceLinked="1"/>
        <c:tickLblPos val="nextTo"/>
        <c:crossAx val="70602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6922707793481306E-2"/>
          <c:y val="3.225066140475457E-2"/>
          <c:w val="0.64280176424687774"/>
          <c:h val="0.92911400041475267"/>
        </c:manualLayout>
      </c:layout>
      <c:scatterChart>
        <c:scatterStyle val="smoothMarker"/>
        <c:ser>
          <c:idx val="0"/>
          <c:order val="0"/>
          <c:tx>
            <c:strRef>
              <c:f>' AA_R_phoamp_ty '!$A$3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'!$B$3:$U$3</c:f>
              <c:numCache>
                <c:formatCode>General</c:formatCode>
                <c:ptCount val="20"/>
                <c:pt idx="0">
                  <c:v>-0.22917742760882265</c:v>
                </c:pt>
                <c:pt idx="1">
                  <c:v>-0.20662299687120481</c:v>
                </c:pt>
                <c:pt idx="2">
                  <c:v>-0.18055853688925827</c:v>
                </c:pt>
                <c:pt idx="3">
                  <c:v>-0.16935427824210744</c:v>
                </c:pt>
                <c:pt idx="4">
                  <c:v>-0.16060495574889047</c:v>
                </c:pt>
                <c:pt idx="5">
                  <c:v>-0.13882316202312889</c:v>
                </c:pt>
                <c:pt idx="6">
                  <c:v>-0.13999460336774933</c:v>
                </c:pt>
                <c:pt idx="7">
                  <c:v>-0.12378403939530511</c:v>
                </c:pt>
                <c:pt idx="8">
                  <c:v>-0.11882221099090755</c:v>
                </c:pt>
                <c:pt idx="9">
                  <c:v>-0.12045222234973896</c:v>
                </c:pt>
                <c:pt idx="10">
                  <c:v>-0.11103560001410462</c:v>
                </c:pt>
                <c:pt idx="11">
                  <c:v>-0.10980959625031049</c:v>
                </c:pt>
                <c:pt idx="12">
                  <c:v>-0.1095532121378472</c:v>
                </c:pt>
                <c:pt idx="13">
                  <c:v>-0.10225544388087141</c:v>
                </c:pt>
                <c:pt idx="14">
                  <c:v>-0.10142835994010206</c:v>
                </c:pt>
                <c:pt idx="15">
                  <c:v>-9.119257318623572E-2</c:v>
                </c:pt>
                <c:pt idx="16">
                  <c:v>-9.0066748706193758E-2</c:v>
                </c:pt>
                <c:pt idx="17">
                  <c:v>-8.1492535794009904E-2</c:v>
                </c:pt>
                <c:pt idx="18">
                  <c:v>-8.4349982244796728E-2</c:v>
                </c:pt>
                <c:pt idx="19">
                  <c:v>-7.9808570582650631E-2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 AA_R_phoamp_ty '!$A$4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'!$B$4:$U$4</c:f>
              <c:numCache>
                <c:formatCode>General</c:formatCode>
                <c:ptCount val="20"/>
                <c:pt idx="0">
                  <c:v>-0.21334746331800225</c:v>
                </c:pt>
                <c:pt idx="1">
                  <c:v>-0.18300664355358012</c:v>
                </c:pt>
                <c:pt idx="2">
                  <c:v>-0.15057121994458789</c:v>
                </c:pt>
                <c:pt idx="3">
                  <c:v>-0.14022168211656799</c:v>
                </c:pt>
                <c:pt idx="4">
                  <c:v>-0.14600012821754541</c:v>
                </c:pt>
                <c:pt idx="5">
                  <c:v>-0.13702939126289654</c:v>
                </c:pt>
                <c:pt idx="6">
                  <c:v>-0.14007535708549901</c:v>
                </c:pt>
                <c:pt idx="7">
                  <c:v>-0.14630774145144923</c:v>
                </c:pt>
                <c:pt idx="8">
                  <c:v>-0.14462991045247839</c:v>
                </c:pt>
                <c:pt idx="9">
                  <c:v>-0.14848296131497365</c:v>
                </c:pt>
                <c:pt idx="10">
                  <c:v>-0.14995087124995035</c:v>
                </c:pt>
                <c:pt idx="11">
                  <c:v>-0.1550400235909887</c:v>
                </c:pt>
                <c:pt idx="12">
                  <c:v>-0.15143236987583039</c:v>
                </c:pt>
                <c:pt idx="13">
                  <c:v>-0.15615097083810089</c:v>
                </c:pt>
                <c:pt idx="14">
                  <c:v>-0.1536063157633995</c:v>
                </c:pt>
                <c:pt idx="15">
                  <c:v>-0.14873549774790298</c:v>
                </c:pt>
                <c:pt idx="16">
                  <c:v>-0.14870269110514756</c:v>
                </c:pt>
                <c:pt idx="17">
                  <c:v>-0.15284479435709353</c:v>
                </c:pt>
                <c:pt idx="18">
                  <c:v>-0.14947132872422586</c:v>
                </c:pt>
                <c:pt idx="19">
                  <c:v>-0.14868404020369619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 AA_R_phoamp_ty '!$A$5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'!$B$5:$U$5</c:f>
              <c:numCache>
                <c:formatCode>General</c:formatCode>
                <c:ptCount val="20"/>
                <c:pt idx="0">
                  <c:v>-0.12078499614900466</c:v>
                </c:pt>
                <c:pt idx="1">
                  <c:v>-8.38079403378965E-2</c:v>
                </c:pt>
                <c:pt idx="2">
                  <c:v>-6.4049903590631049E-2</c:v>
                </c:pt>
                <c:pt idx="3">
                  <c:v>-5.3815134222692178E-2</c:v>
                </c:pt>
                <c:pt idx="4">
                  <c:v>-4.9921179379688693E-2</c:v>
                </c:pt>
                <c:pt idx="5">
                  <c:v>-4.6757475675153023E-2</c:v>
                </c:pt>
                <c:pt idx="6">
                  <c:v>-4.4405024263372582E-2</c:v>
                </c:pt>
                <c:pt idx="7">
                  <c:v>-4.1014548155870197E-2</c:v>
                </c:pt>
                <c:pt idx="8">
                  <c:v>-3.8694806018484358E-2</c:v>
                </c:pt>
                <c:pt idx="9">
                  <c:v>-3.9690842724504939E-2</c:v>
                </c:pt>
                <c:pt idx="10">
                  <c:v>-3.8024403616556311E-2</c:v>
                </c:pt>
                <c:pt idx="11">
                  <c:v>-3.8441154441137486E-2</c:v>
                </c:pt>
                <c:pt idx="12">
                  <c:v>-3.8383721529135911E-2</c:v>
                </c:pt>
                <c:pt idx="13">
                  <c:v>-3.7101225054667522E-2</c:v>
                </c:pt>
                <c:pt idx="14">
                  <c:v>-3.5367122979248308E-2</c:v>
                </c:pt>
                <c:pt idx="15">
                  <c:v>-3.1701776193049161E-2</c:v>
                </c:pt>
                <c:pt idx="16">
                  <c:v>-3.271323647670616E-2</c:v>
                </c:pt>
                <c:pt idx="17">
                  <c:v>-3.19897859402168E-2</c:v>
                </c:pt>
                <c:pt idx="18">
                  <c:v>-3.1922245558103794E-2</c:v>
                </c:pt>
                <c:pt idx="19">
                  <c:v>-3.1774448161849461E-2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 AA_R_phoamp_ty '!$A$6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'!$B$6:$U$6</c:f>
              <c:numCache>
                <c:formatCode>General</c:formatCode>
                <c:ptCount val="20"/>
                <c:pt idx="0">
                  <c:v>-0.25421600852380272</c:v>
                </c:pt>
                <c:pt idx="1">
                  <c:v>-0.13778670987872257</c:v>
                </c:pt>
                <c:pt idx="2">
                  <c:v>-0.12607425522831864</c:v>
                </c:pt>
                <c:pt idx="3">
                  <c:v>-0.10097635843769635</c:v>
                </c:pt>
                <c:pt idx="4">
                  <c:v>-8.6029610628233041E-2</c:v>
                </c:pt>
                <c:pt idx="5">
                  <c:v>-7.7387203339280716E-2</c:v>
                </c:pt>
                <c:pt idx="6">
                  <c:v>-7.3574501735000894E-2</c:v>
                </c:pt>
                <c:pt idx="7">
                  <c:v>-6.8831106770708209E-2</c:v>
                </c:pt>
                <c:pt idx="8">
                  <c:v>-6.4039201639026835E-2</c:v>
                </c:pt>
                <c:pt idx="9">
                  <c:v>-6.2878469452709307E-2</c:v>
                </c:pt>
                <c:pt idx="10">
                  <c:v>-5.289767785886066E-2</c:v>
                </c:pt>
                <c:pt idx="11">
                  <c:v>-4.6450689047663578E-2</c:v>
                </c:pt>
                <c:pt idx="12">
                  <c:v>-5.0087574661412448E-2</c:v>
                </c:pt>
                <c:pt idx="13">
                  <c:v>-4.7413612072265882E-2</c:v>
                </c:pt>
                <c:pt idx="14">
                  <c:v>-4.0536234691153007E-2</c:v>
                </c:pt>
                <c:pt idx="15">
                  <c:v>-4.1474313892052875E-2</c:v>
                </c:pt>
                <c:pt idx="16">
                  <c:v>-3.8807463127531548E-2</c:v>
                </c:pt>
                <c:pt idx="17">
                  <c:v>-3.7853830174827192E-2</c:v>
                </c:pt>
                <c:pt idx="18">
                  <c:v>-3.2207295194131125E-2</c:v>
                </c:pt>
                <c:pt idx="19">
                  <c:v>-2.9311785777240532E-2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 AA_R_phoamp_ty '!$A$7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'!$B$7:$U$7</c:f>
              <c:numCache>
                <c:formatCode>General</c:formatCode>
                <c:ptCount val="20"/>
                <c:pt idx="0">
                  <c:v>-0.21197338811289951</c:v>
                </c:pt>
                <c:pt idx="1">
                  <c:v>-0.1222456794557399</c:v>
                </c:pt>
                <c:pt idx="2">
                  <c:v>-0.10096504494736513</c:v>
                </c:pt>
                <c:pt idx="3">
                  <c:v>-8.0086796090809528E-2</c:v>
                </c:pt>
                <c:pt idx="4">
                  <c:v>-6.0820598176275255E-2</c:v>
                </c:pt>
                <c:pt idx="5">
                  <c:v>-5.3077718906579523E-2</c:v>
                </c:pt>
                <c:pt idx="6">
                  <c:v>-4.9751720260013989E-2</c:v>
                </c:pt>
                <c:pt idx="7">
                  <c:v>-4.3747324582140056E-2</c:v>
                </c:pt>
                <c:pt idx="8">
                  <c:v>-4.1605782622916192E-2</c:v>
                </c:pt>
                <c:pt idx="9">
                  <c:v>-3.4032020758826081E-2</c:v>
                </c:pt>
                <c:pt idx="10">
                  <c:v>-3.0247353240089946E-2</c:v>
                </c:pt>
                <c:pt idx="11">
                  <c:v>-2.7372754722413888E-2</c:v>
                </c:pt>
                <c:pt idx="12">
                  <c:v>-2.3225298393039266E-2</c:v>
                </c:pt>
                <c:pt idx="13">
                  <c:v>-2.4574134794419479E-2</c:v>
                </c:pt>
                <c:pt idx="14">
                  <c:v>-2.6619592745777281E-2</c:v>
                </c:pt>
                <c:pt idx="15">
                  <c:v>-2.562359365401579E-2</c:v>
                </c:pt>
                <c:pt idx="16">
                  <c:v>-2.5233877789972797E-2</c:v>
                </c:pt>
                <c:pt idx="17">
                  <c:v>-2.4081768188688509E-2</c:v>
                </c:pt>
                <c:pt idx="18">
                  <c:v>-2.5359018968959018E-2</c:v>
                </c:pt>
                <c:pt idx="19">
                  <c:v>-2.6102451560128456E-2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 AA_R_phoamp_ty '!$A$8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'!$B$8:$U$8</c:f>
              <c:numCache>
                <c:formatCode>General</c:formatCode>
                <c:ptCount val="20"/>
                <c:pt idx="0">
                  <c:v>-0.21629809058771501</c:v>
                </c:pt>
                <c:pt idx="1">
                  <c:v>-0.12519453384676485</c:v>
                </c:pt>
                <c:pt idx="2">
                  <c:v>-9.8028446976257053E-2</c:v>
                </c:pt>
                <c:pt idx="3">
                  <c:v>-7.273050799984461E-2</c:v>
                </c:pt>
                <c:pt idx="4">
                  <c:v>-6.3132165427480819E-2</c:v>
                </c:pt>
                <c:pt idx="5">
                  <c:v>-5.4633438499838302E-2</c:v>
                </c:pt>
                <c:pt idx="6">
                  <c:v>-5.5378508125934159E-2</c:v>
                </c:pt>
                <c:pt idx="7">
                  <c:v>-4.9297384526227658E-2</c:v>
                </c:pt>
                <c:pt idx="8">
                  <c:v>-4.4762570904539264E-2</c:v>
                </c:pt>
                <c:pt idx="9">
                  <c:v>-4.4014375203942142E-2</c:v>
                </c:pt>
                <c:pt idx="10">
                  <c:v>-3.0805361544285616E-2</c:v>
                </c:pt>
                <c:pt idx="11">
                  <c:v>-3.1606490360316916E-2</c:v>
                </c:pt>
                <c:pt idx="12">
                  <c:v>-3.2388706250712364E-2</c:v>
                </c:pt>
                <c:pt idx="13">
                  <c:v>-3.0726483852880713E-2</c:v>
                </c:pt>
                <c:pt idx="14">
                  <c:v>-2.9801418801432986E-2</c:v>
                </c:pt>
                <c:pt idx="15">
                  <c:v>-2.0994645106551354E-2</c:v>
                </c:pt>
                <c:pt idx="16">
                  <c:v>-2.1761383050652124E-2</c:v>
                </c:pt>
                <c:pt idx="17">
                  <c:v>-2.3997126271965485E-2</c:v>
                </c:pt>
                <c:pt idx="18">
                  <c:v>-2.5695797383468343E-2</c:v>
                </c:pt>
                <c:pt idx="19">
                  <c:v>-2.6740226166252292E-2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 AA_R_phoamp_ty '!$A$9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'!$B$9:$U$9</c:f>
              <c:numCache>
                <c:formatCode>General</c:formatCode>
                <c:ptCount val="20"/>
                <c:pt idx="0">
                  <c:v>-0.21182845461642563</c:v>
                </c:pt>
                <c:pt idx="1">
                  <c:v>-0.1213903207157441</c:v>
                </c:pt>
                <c:pt idx="2">
                  <c:v>-9.285364026166619E-2</c:v>
                </c:pt>
                <c:pt idx="3">
                  <c:v>-7.2825988128084274E-2</c:v>
                </c:pt>
                <c:pt idx="4">
                  <c:v>-6.4461144545631663E-2</c:v>
                </c:pt>
                <c:pt idx="5">
                  <c:v>-5.9139459795525019E-2</c:v>
                </c:pt>
                <c:pt idx="6">
                  <c:v>-5.0177814175772398E-2</c:v>
                </c:pt>
                <c:pt idx="7">
                  <c:v>-4.692601724283043E-2</c:v>
                </c:pt>
                <c:pt idx="8">
                  <c:v>-4.6557325347451738E-2</c:v>
                </c:pt>
                <c:pt idx="9">
                  <c:v>-4.2652427655881106E-2</c:v>
                </c:pt>
                <c:pt idx="10">
                  <c:v>-3.5629879525388673E-2</c:v>
                </c:pt>
                <c:pt idx="11">
                  <c:v>-3.5966467688116573E-2</c:v>
                </c:pt>
                <c:pt idx="12">
                  <c:v>-3.8492719007942044E-2</c:v>
                </c:pt>
                <c:pt idx="13">
                  <c:v>-4.2177527778908631E-2</c:v>
                </c:pt>
                <c:pt idx="14">
                  <c:v>-4.1688944841163006E-2</c:v>
                </c:pt>
                <c:pt idx="15">
                  <c:v>-4.1253187000053863E-2</c:v>
                </c:pt>
                <c:pt idx="16">
                  <c:v>-3.8826021893868155E-2</c:v>
                </c:pt>
                <c:pt idx="17">
                  <c:v>-3.7807437640802133E-2</c:v>
                </c:pt>
                <c:pt idx="18">
                  <c:v>-3.6691925730027018E-2</c:v>
                </c:pt>
                <c:pt idx="19">
                  <c:v>-3.8138162009079192E-2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 AA_R_phoamp_ty '!$A$10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'!$B$10:$U$10</c:f>
              <c:numCache>
                <c:formatCode>General</c:formatCode>
                <c:ptCount val="20"/>
                <c:pt idx="0">
                  <c:v>-0.21760887735421688</c:v>
                </c:pt>
                <c:pt idx="1">
                  <c:v>-0.12748032931909589</c:v>
                </c:pt>
                <c:pt idx="2">
                  <c:v>-0.10324715093138639</c:v>
                </c:pt>
                <c:pt idx="3">
                  <c:v>-7.5201515142639855E-2</c:v>
                </c:pt>
                <c:pt idx="4">
                  <c:v>-6.5847319718613517E-2</c:v>
                </c:pt>
                <c:pt idx="5">
                  <c:v>-5.4152449064850026E-2</c:v>
                </c:pt>
                <c:pt idx="6">
                  <c:v>-5.1733037329635738E-2</c:v>
                </c:pt>
                <c:pt idx="7">
                  <c:v>-4.7401101878950858E-2</c:v>
                </c:pt>
                <c:pt idx="8">
                  <c:v>-4.3800457707287438E-2</c:v>
                </c:pt>
                <c:pt idx="9">
                  <c:v>-3.9348616990593041E-2</c:v>
                </c:pt>
                <c:pt idx="10">
                  <c:v>-3.6832218214611398E-2</c:v>
                </c:pt>
                <c:pt idx="11">
                  <c:v>-3.5370499888175429E-2</c:v>
                </c:pt>
                <c:pt idx="12">
                  <c:v>-3.595577566374384E-2</c:v>
                </c:pt>
                <c:pt idx="13">
                  <c:v>-3.6614047373470168E-2</c:v>
                </c:pt>
                <c:pt idx="14">
                  <c:v>-3.4012559509593324E-2</c:v>
                </c:pt>
                <c:pt idx="15">
                  <c:v>-3.3224767087892133E-2</c:v>
                </c:pt>
                <c:pt idx="16">
                  <c:v>-3.1748734108644053E-2</c:v>
                </c:pt>
                <c:pt idx="17">
                  <c:v>-2.8535877369714885E-2</c:v>
                </c:pt>
                <c:pt idx="18">
                  <c:v>-3.0512088966582782E-2</c:v>
                </c:pt>
                <c:pt idx="19">
                  <c:v>-2.3864649858422616E-2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 AA_R_phoamp_ty '!$A$11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'!$B$11:$U$11</c:f>
              <c:numCache>
                <c:formatCode>General</c:formatCode>
                <c:ptCount val="20"/>
                <c:pt idx="0">
                  <c:v>-0.23251444418317838</c:v>
                </c:pt>
                <c:pt idx="1">
                  <c:v>-0.13688620072006377</c:v>
                </c:pt>
                <c:pt idx="2">
                  <c:v>-0.10947042972000448</c:v>
                </c:pt>
                <c:pt idx="3">
                  <c:v>-8.6967074167711461E-2</c:v>
                </c:pt>
                <c:pt idx="4">
                  <c:v>-7.6345247809060462E-2</c:v>
                </c:pt>
                <c:pt idx="5">
                  <c:v>-6.0992994389366284E-2</c:v>
                </c:pt>
                <c:pt idx="6">
                  <c:v>-5.4541999612548291E-2</c:v>
                </c:pt>
                <c:pt idx="7">
                  <c:v>-4.6079092677684577E-2</c:v>
                </c:pt>
                <c:pt idx="8">
                  <c:v>-3.9845991652671629E-2</c:v>
                </c:pt>
                <c:pt idx="9">
                  <c:v>-3.9312810954081949E-2</c:v>
                </c:pt>
                <c:pt idx="10">
                  <c:v>-2.0759498388535979E-2</c:v>
                </c:pt>
                <c:pt idx="11">
                  <c:v>-1.7094214455354785E-2</c:v>
                </c:pt>
                <c:pt idx="12">
                  <c:v>-1.5350268311949581E-2</c:v>
                </c:pt>
                <c:pt idx="13">
                  <c:v>-1.1346222776027801E-2</c:v>
                </c:pt>
                <c:pt idx="14">
                  <c:v>-1.1829697906410658E-2</c:v>
                </c:pt>
                <c:pt idx="15">
                  <c:v>-1.2175804132365763E-2</c:v>
                </c:pt>
                <c:pt idx="16">
                  <c:v>-1.1763279914794497E-2</c:v>
                </c:pt>
                <c:pt idx="17">
                  <c:v>-1.1370161760640566E-2</c:v>
                </c:pt>
                <c:pt idx="18">
                  <c:v>-1.0836831764663192E-2</c:v>
                </c:pt>
                <c:pt idx="19">
                  <c:v>-1.1241989510293125E-2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 AA_R_phoamp_ty '!$A$12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'!$B$12:$U$12</c:f>
              <c:numCache>
                <c:formatCode>General</c:formatCode>
                <c:ptCount val="20"/>
                <c:pt idx="0">
                  <c:v>-9.9608323771305629E-2</c:v>
                </c:pt>
                <c:pt idx="1">
                  <c:v>-6.6633239073581388E-2</c:v>
                </c:pt>
                <c:pt idx="2">
                  <c:v>-5.1821330548583969E-2</c:v>
                </c:pt>
                <c:pt idx="3">
                  <c:v>-4.4091276575947191E-2</c:v>
                </c:pt>
                <c:pt idx="4">
                  <c:v>-4.5334795838560954E-2</c:v>
                </c:pt>
                <c:pt idx="5">
                  <c:v>-3.8786692934836581E-2</c:v>
                </c:pt>
                <c:pt idx="6">
                  <c:v>-3.6937994195985389E-2</c:v>
                </c:pt>
                <c:pt idx="7">
                  <c:v>-3.9137037621018909E-2</c:v>
                </c:pt>
                <c:pt idx="8">
                  <c:v>-4.0970344279778609E-2</c:v>
                </c:pt>
                <c:pt idx="9">
                  <c:v>-4.0732611122518809E-2</c:v>
                </c:pt>
                <c:pt idx="10">
                  <c:v>-3.9195175789164774E-2</c:v>
                </c:pt>
                <c:pt idx="11">
                  <c:v>-3.2509011450602483E-2</c:v>
                </c:pt>
                <c:pt idx="12">
                  <c:v>-3.3127441851244756E-2</c:v>
                </c:pt>
                <c:pt idx="13">
                  <c:v>-3.3591276031298564E-2</c:v>
                </c:pt>
                <c:pt idx="14">
                  <c:v>-3.2716491820421946E-2</c:v>
                </c:pt>
                <c:pt idx="15">
                  <c:v>-3.3078806880044748E-2</c:v>
                </c:pt>
                <c:pt idx="16">
                  <c:v>-3.5912922925237331E-2</c:v>
                </c:pt>
                <c:pt idx="17">
                  <c:v>-3.2472125227365513E-2</c:v>
                </c:pt>
                <c:pt idx="18">
                  <c:v>-3.2562866961824553E-2</c:v>
                </c:pt>
                <c:pt idx="19">
                  <c:v>-2.9803708854268699E-2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 AA_R_phoamp_ty '!$A$13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'!$B$13:$U$13</c:f>
              <c:numCache>
                <c:formatCode>General</c:formatCode>
                <c:ptCount val="20"/>
                <c:pt idx="0">
                  <c:v>-0.10648004675496624</c:v>
                </c:pt>
                <c:pt idx="1">
                  <c:v>-6.3067690267822177E-2</c:v>
                </c:pt>
                <c:pt idx="2">
                  <c:v>-5.4386353904135439E-2</c:v>
                </c:pt>
                <c:pt idx="3">
                  <c:v>-4.4508595077350076E-2</c:v>
                </c:pt>
                <c:pt idx="4">
                  <c:v>-4.2140190245856531E-2</c:v>
                </c:pt>
                <c:pt idx="5">
                  <c:v>-4.2134932667507285E-2</c:v>
                </c:pt>
                <c:pt idx="6">
                  <c:v>-3.9429152538429935E-2</c:v>
                </c:pt>
                <c:pt idx="7">
                  <c:v>-3.8332399027087301E-2</c:v>
                </c:pt>
                <c:pt idx="8">
                  <c:v>-3.8034707450915806E-2</c:v>
                </c:pt>
                <c:pt idx="9">
                  <c:v>-3.6890902029006863E-2</c:v>
                </c:pt>
                <c:pt idx="10">
                  <c:v>-3.6210618461764967E-2</c:v>
                </c:pt>
                <c:pt idx="11">
                  <c:v>-3.7337042522869041E-2</c:v>
                </c:pt>
                <c:pt idx="12">
                  <c:v>-3.5841083851781572E-2</c:v>
                </c:pt>
                <c:pt idx="13">
                  <c:v>-3.220234876469364E-2</c:v>
                </c:pt>
                <c:pt idx="14">
                  <c:v>-3.5593537150280269E-2</c:v>
                </c:pt>
                <c:pt idx="15">
                  <c:v>-3.6143935202518331E-2</c:v>
                </c:pt>
                <c:pt idx="16">
                  <c:v>-3.9015745617010794E-2</c:v>
                </c:pt>
                <c:pt idx="17">
                  <c:v>-3.606894284189139E-2</c:v>
                </c:pt>
                <c:pt idx="18">
                  <c:v>-3.4450034873848609E-2</c:v>
                </c:pt>
                <c:pt idx="19">
                  <c:v>-3.5879397316437897E-2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 AA_R_phoamp_ty '!$A$14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'!$B$14:$U$14</c:f>
              <c:numCache>
                <c:formatCode>General</c:formatCode>
                <c:ptCount val="20"/>
                <c:pt idx="0">
                  <c:v>-9.3284044194621371E-2</c:v>
                </c:pt>
                <c:pt idx="1">
                  <c:v>-5.5354022138456811E-2</c:v>
                </c:pt>
                <c:pt idx="2">
                  <c:v>-4.3617005684353949E-2</c:v>
                </c:pt>
                <c:pt idx="3">
                  <c:v>-3.5159130797961888E-2</c:v>
                </c:pt>
                <c:pt idx="4">
                  <c:v>-3.1569729708579582E-2</c:v>
                </c:pt>
                <c:pt idx="5">
                  <c:v>-3.0694801278308176E-2</c:v>
                </c:pt>
                <c:pt idx="6">
                  <c:v>-2.9860220963642787E-2</c:v>
                </c:pt>
                <c:pt idx="7">
                  <c:v>-2.8857691656361095E-2</c:v>
                </c:pt>
                <c:pt idx="8">
                  <c:v>-2.9341262341953181E-2</c:v>
                </c:pt>
                <c:pt idx="9">
                  <c:v>-2.897040209120235E-2</c:v>
                </c:pt>
                <c:pt idx="10">
                  <c:v>-2.5006615131397011E-2</c:v>
                </c:pt>
                <c:pt idx="11">
                  <c:v>-1.9138328173602916E-2</c:v>
                </c:pt>
                <c:pt idx="12">
                  <c:v>-1.9116705385055846E-2</c:v>
                </c:pt>
                <c:pt idx="13">
                  <c:v>-1.9122906460199037E-2</c:v>
                </c:pt>
                <c:pt idx="14">
                  <c:v>-1.7991110926820923E-2</c:v>
                </c:pt>
                <c:pt idx="15">
                  <c:v>-1.8274814744989213E-2</c:v>
                </c:pt>
                <c:pt idx="16">
                  <c:v>-1.914354102005603E-2</c:v>
                </c:pt>
                <c:pt idx="17">
                  <c:v>-2.0612594784907332E-2</c:v>
                </c:pt>
                <c:pt idx="18">
                  <c:v>-2.1564116144071506E-2</c:v>
                </c:pt>
                <c:pt idx="19">
                  <c:v>-2.0535913374203758E-2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 AA_R_phoamp_ty '!$A$15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'!$B$15:$U$15</c:f>
              <c:numCache>
                <c:formatCode>General</c:formatCode>
                <c:ptCount val="20"/>
                <c:pt idx="0">
                  <c:v>-7.3344753028752513E-2</c:v>
                </c:pt>
                <c:pt idx="1">
                  <c:v>-6.2538877326260595E-2</c:v>
                </c:pt>
                <c:pt idx="2">
                  <c:v>-5.1974676727632507E-2</c:v>
                </c:pt>
                <c:pt idx="3">
                  <c:v>-4.9610723868963404E-2</c:v>
                </c:pt>
                <c:pt idx="4">
                  <c:v>-4.9302313821115898E-2</c:v>
                </c:pt>
                <c:pt idx="5">
                  <c:v>-4.8444335355666349E-2</c:v>
                </c:pt>
                <c:pt idx="6">
                  <c:v>-4.9735885442071109E-2</c:v>
                </c:pt>
                <c:pt idx="7">
                  <c:v>-4.874741065867412E-2</c:v>
                </c:pt>
                <c:pt idx="8">
                  <c:v>-4.6496081150602116E-2</c:v>
                </c:pt>
                <c:pt idx="9">
                  <c:v>-4.8019199735952971E-2</c:v>
                </c:pt>
                <c:pt idx="10">
                  <c:v>-4.4309786847227979E-2</c:v>
                </c:pt>
                <c:pt idx="11">
                  <c:v>-4.34384978001192E-2</c:v>
                </c:pt>
                <c:pt idx="12">
                  <c:v>-4.1460015686755274E-2</c:v>
                </c:pt>
                <c:pt idx="13">
                  <c:v>-4.1453160534490718E-2</c:v>
                </c:pt>
                <c:pt idx="14">
                  <c:v>-3.6970339428609153E-2</c:v>
                </c:pt>
                <c:pt idx="15">
                  <c:v>-3.5576999366265558E-2</c:v>
                </c:pt>
                <c:pt idx="16">
                  <c:v>-3.7099547106854577E-2</c:v>
                </c:pt>
                <c:pt idx="17">
                  <c:v>-3.7452580098512482E-2</c:v>
                </c:pt>
                <c:pt idx="18">
                  <c:v>-3.8409770625709737E-2</c:v>
                </c:pt>
                <c:pt idx="19">
                  <c:v>-3.9898987664045482E-2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 AA_R_phoamp_ty '!$A$16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'!$B$16:$U$16</c:f>
              <c:numCache>
                <c:formatCode>General</c:formatCode>
                <c:ptCount val="20"/>
                <c:pt idx="0">
                  <c:v>-0.24798824043322867</c:v>
                </c:pt>
                <c:pt idx="1">
                  <c:v>-0.13163595702635256</c:v>
                </c:pt>
                <c:pt idx="2">
                  <c:v>-7.8106257715609848E-2</c:v>
                </c:pt>
                <c:pt idx="3">
                  <c:v>-5.954518982020033E-2</c:v>
                </c:pt>
                <c:pt idx="4">
                  <c:v>-4.9494220263133104E-2</c:v>
                </c:pt>
                <c:pt idx="5">
                  <c:v>-4.2488129107081565E-2</c:v>
                </c:pt>
                <c:pt idx="6">
                  <c:v>-3.8783116317957202E-2</c:v>
                </c:pt>
                <c:pt idx="7">
                  <c:v>-3.5759911132219595E-2</c:v>
                </c:pt>
                <c:pt idx="8">
                  <c:v>-3.500520659257645E-2</c:v>
                </c:pt>
                <c:pt idx="9">
                  <c:v>-3.416488464499217E-2</c:v>
                </c:pt>
                <c:pt idx="10">
                  <c:v>-3.0583333462665646E-2</c:v>
                </c:pt>
                <c:pt idx="11">
                  <c:v>-2.8487823826010863E-2</c:v>
                </c:pt>
                <c:pt idx="12">
                  <c:v>-2.8206619552856582E-2</c:v>
                </c:pt>
                <c:pt idx="13">
                  <c:v>-2.7988095065045765E-2</c:v>
                </c:pt>
                <c:pt idx="14">
                  <c:v>-2.6366783150747395E-2</c:v>
                </c:pt>
                <c:pt idx="15">
                  <c:v>-2.3315712174636061E-2</c:v>
                </c:pt>
                <c:pt idx="16">
                  <c:v>-2.2309259160480994E-2</c:v>
                </c:pt>
                <c:pt idx="17">
                  <c:v>-2.3424721115040015E-2</c:v>
                </c:pt>
                <c:pt idx="18">
                  <c:v>-2.371510721482854E-2</c:v>
                </c:pt>
                <c:pt idx="19">
                  <c:v>-2.3369661147607267E-2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 AA_R_phoamp_ty '!$A$17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'!$B$17:$U$17</c:f>
              <c:numCache>
                <c:formatCode>General</c:formatCode>
                <c:ptCount val="20"/>
                <c:pt idx="0">
                  <c:v>-0.25825466489827686</c:v>
                </c:pt>
                <c:pt idx="1">
                  <c:v>-0.13396854686944343</c:v>
                </c:pt>
                <c:pt idx="2">
                  <c:v>-7.7482877053909049E-2</c:v>
                </c:pt>
                <c:pt idx="3">
                  <c:v>-5.9263009127729749E-2</c:v>
                </c:pt>
                <c:pt idx="4">
                  <c:v>-5.120995085163698E-2</c:v>
                </c:pt>
                <c:pt idx="5">
                  <c:v>-4.3097416750411496E-2</c:v>
                </c:pt>
                <c:pt idx="6">
                  <c:v>-4.1493188575458202E-2</c:v>
                </c:pt>
                <c:pt idx="7">
                  <c:v>-4.0668619907279088E-2</c:v>
                </c:pt>
                <c:pt idx="8">
                  <c:v>-3.6567328352490165E-2</c:v>
                </c:pt>
                <c:pt idx="9">
                  <c:v>-3.8144034748873096E-2</c:v>
                </c:pt>
                <c:pt idx="10">
                  <c:v>-3.5707767524644288E-2</c:v>
                </c:pt>
                <c:pt idx="11">
                  <c:v>-2.9535527228042084E-2</c:v>
                </c:pt>
                <c:pt idx="12">
                  <c:v>-2.8614406220682106E-2</c:v>
                </c:pt>
                <c:pt idx="13">
                  <c:v>-2.9702703824448687E-2</c:v>
                </c:pt>
                <c:pt idx="14">
                  <c:v>-2.6462595370315721E-2</c:v>
                </c:pt>
                <c:pt idx="15">
                  <c:v>-2.7674638630340986E-2</c:v>
                </c:pt>
                <c:pt idx="16">
                  <c:v>-2.9002071807375834E-2</c:v>
                </c:pt>
                <c:pt idx="17">
                  <c:v>-2.8983043391983605E-2</c:v>
                </c:pt>
                <c:pt idx="18">
                  <c:v>-3.0296043573560808E-2</c:v>
                </c:pt>
                <c:pt idx="19">
                  <c:v>-3.1724565892109376E-2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 AA_R_phoamp_ty '!$A$18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'!$B$18:$U$18</c:f>
              <c:numCache>
                <c:formatCode>General</c:formatCode>
                <c:ptCount val="20"/>
                <c:pt idx="0">
                  <c:v>-0.27284161963437414</c:v>
                </c:pt>
                <c:pt idx="1">
                  <c:v>-0.15452977116792924</c:v>
                </c:pt>
                <c:pt idx="2">
                  <c:v>-9.4209370180340354E-2</c:v>
                </c:pt>
                <c:pt idx="3">
                  <c:v>-7.1860573343552642E-2</c:v>
                </c:pt>
                <c:pt idx="4">
                  <c:v>-6.668258174931159E-2</c:v>
                </c:pt>
                <c:pt idx="5">
                  <c:v>-6.0495740489401283E-2</c:v>
                </c:pt>
                <c:pt idx="6">
                  <c:v>-5.6436596982835749E-2</c:v>
                </c:pt>
                <c:pt idx="7">
                  <c:v>-5.1959314135590719E-2</c:v>
                </c:pt>
                <c:pt idx="8">
                  <c:v>-5.5394883535438623E-2</c:v>
                </c:pt>
                <c:pt idx="9">
                  <c:v>-5.5203433212381955E-2</c:v>
                </c:pt>
                <c:pt idx="10">
                  <c:v>-4.9638660516320474E-2</c:v>
                </c:pt>
                <c:pt idx="11">
                  <c:v>-4.837856296662571E-2</c:v>
                </c:pt>
                <c:pt idx="12">
                  <c:v>-4.6627444921844383E-2</c:v>
                </c:pt>
                <c:pt idx="13">
                  <c:v>-4.402658890724441E-2</c:v>
                </c:pt>
                <c:pt idx="14">
                  <c:v>-4.178361032014262E-2</c:v>
                </c:pt>
                <c:pt idx="15">
                  <c:v>-3.7057135706414841E-2</c:v>
                </c:pt>
                <c:pt idx="16">
                  <c:v>-3.9347972544064906E-2</c:v>
                </c:pt>
                <c:pt idx="17">
                  <c:v>-4.0371336639799332E-2</c:v>
                </c:pt>
                <c:pt idx="18">
                  <c:v>-4.2317625991810007E-2</c:v>
                </c:pt>
                <c:pt idx="19">
                  <c:v>-4.0524488860724982E-2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 AA_R_phoamp_ty '!$A$19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'!$B$19:$U$19</c:f>
              <c:numCache>
                <c:formatCode>General</c:formatCode>
                <c:ptCount val="20"/>
                <c:pt idx="0">
                  <c:v>-0.16084987687879029</c:v>
                </c:pt>
                <c:pt idx="1">
                  <c:v>-0.10752709103819287</c:v>
                </c:pt>
                <c:pt idx="2">
                  <c:v>-6.4149632206030011E-2</c:v>
                </c:pt>
                <c:pt idx="3">
                  <c:v>-4.8832540123648738E-2</c:v>
                </c:pt>
                <c:pt idx="4">
                  <c:v>-4.0405383220311925E-2</c:v>
                </c:pt>
                <c:pt idx="5">
                  <c:v>-3.2985239371122362E-2</c:v>
                </c:pt>
                <c:pt idx="6">
                  <c:v>-3.0827386938196671E-2</c:v>
                </c:pt>
                <c:pt idx="7">
                  <c:v>-2.8245907532037321E-2</c:v>
                </c:pt>
                <c:pt idx="8">
                  <c:v>-2.5394185582452152E-2</c:v>
                </c:pt>
                <c:pt idx="9">
                  <c:v>-2.457861113566806E-2</c:v>
                </c:pt>
                <c:pt idx="10">
                  <c:v>-2.2707835671537429E-2</c:v>
                </c:pt>
                <c:pt idx="11">
                  <c:v>-2.2102886234164187E-2</c:v>
                </c:pt>
                <c:pt idx="12">
                  <c:v>-1.9928187025445483E-2</c:v>
                </c:pt>
                <c:pt idx="13">
                  <c:v>-1.9327852161860247E-2</c:v>
                </c:pt>
                <c:pt idx="14">
                  <c:v>-1.8626536637781785E-2</c:v>
                </c:pt>
                <c:pt idx="15">
                  <c:v>-1.7271067399684131E-2</c:v>
                </c:pt>
                <c:pt idx="16">
                  <c:v>-1.774811370322581E-2</c:v>
                </c:pt>
                <c:pt idx="17">
                  <c:v>-1.754321060338801E-2</c:v>
                </c:pt>
                <c:pt idx="18">
                  <c:v>-1.7476009636132661E-2</c:v>
                </c:pt>
                <c:pt idx="19">
                  <c:v>-1.7901763387651249E-2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 AA_R_phoamp_ty '!$A$20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'!$B$20:$U$20</c:f>
              <c:numCache>
                <c:formatCode>General</c:formatCode>
                <c:ptCount val="20"/>
                <c:pt idx="0">
                  <c:v>-0.14978741283955713</c:v>
                </c:pt>
                <c:pt idx="1">
                  <c:v>-0.10232686279991215</c:v>
                </c:pt>
                <c:pt idx="2">
                  <c:v>-5.5523087639428245E-2</c:v>
                </c:pt>
                <c:pt idx="3">
                  <c:v>-4.0217116141432127E-2</c:v>
                </c:pt>
                <c:pt idx="4">
                  <c:v>-3.3257980181767371E-2</c:v>
                </c:pt>
                <c:pt idx="5">
                  <c:v>-2.444916347453591E-2</c:v>
                </c:pt>
                <c:pt idx="6">
                  <c:v>-2.4295945303214401E-2</c:v>
                </c:pt>
                <c:pt idx="7">
                  <c:v>-2.3527661972787429E-2</c:v>
                </c:pt>
                <c:pt idx="8">
                  <c:v>-2.0628957551106036E-2</c:v>
                </c:pt>
                <c:pt idx="9">
                  <c:v>-1.9630688125838864E-2</c:v>
                </c:pt>
                <c:pt idx="10">
                  <c:v>-1.9636139482564541E-2</c:v>
                </c:pt>
                <c:pt idx="11">
                  <c:v>-1.9346961726010962E-2</c:v>
                </c:pt>
                <c:pt idx="12">
                  <c:v>-1.9193231437576876E-2</c:v>
                </c:pt>
                <c:pt idx="13">
                  <c:v>-1.9013146943617096E-2</c:v>
                </c:pt>
                <c:pt idx="14">
                  <c:v>-1.901010480183133E-2</c:v>
                </c:pt>
                <c:pt idx="15">
                  <c:v>-1.9021852224005886E-2</c:v>
                </c:pt>
                <c:pt idx="16">
                  <c:v>-1.6631118306031742E-2</c:v>
                </c:pt>
                <c:pt idx="17">
                  <c:v>-1.7286857966863085E-2</c:v>
                </c:pt>
                <c:pt idx="18">
                  <c:v>-1.8240057341553595E-2</c:v>
                </c:pt>
                <c:pt idx="19">
                  <c:v>-1.8143532952827422E-2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 AA_R_phoamp_ty '!$A$21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'!$B$21:$U$21</c:f>
              <c:numCache>
                <c:formatCode>General</c:formatCode>
                <c:ptCount val="20"/>
                <c:pt idx="0">
                  <c:v>-0.15259402805942363</c:v>
                </c:pt>
                <c:pt idx="1">
                  <c:v>-0.10487808509800699</c:v>
                </c:pt>
                <c:pt idx="2">
                  <c:v>-5.7347098055625288E-2</c:v>
                </c:pt>
                <c:pt idx="3">
                  <c:v>-4.0399655127668424E-2</c:v>
                </c:pt>
                <c:pt idx="4">
                  <c:v>-3.2827922669352944E-2</c:v>
                </c:pt>
                <c:pt idx="5">
                  <c:v>-2.6387947733044995E-2</c:v>
                </c:pt>
                <c:pt idx="6">
                  <c:v>-2.4820866521207172E-2</c:v>
                </c:pt>
                <c:pt idx="7">
                  <c:v>-2.3601392817074733E-2</c:v>
                </c:pt>
                <c:pt idx="8">
                  <c:v>-2.2143019631606115E-2</c:v>
                </c:pt>
                <c:pt idx="9">
                  <c:v>-2.1599330290021743E-2</c:v>
                </c:pt>
                <c:pt idx="10">
                  <c:v>-2.133126833262166E-2</c:v>
                </c:pt>
                <c:pt idx="11">
                  <c:v>-2.1012933330937209E-2</c:v>
                </c:pt>
                <c:pt idx="12">
                  <c:v>-1.9312491239557382E-2</c:v>
                </c:pt>
                <c:pt idx="13">
                  <c:v>-1.8909671362787216E-2</c:v>
                </c:pt>
                <c:pt idx="14">
                  <c:v>-1.8866183046800721E-2</c:v>
                </c:pt>
                <c:pt idx="15">
                  <c:v>-1.8190128086924558E-2</c:v>
                </c:pt>
                <c:pt idx="16">
                  <c:v>-1.799584239818941E-2</c:v>
                </c:pt>
                <c:pt idx="17">
                  <c:v>-1.7192544438393118E-2</c:v>
                </c:pt>
                <c:pt idx="18">
                  <c:v>-1.7327464460743916E-2</c:v>
                </c:pt>
                <c:pt idx="19">
                  <c:v>-1.7902850605312746E-2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 AA_R_phoamp_ty '!$A$22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'!$B$22:$U$22</c:f>
              <c:numCache>
                <c:formatCode>General</c:formatCode>
                <c:ptCount val="20"/>
                <c:pt idx="0">
                  <c:v>-0.14766271070819426</c:v>
                </c:pt>
                <c:pt idx="1">
                  <c:v>-9.8988317517512955E-2</c:v>
                </c:pt>
                <c:pt idx="2">
                  <c:v>-5.438386644428695E-2</c:v>
                </c:pt>
                <c:pt idx="3">
                  <c:v>-4.0060901571196246E-2</c:v>
                </c:pt>
                <c:pt idx="4">
                  <c:v>-3.2937685307310678E-2</c:v>
                </c:pt>
                <c:pt idx="5">
                  <c:v>-2.6140680701511852E-2</c:v>
                </c:pt>
                <c:pt idx="6">
                  <c:v>-2.3610596744348251E-2</c:v>
                </c:pt>
                <c:pt idx="7">
                  <c:v>-2.158004342116324E-2</c:v>
                </c:pt>
                <c:pt idx="8">
                  <c:v>-1.9149913105993836E-2</c:v>
                </c:pt>
                <c:pt idx="9">
                  <c:v>-1.9038439419498357E-2</c:v>
                </c:pt>
                <c:pt idx="10">
                  <c:v>-1.9652179895938166E-2</c:v>
                </c:pt>
                <c:pt idx="11">
                  <c:v>-1.9899331903528852E-2</c:v>
                </c:pt>
                <c:pt idx="12">
                  <c:v>-1.9465391302112629E-2</c:v>
                </c:pt>
                <c:pt idx="13">
                  <c:v>-2.0292566707849576E-2</c:v>
                </c:pt>
                <c:pt idx="14">
                  <c:v>-1.9089575610812207E-2</c:v>
                </c:pt>
                <c:pt idx="15">
                  <c:v>-1.7968498561676236E-2</c:v>
                </c:pt>
                <c:pt idx="16">
                  <c:v>-1.8040237522660502E-2</c:v>
                </c:pt>
                <c:pt idx="17">
                  <c:v>-1.8170430556713382E-2</c:v>
                </c:pt>
                <c:pt idx="18">
                  <c:v>-1.8889118643612715E-2</c:v>
                </c:pt>
                <c:pt idx="19">
                  <c:v>-1.9729518207332531E-2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 AA_R_phoamp_ty '!$A$23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'!$B$23:$U$23</c:f>
              <c:numCache>
                <c:formatCode>General</c:formatCode>
                <c:ptCount val="20"/>
                <c:pt idx="0">
                  <c:v>-0.14758899782436335</c:v>
                </c:pt>
                <c:pt idx="1">
                  <c:v>-0.10117023286039338</c:v>
                </c:pt>
                <c:pt idx="2">
                  <c:v>-5.4860714059896641E-2</c:v>
                </c:pt>
                <c:pt idx="3">
                  <c:v>-3.9586605731278118E-2</c:v>
                </c:pt>
                <c:pt idx="4">
                  <c:v>-3.1466728665930692E-2</c:v>
                </c:pt>
                <c:pt idx="5">
                  <c:v>-2.483248861536631E-2</c:v>
                </c:pt>
                <c:pt idx="6">
                  <c:v>-2.4425110440727597E-2</c:v>
                </c:pt>
                <c:pt idx="7">
                  <c:v>-2.1597271175756667E-2</c:v>
                </c:pt>
                <c:pt idx="8">
                  <c:v>-2.0131883759317681E-2</c:v>
                </c:pt>
                <c:pt idx="9">
                  <c:v>-1.8982643922755289E-2</c:v>
                </c:pt>
                <c:pt idx="10">
                  <c:v>-1.9751399915942824E-2</c:v>
                </c:pt>
                <c:pt idx="11">
                  <c:v>-1.9405559621633647E-2</c:v>
                </c:pt>
                <c:pt idx="12">
                  <c:v>-1.8516519943527349E-2</c:v>
                </c:pt>
                <c:pt idx="13">
                  <c:v>-1.8967749860958141E-2</c:v>
                </c:pt>
                <c:pt idx="14">
                  <c:v>-1.9259603416151062E-2</c:v>
                </c:pt>
                <c:pt idx="15">
                  <c:v>-1.8126520629895251E-2</c:v>
                </c:pt>
                <c:pt idx="16">
                  <c:v>-1.7958868196488443E-2</c:v>
                </c:pt>
                <c:pt idx="17">
                  <c:v>-1.8514027724015641E-2</c:v>
                </c:pt>
                <c:pt idx="18">
                  <c:v>-1.8172771330951229E-2</c:v>
                </c:pt>
                <c:pt idx="19">
                  <c:v>-1.7597441292309324E-2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 AA_R_phoamp_ty '!$A$24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'!$B$24:$U$24</c:f>
              <c:numCache>
                <c:formatCode>General</c:formatCode>
                <c:ptCount val="20"/>
                <c:pt idx="0">
                  <c:v>-0.15076899547874631</c:v>
                </c:pt>
                <c:pt idx="1">
                  <c:v>-0.10281476175421084</c:v>
                </c:pt>
                <c:pt idx="2">
                  <c:v>-5.7221411940142311E-2</c:v>
                </c:pt>
                <c:pt idx="3">
                  <c:v>-4.2740749565153176E-2</c:v>
                </c:pt>
                <c:pt idx="4">
                  <c:v>-3.5112438633174765E-2</c:v>
                </c:pt>
                <c:pt idx="5">
                  <c:v>-2.8512784897775704E-2</c:v>
                </c:pt>
                <c:pt idx="6">
                  <c:v>-2.5758136776869597E-2</c:v>
                </c:pt>
                <c:pt idx="7">
                  <c:v>-2.493661217356196E-2</c:v>
                </c:pt>
                <c:pt idx="8">
                  <c:v>-2.212752564184961E-2</c:v>
                </c:pt>
                <c:pt idx="9">
                  <c:v>-2.1947239448561678E-2</c:v>
                </c:pt>
                <c:pt idx="10">
                  <c:v>-2.1007924827302918E-2</c:v>
                </c:pt>
                <c:pt idx="11">
                  <c:v>-2.1402104271745999E-2</c:v>
                </c:pt>
                <c:pt idx="12">
                  <c:v>-1.9929328529968645E-2</c:v>
                </c:pt>
                <c:pt idx="13">
                  <c:v>-1.9147969976018545E-2</c:v>
                </c:pt>
                <c:pt idx="14">
                  <c:v>-1.8424539731079805E-2</c:v>
                </c:pt>
                <c:pt idx="15">
                  <c:v>-1.8448441880882478E-2</c:v>
                </c:pt>
                <c:pt idx="16">
                  <c:v>-1.8462439991034026E-2</c:v>
                </c:pt>
                <c:pt idx="17">
                  <c:v>-1.9083330186052828E-2</c:v>
                </c:pt>
                <c:pt idx="18">
                  <c:v>-2.0013512995165787E-2</c:v>
                </c:pt>
                <c:pt idx="19">
                  <c:v>-1.9649552319353204E-2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 AA_R_phoamp_ty '!$A$25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'!$B$25:$U$25</c:f>
              <c:numCache>
                <c:formatCode>General</c:formatCode>
                <c:ptCount val="20"/>
                <c:pt idx="0">
                  <c:v>-0.15250548787752483</c:v>
                </c:pt>
                <c:pt idx="1">
                  <c:v>-0.10643245665858576</c:v>
                </c:pt>
                <c:pt idx="2">
                  <c:v>-5.9551280052387044E-2</c:v>
                </c:pt>
                <c:pt idx="3">
                  <c:v>-4.2413534882711906E-2</c:v>
                </c:pt>
                <c:pt idx="4">
                  <c:v>-3.5512827443613594E-2</c:v>
                </c:pt>
                <c:pt idx="5">
                  <c:v>-2.8529064081821601E-2</c:v>
                </c:pt>
                <c:pt idx="6">
                  <c:v>-2.6266870395793059E-2</c:v>
                </c:pt>
                <c:pt idx="7">
                  <c:v>-2.4705937403860689E-2</c:v>
                </c:pt>
                <c:pt idx="8">
                  <c:v>-2.2075198863040484E-2</c:v>
                </c:pt>
                <c:pt idx="9">
                  <c:v>-2.0866004471033553E-2</c:v>
                </c:pt>
                <c:pt idx="10">
                  <c:v>-1.9149166684565691E-2</c:v>
                </c:pt>
                <c:pt idx="11">
                  <c:v>-2.0115433799198182E-2</c:v>
                </c:pt>
                <c:pt idx="12">
                  <c:v>-1.7190215024981862E-2</c:v>
                </c:pt>
                <c:pt idx="13">
                  <c:v>-1.718791834944302E-2</c:v>
                </c:pt>
                <c:pt idx="14">
                  <c:v>-1.6423273762706386E-2</c:v>
                </c:pt>
                <c:pt idx="15">
                  <c:v>-1.7256015557571981E-2</c:v>
                </c:pt>
                <c:pt idx="16">
                  <c:v>-1.7783587320393993E-2</c:v>
                </c:pt>
                <c:pt idx="17">
                  <c:v>-1.7878559693898136E-2</c:v>
                </c:pt>
                <c:pt idx="18">
                  <c:v>-1.8547239001430321E-2</c:v>
                </c:pt>
                <c:pt idx="19">
                  <c:v>-1.6999093403280627E-2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 AA_R_phoamp_ty '!$A$26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'!$B$26:$U$26</c:f>
              <c:numCache>
                <c:formatCode>General</c:formatCode>
                <c:ptCount val="20"/>
                <c:pt idx="0">
                  <c:v>-0.26203772696487626</c:v>
                </c:pt>
                <c:pt idx="1">
                  <c:v>-0.13365804361892217</c:v>
                </c:pt>
                <c:pt idx="2">
                  <c:v>-6.6750703031715597E-2</c:v>
                </c:pt>
                <c:pt idx="3">
                  <c:v>-4.8358655488996448E-2</c:v>
                </c:pt>
                <c:pt idx="4">
                  <c:v>-3.6571739067635889E-2</c:v>
                </c:pt>
                <c:pt idx="5">
                  <c:v>-2.8910701950378929E-2</c:v>
                </c:pt>
                <c:pt idx="6">
                  <c:v>-2.6308864360299552E-2</c:v>
                </c:pt>
                <c:pt idx="7">
                  <c:v>-2.0935665023070406E-2</c:v>
                </c:pt>
                <c:pt idx="8">
                  <c:v>-2.1837232617380731E-2</c:v>
                </c:pt>
                <c:pt idx="9">
                  <c:v>-1.8699261121396225E-2</c:v>
                </c:pt>
                <c:pt idx="10">
                  <c:v>-1.7783951335697632E-2</c:v>
                </c:pt>
                <c:pt idx="11">
                  <c:v>-1.7522278869347419E-2</c:v>
                </c:pt>
                <c:pt idx="12">
                  <c:v>-1.469029558233482E-2</c:v>
                </c:pt>
                <c:pt idx="13">
                  <c:v>-1.5289174372754609E-2</c:v>
                </c:pt>
                <c:pt idx="14">
                  <c:v>-1.3263252475976057E-2</c:v>
                </c:pt>
                <c:pt idx="15">
                  <c:v>-1.4060258512665576E-2</c:v>
                </c:pt>
                <c:pt idx="16">
                  <c:v>-1.4431782625770381E-2</c:v>
                </c:pt>
                <c:pt idx="17">
                  <c:v>-1.3813279142232132E-2</c:v>
                </c:pt>
                <c:pt idx="18">
                  <c:v>-1.4319877264949666E-2</c:v>
                </c:pt>
                <c:pt idx="19">
                  <c:v>-1.4076744128137168E-2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 AA_R_phoamp_ty '!$A$27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'!$B$27:$U$27</c:f>
              <c:numCache>
                <c:formatCode>General</c:formatCode>
                <c:ptCount val="20"/>
                <c:pt idx="0">
                  <c:v>-0.16306617729401904</c:v>
                </c:pt>
                <c:pt idx="1">
                  <c:v>-0.11080995065980133</c:v>
                </c:pt>
                <c:pt idx="2">
                  <c:v>-6.25954607817681E-2</c:v>
                </c:pt>
                <c:pt idx="3">
                  <c:v>-4.7661409694913968E-2</c:v>
                </c:pt>
                <c:pt idx="4">
                  <c:v>-3.9303041928352912E-2</c:v>
                </c:pt>
                <c:pt idx="5">
                  <c:v>-3.2333338670089723E-2</c:v>
                </c:pt>
                <c:pt idx="6">
                  <c:v>-3.0373322410599618E-2</c:v>
                </c:pt>
                <c:pt idx="7">
                  <c:v>-2.7520184541572179E-2</c:v>
                </c:pt>
                <c:pt idx="8">
                  <c:v>-2.7542929965128748E-2</c:v>
                </c:pt>
                <c:pt idx="9">
                  <c:v>-2.4486188535277339E-2</c:v>
                </c:pt>
                <c:pt idx="10">
                  <c:v>-2.3243040284226069E-2</c:v>
                </c:pt>
                <c:pt idx="11">
                  <c:v>-2.166411783441808E-2</c:v>
                </c:pt>
                <c:pt idx="12">
                  <c:v>-2.0241004006294274E-2</c:v>
                </c:pt>
                <c:pt idx="13">
                  <c:v>-2.0442601697925913E-2</c:v>
                </c:pt>
                <c:pt idx="14">
                  <c:v>-2.0455791446534789E-2</c:v>
                </c:pt>
                <c:pt idx="15">
                  <c:v>-2.0554837498523271E-2</c:v>
                </c:pt>
                <c:pt idx="16">
                  <c:v>-2.1171613107669393E-2</c:v>
                </c:pt>
                <c:pt idx="17">
                  <c:v>-1.8928823809850955E-2</c:v>
                </c:pt>
                <c:pt idx="18">
                  <c:v>-1.9885270057839289E-2</c:v>
                </c:pt>
                <c:pt idx="19">
                  <c:v>-1.9280667309889112E-2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 AA_R_phoamp_ty '!$A$28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'!$B$28:$U$28</c:f>
              <c:numCache>
                <c:formatCode>General</c:formatCode>
                <c:ptCount val="20"/>
                <c:pt idx="0">
                  <c:v>-0.15642135783890149</c:v>
                </c:pt>
                <c:pt idx="1">
                  <c:v>-0.10923966681038774</c:v>
                </c:pt>
                <c:pt idx="2">
                  <c:v>-6.1388583221032494E-2</c:v>
                </c:pt>
                <c:pt idx="3">
                  <c:v>-4.6738858675570989E-2</c:v>
                </c:pt>
                <c:pt idx="4">
                  <c:v>-3.8273494782064689E-2</c:v>
                </c:pt>
                <c:pt idx="5">
                  <c:v>-3.1869845456648775E-2</c:v>
                </c:pt>
                <c:pt idx="6">
                  <c:v>-2.8697742239157036E-2</c:v>
                </c:pt>
                <c:pt idx="7">
                  <c:v>-2.766352106335232E-2</c:v>
                </c:pt>
                <c:pt idx="8">
                  <c:v>-2.6487613729577475E-2</c:v>
                </c:pt>
                <c:pt idx="9">
                  <c:v>-2.2506572796811682E-2</c:v>
                </c:pt>
                <c:pt idx="10">
                  <c:v>-2.0444069163420987E-2</c:v>
                </c:pt>
                <c:pt idx="11">
                  <c:v>-1.9489161286231946E-2</c:v>
                </c:pt>
                <c:pt idx="12">
                  <c:v>-1.8118934493803553E-2</c:v>
                </c:pt>
                <c:pt idx="13">
                  <c:v>-1.7290281277427391E-2</c:v>
                </c:pt>
                <c:pt idx="14">
                  <c:v>-1.6683069888913965E-2</c:v>
                </c:pt>
                <c:pt idx="15">
                  <c:v>-1.6971916549846557E-2</c:v>
                </c:pt>
                <c:pt idx="16">
                  <c:v>-1.7079807131507169E-2</c:v>
                </c:pt>
                <c:pt idx="17">
                  <c:v>-1.7440763195907583E-2</c:v>
                </c:pt>
                <c:pt idx="18">
                  <c:v>-1.8899421379496149E-2</c:v>
                </c:pt>
                <c:pt idx="19">
                  <c:v>-1.8607972610736236E-2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 AA_R_phoamp_ty '!$A$29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'!$B$29:$U$29</c:f>
              <c:numCache>
                <c:formatCode>General</c:formatCode>
                <c:ptCount val="20"/>
                <c:pt idx="0">
                  <c:v>-0.16256102235556152</c:v>
                </c:pt>
                <c:pt idx="1">
                  <c:v>-0.11852683219648494</c:v>
                </c:pt>
                <c:pt idx="2">
                  <c:v>-7.2922780629643871E-2</c:v>
                </c:pt>
                <c:pt idx="3">
                  <c:v>-5.7759097891453039E-2</c:v>
                </c:pt>
                <c:pt idx="4">
                  <c:v>-4.8688018672517215E-2</c:v>
                </c:pt>
                <c:pt idx="5">
                  <c:v>-4.4187558188692869E-2</c:v>
                </c:pt>
                <c:pt idx="6">
                  <c:v>-4.3632488703610965E-2</c:v>
                </c:pt>
                <c:pt idx="7">
                  <c:v>-4.0720486820269075E-2</c:v>
                </c:pt>
                <c:pt idx="8">
                  <c:v>-3.8375228615219657E-2</c:v>
                </c:pt>
                <c:pt idx="9">
                  <c:v>-3.6278498697147638E-2</c:v>
                </c:pt>
                <c:pt idx="10">
                  <c:v>-3.0232764309550814E-2</c:v>
                </c:pt>
                <c:pt idx="11">
                  <c:v>-2.7127047966666446E-2</c:v>
                </c:pt>
                <c:pt idx="12">
                  <c:v>-2.7068463526465886E-2</c:v>
                </c:pt>
                <c:pt idx="13">
                  <c:v>-2.6500936949691214E-2</c:v>
                </c:pt>
                <c:pt idx="14">
                  <c:v>-2.6549534723844772E-2</c:v>
                </c:pt>
                <c:pt idx="15">
                  <c:v>-2.6154912197654492E-2</c:v>
                </c:pt>
                <c:pt idx="16">
                  <c:v>-2.3195308135770639E-2</c:v>
                </c:pt>
                <c:pt idx="17">
                  <c:v>-2.1985661845190286E-2</c:v>
                </c:pt>
                <c:pt idx="18">
                  <c:v>-2.2741616207795041E-2</c:v>
                </c:pt>
                <c:pt idx="19">
                  <c:v>-2.1449811440369195E-2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 AA_R_phoamp_ty '!$A$30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'!$B$30:$U$30</c:f>
              <c:numCache>
                <c:formatCode>General</c:formatCode>
                <c:ptCount val="20"/>
                <c:pt idx="0">
                  <c:v>-0.11392688909075131</c:v>
                </c:pt>
                <c:pt idx="1">
                  <c:v>-7.1685590173924563E-2</c:v>
                </c:pt>
                <c:pt idx="2">
                  <c:v>-3.4350454034244089E-2</c:v>
                </c:pt>
                <c:pt idx="3">
                  <c:v>-2.7039063405113282E-2</c:v>
                </c:pt>
                <c:pt idx="4">
                  <c:v>-2.3231158451274811E-2</c:v>
                </c:pt>
                <c:pt idx="5">
                  <c:v>-1.7271073641320713E-2</c:v>
                </c:pt>
                <c:pt idx="6">
                  <c:v>-1.3950206869842302E-2</c:v>
                </c:pt>
                <c:pt idx="7">
                  <c:v>-1.2216718504117942E-2</c:v>
                </c:pt>
                <c:pt idx="8">
                  <c:v>-1.1628373009910428E-2</c:v>
                </c:pt>
                <c:pt idx="9">
                  <c:v>-1.0644220794937801E-2</c:v>
                </c:pt>
                <c:pt idx="10">
                  <c:v>-1.0613014549928173E-2</c:v>
                </c:pt>
                <c:pt idx="11">
                  <c:v>-1.0272382616943163E-2</c:v>
                </c:pt>
                <c:pt idx="12">
                  <c:v>-9.3772417760652153E-3</c:v>
                </c:pt>
                <c:pt idx="13">
                  <c:v>-9.0232612268443448E-3</c:v>
                </c:pt>
                <c:pt idx="14">
                  <c:v>-9.1263450553763954E-3</c:v>
                </c:pt>
                <c:pt idx="15">
                  <c:v>-9.1409065351825414E-3</c:v>
                </c:pt>
                <c:pt idx="16">
                  <c:v>-9.599747018337013E-3</c:v>
                </c:pt>
                <c:pt idx="17">
                  <c:v>-1.0024267468621038E-2</c:v>
                </c:pt>
                <c:pt idx="18">
                  <c:v>-9.9722234009192116E-3</c:v>
                </c:pt>
                <c:pt idx="19">
                  <c:v>-1.0285168636822909E-2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 AA_R_phoamp_ty '!$A$31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'!$B$31:$U$31</c:f>
              <c:numCache>
                <c:formatCode>General</c:formatCode>
                <c:ptCount val="20"/>
                <c:pt idx="0">
                  <c:v>-0.15409264477782378</c:v>
                </c:pt>
                <c:pt idx="1">
                  <c:v>-0.12838671362491672</c:v>
                </c:pt>
                <c:pt idx="2">
                  <c:v>-0.11776121584557979</c:v>
                </c:pt>
                <c:pt idx="3">
                  <c:v>-0.11146452576643126</c:v>
                </c:pt>
                <c:pt idx="4">
                  <c:v>-0.1061572657616556</c:v>
                </c:pt>
                <c:pt idx="5">
                  <c:v>-9.5817638067633923E-2</c:v>
                </c:pt>
                <c:pt idx="6">
                  <c:v>-9.5401913521096976E-2</c:v>
                </c:pt>
                <c:pt idx="7">
                  <c:v>-9.4073849651160876E-2</c:v>
                </c:pt>
                <c:pt idx="8">
                  <c:v>-9.2779833165021891E-2</c:v>
                </c:pt>
                <c:pt idx="9">
                  <c:v>-9.0384068568968731E-2</c:v>
                </c:pt>
                <c:pt idx="10">
                  <c:v>-8.2846303476107622E-2</c:v>
                </c:pt>
                <c:pt idx="11">
                  <c:v>-8.3750180187950843E-2</c:v>
                </c:pt>
                <c:pt idx="12">
                  <c:v>-8.6539144479001573E-2</c:v>
                </c:pt>
                <c:pt idx="13">
                  <c:v>-8.9857775662045405E-2</c:v>
                </c:pt>
                <c:pt idx="14">
                  <c:v>-9.0157584754883335E-2</c:v>
                </c:pt>
                <c:pt idx="15">
                  <c:v>-8.7453831129579815E-2</c:v>
                </c:pt>
                <c:pt idx="16">
                  <c:v>-8.4700991237733878E-2</c:v>
                </c:pt>
                <c:pt idx="17">
                  <c:v>-8.4585129605586756E-2</c:v>
                </c:pt>
                <c:pt idx="18">
                  <c:v>-8.3795366755519629E-2</c:v>
                </c:pt>
                <c:pt idx="19">
                  <c:v>-8.5846871848065304E-2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 AA_R_phoamp_ty '!$A$32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'!$B$32:$U$32</c:f>
              <c:numCache>
                <c:formatCode>General</c:formatCode>
                <c:ptCount val="20"/>
                <c:pt idx="0">
                  <c:v>-0.16415022289727846</c:v>
                </c:pt>
                <c:pt idx="1">
                  <c:v>-8.066812392564425E-2</c:v>
                </c:pt>
                <c:pt idx="2">
                  <c:v>-3.4970909520949403E-2</c:v>
                </c:pt>
                <c:pt idx="3">
                  <c:v>-2.0890749613971082E-2</c:v>
                </c:pt>
                <c:pt idx="4">
                  <c:v>-1.6477596916449882E-2</c:v>
                </c:pt>
                <c:pt idx="5">
                  <c:v>-1.3857314957965399E-2</c:v>
                </c:pt>
                <c:pt idx="6">
                  <c:v>-1.1117833801652009E-2</c:v>
                </c:pt>
                <c:pt idx="7">
                  <c:v>-9.2675669598402712E-3</c:v>
                </c:pt>
                <c:pt idx="8">
                  <c:v>-8.3489026488289143E-3</c:v>
                </c:pt>
                <c:pt idx="9">
                  <c:v>-6.618122736776119E-3</c:v>
                </c:pt>
                <c:pt idx="10">
                  <c:v>-5.300673299286851E-3</c:v>
                </c:pt>
                <c:pt idx="11">
                  <c:v>-4.6654414953684374E-3</c:v>
                </c:pt>
                <c:pt idx="12">
                  <c:v>-3.8435929422458073E-3</c:v>
                </c:pt>
                <c:pt idx="13">
                  <c:v>-3.8608113208191881E-3</c:v>
                </c:pt>
                <c:pt idx="14">
                  <c:v>-2.825405994145179E-3</c:v>
                </c:pt>
                <c:pt idx="15">
                  <c:v>-3.0255945770408963E-3</c:v>
                </c:pt>
                <c:pt idx="16">
                  <c:v>-2.3143550811337821E-3</c:v>
                </c:pt>
                <c:pt idx="17">
                  <c:v>-2.5819441447105175E-3</c:v>
                </c:pt>
                <c:pt idx="18">
                  <c:v>-2.9146465654447092E-3</c:v>
                </c:pt>
                <c:pt idx="19">
                  <c:v>-2.6949509049629329E-3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 AA_R_phoamp_ty '!$A$33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'!$B$33:$U$33</c:f>
              <c:numCache>
                <c:formatCode>General</c:formatCode>
                <c:ptCount val="20"/>
                <c:pt idx="0">
                  <c:v>-0.14693645723941778</c:v>
                </c:pt>
                <c:pt idx="1">
                  <c:v>-6.748510588359298E-2</c:v>
                </c:pt>
                <c:pt idx="2">
                  <c:v>-3.5946442304639517E-2</c:v>
                </c:pt>
                <c:pt idx="3">
                  <c:v>-2.3091738381208624E-2</c:v>
                </c:pt>
                <c:pt idx="4">
                  <c:v>-2.0696697640295407E-2</c:v>
                </c:pt>
                <c:pt idx="5">
                  <c:v>-1.708703686361248E-2</c:v>
                </c:pt>
                <c:pt idx="6">
                  <c:v>-1.4085112233616052E-2</c:v>
                </c:pt>
                <c:pt idx="7">
                  <c:v>-1.0634301231630406E-2</c:v>
                </c:pt>
                <c:pt idx="8">
                  <c:v>-9.2121350308095873E-3</c:v>
                </c:pt>
                <c:pt idx="9">
                  <c:v>-8.0838132867212514E-3</c:v>
                </c:pt>
                <c:pt idx="10">
                  <c:v>-7.8537486509709254E-3</c:v>
                </c:pt>
                <c:pt idx="11">
                  <c:v>-7.2259286006478981E-3</c:v>
                </c:pt>
                <c:pt idx="12">
                  <c:v>-6.4894789539200505E-3</c:v>
                </c:pt>
                <c:pt idx="13">
                  <c:v>-6.2035956092627818E-3</c:v>
                </c:pt>
                <c:pt idx="14">
                  <c:v>-6.1663417801003729E-3</c:v>
                </c:pt>
                <c:pt idx="15">
                  <c:v>-5.0455339342473267E-3</c:v>
                </c:pt>
                <c:pt idx="16">
                  <c:v>-5.1082484986374943E-3</c:v>
                </c:pt>
                <c:pt idx="17">
                  <c:v>-5.5601348973103445E-3</c:v>
                </c:pt>
                <c:pt idx="18">
                  <c:v>-6.1424668154287541E-3</c:v>
                </c:pt>
                <c:pt idx="19">
                  <c:v>-6.5315329295415041E-3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 AA_R_phoamp_ty '!$A$34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'!$B$34:$U$34</c:f>
              <c:numCache>
                <c:formatCode>General</c:formatCode>
                <c:ptCount val="20"/>
                <c:pt idx="0">
                  <c:v>-0.14915808525939989</c:v>
                </c:pt>
                <c:pt idx="1">
                  <c:v>-6.667848304760951E-2</c:v>
                </c:pt>
                <c:pt idx="2">
                  <c:v>-3.4818063649484296E-2</c:v>
                </c:pt>
                <c:pt idx="3">
                  <c:v>-2.3282813833923915E-2</c:v>
                </c:pt>
                <c:pt idx="4">
                  <c:v>-1.9911933230937411E-2</c:v>
                </c:pt>
                <c:pt idx="5">
                  <c:v>-1.5995105179586105E-2</c:v>
                </c:pt>
                <c:pt idx="6">
                  <c:v>-1.3888300139055013E-2</c:v>
                </c:pt>
                <c:pt idx="7">
                  <c:v>-1.1049909979117959E-2</c:v>
                </c:pt>
                <c:pt idx="8">
                  <c:v>-9.0769309542213638E-3</c:v>
                </c:pt>
                <c:pt idx="9">
                  <c:v>-7.5028065098445588E-3</c:v>
                </c:pt>
                <c:pt idx="10">
                  <c:v>-5.3328288146556229E-3</c:v>
                </c:pt>
                <c:pt idx="11">
                  <c:v>-5.4463871983909569E-3</c:v>
                </c:pt>
                <c:pt idx="12">
                  <c:v>-4.6700667979554106E-3</c:v>
                </c:pt>
                <c:pt idx="13">
                  <c:v>-3.9713963030824639E-3</c:v>
                </c:pt>
                <c:pt idx="14">
                  <c:v>-4.2179256721260319E-3</c:v>
                </c:pt>
                <c:pt idx="15">
                  <c:v>-4.2505802891102317E-3</c:v>
                </c:pt>
                <c:pt idx="16">
                  <c:v>-4.3019961015683906E-3</c:v>
                </c:pt>
                <c:pt idx="17">
                  <c:v>-3.8670806348924209E-3</c:v>
                </c:pt>
                <c:pt idx="18">
                  <c:v>-3.8310675562839109E-3</c:v>
                </c:pt>
                <c:pt idx="19">
                  <c:v>-4.0641849603736159E-3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 AA_R_phoamp_ty '!$A$35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'!$B$35:$U$35</c:f>
              <c:numCache>
                <c:formatCode>General</c:formatCode>
                <c:ptCount val="20"/>
                <c:pt idx="0">
                  <c:v>-0.15774658115673931</c:v>
                </c:pt>
                <c:pt idx="1">
                  <c:v>-0.1328100596714441</c:v>
                </c:pt>
                <c:pt idx="2">
                  <c:v>-0.11885657757878544</c:v>
                </c:pt>
                <c:pt idx="3">
                  <c:v>-0.11026952853141768</c:v>
                </c:pt>
                <c:pt idx="4">
                  <c:v>-0.10448594516329339</c:v>
                </c:pt>
                <c:pt idx="5">
                  <c:v>-9.641330632901382E-2</c:v>
                </c:pt>
                <c:pt idx="6">
                  <c:v>-8.854802896207184E-2</c:v>
                </c:pt>
                <c:pt idx="7">
                  <c:v>-8.3022703483660407E-2</c:v>
                </c:pt>
                <c:pt idx="8">
                  <c:v>-7.7858911165545164E-2</c:v>
                </c:pt>
                <c:pt idx="9">
                  <c:v>-6.9143430390844376E-2</c:v>
                </c:pt>
                <c:pt idx="10">
                  <c:v>-6.4834130078375116E-2</c:v>
                </c:pt>
                <c:pt idx="11">
                  <c:v>-6.4013989534565052E-2</c:v>
                </c:pt>
                <c:pt idx="12">
                  <c:v>-6.0586555343642191E-2</c:v>
                </c:pt>
                <c:pt idx="13">
                  <c:v>-6.0907470297132726E-2</c:v>
                </c:pt>
                <c:pt idx="14">
                  <c:v>-5.80365473118463E-2</c:v>
                </c:pt>
                <c:pt idx="15">
                  <c:v>-5.8560338641567559E-2</c:v>
                </c:pt>
                <c:pt idx="16">
                  <c:v>-5.9159925647148968E-2</c:v>
                </c:pt>
                <c:pt idx="17">
                  <c:v>-5.8507806325709934E-2</c:v>
                </c:pt>
                <c:pt idx="18">
                  <c:v>-5.9344035994525667E-2</c:v>
                </c:pt>
                <c:pt idx="19">
                  <c:v>-5.6269902287085394E-2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 AA_R_phoamp_ty '!$A$36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'!$B$36:$U$36</c:f>
              <c:numCache>
                <c:formatCode>General</c:formatCode>
                <c:ptCount val="20"/>
                <c:pt idx="0">
                  <c:v>-0.18084541333396514</c:v>
                </c:pt>
                <c:pt idx="1">
                  <c:v>-0.15883976836708122</c:v>
                </c:pt>
                <c:pt idx="2">
                  <c:v>-0.14156929949206934</c:v>
                </c:pt>
                <c:pt idx="3">
                  <c:v>-0.13170145856179283</c:v>
                </c:pt>
                <c:pt idx="4">
                  <c:v>-0.12487209582020357</c:v>
                </c:pt>
                <c:pt idx="5">
                  <c:v>-0.11311838315466313</c:v>
                </c:pt>
                <c:pt idx="6">
                  <c:v>-0.11170520656008204</c:v>
                </c:pt>
                <c:pt idx="7">
                  <c:v>-0.10425288882201386</c:v>
                </c:pt>
                <c:pt idx="8">
                  <c:v>-9.661716361465203E-2</c:v>
                </c:pt>
                <c:pt idx="9">
                  <c:v>-9.0048142826346586E-2</c:v>
                </c:pt>
                <c:pt idx="10">
                  <c:v>-8.0130763641129588E-2</c:v>
                </c:pt>
                <c:pt idx="11">
                  <c:v>-7.798367589470831E-2</c:v>
                </c:pt>
                <c:pt idx="12">
                  <c:v>-7.4592529727152052E-2</c:v>
                </c:pt>
                <c:pt idx="13">
                  <c:v>-7.5131946810335568E-2</c:v>
                </c:pt>
                <c:pt idx="14">
                  <c:v>-7.0776470731706828E-2</c:v>
                </c:pt>
                <c:pt idx="15">
                  <c:v>-6.9985042104565923E-2</c:v>
                </c:pt>
                <c:pt idx="16">
                  <c:v>-6.9475198063868274E-2</c:v>
                </c:pt>
                <c:pt idx="17">
                  <c:v>-6.5862241156248599E-2</c:v>
                </c:pt>
                <c:pt idx="18">
                  <c:v>-6.4864867435524179E-2</c:v>
                </c:pt>
                <c:pt idx="19">
                  <c:v>-6.5983824057679913E-2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 AA_R_phoamp_ty '!$A$37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' AA_R_phoamp_ty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AA_R_phoamp_ty '!$B$37:$U$37</c:f>
              <c:numCache>
                <c:formatCode>General</c:formatCode>
                <c:ptCount val="20"/>
                <c:pt idx="0">
                  <c:v>-0.16815887199414889</c:v>
                </c:pt>
                <c:pt idx="1">
                  <c:v>-0.15279536084723719</c:v>
                </c:pt>
                <c:pt idx="2">
                  <c:v>-0.14025568988385048</c:v>
                </c:pt>
                <c:pt idx="3">
                  <c:v>-0.13880395871590887</c:v>
                </c:pt>
                <c:pt idx="4">
                  <c:v>-0.13941457859753958</c:v>
                </c:pt>
                <c:pt idx="5">
                  <c:v>-0.13643603386356243</c:v>
                </c:pt>
                <c:pt idx="6">
                  <c:v>-0.14079707975456601</c:v>
                </c:pt>
                <c:pt idx="7">
                  <c:v>-0.14423555555308593</c:v>
                </c:pt>
                <c:pt idx="8">
                  <c:v>-0.1446835938098435</c:v>
                </c:pt>
                <c:pt idx="9">
                  <c:v>-0.14602127075356644</c:v>
                </c:pt>
                <c:pt idx="10">
                  <c:v>-0.13372119360210361</c:v>
                </c:pt>
                <c:pt idx="11">
                  <c:v>-0.1340621337127671</c:v>
                </c:pt>
                <c:pt idx="12">
                  <c:v>-0.13926341886240051</c:v>
                </c:pt>
                <c:pt idx="13">
                  <c:v>-0.14114125817954098</c:v>
                </c:pt>
                <c:pt idx="14">
                  <c:v>-0.13789088238059541</c:v>
                </c:pt>
                <c:pt idx="15">
                  <c:v>-0.1395230547800797</c:v>
                </c:pt>
                <c:pt idx="16">
                  <c:v>-0.14385152677681276</c:v>
                </c:pt>
                <c:pt idx="17">
                  <c:v>-0.14658181856994146</c:v>
                </c:pt>
                <c:pt idx="18">
                  <c:v>-0.14132471808171737</c:v>
                </c:pt>
                <c:pt idx="19">
                  <c:v>-0.14232498787675785</c:v>
                </c:pt>
              </c:numCache>
            </c:numRef>
          </c:yVal>
          <c:smooth val="1"/>
        </c:ser>
        <c:axId val="70892160"/>
        <c:axId val="70898432"/>
      </c:scatterChart>
      <c:valAx>
        <c:axId val="7089216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898432"/>
        <c:crosses val="autoZero"/>
        <c:crossBetween val="midCat"/>
      </c:valAx>
      <c:valAx>
        <c:axId val="70898432"/>
        <c:scaling>
          <c:orientation val="minMax"/>
        </c:scaling>
        <c:axPos val="l"/>
        <c:numFmt formatCode="General" sourceLinked="1"/>
        <c:tickLblPos val="nextTo"/>
        <c:crossAx val="708921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102383068571119"/>
          <c:y val="7.9861475648877231E-2"/>
          <c:w val="0.25833598304186539"/>
          <c:h val="0.86590167849130595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AA_R_phophi_A!$B$3:$U$3</c:f>
              <c:numCache>
                <c:formatCode>General</c:formatCode>
                <c:ptCount val="20"/>
                <c:pt idx="0">
                  <c:v>0.3718645164406027</c:v>
                </c:pt>
                <c:pt idx="1">
                  <c:v>0.33453415369638706</c:v>
                </c:pt>
                <c:pt idx="2">
                  <c:v>0.28868989185405658</c:v>
                </c:pt>
                <c:pt idx="3">
                  <c:v>0.26944123172575007</c:v>
                </c:pt>
                <c:pt idx="4">
                  <c:v>0.2550871011014918</c:v>
                </c:pt>
                <c:pt idx="5">
                  <c:v>0.23371859381994969</c:v>
                </c:pt>
                <c:pt idx="6">
                  <c:v>0.22850406991937591</c:v>
                </c:pt>
                <c:pt idx="7">
                  <c:v>0.20943541691114445</c:v>
                </c:pt>
                <c:pt idx="8">
                  <c:v>0.20165277611224366</c:v>
                </c:pt>
                <c:pt idx="9">
                  <c:v>0.20354039249864453</c:v>
                </c:pt>
                <c:pt idx="10">
                  <c:v>0.20596464036643883</c:v>
                </c:pt>
                <c:pt idx="11">
                  <c:v>0.19780873410271782</c:v>
                </c:pt>
                <c:pt idx="12">
                  <c:v>0.18938350544465674</c:v>
                </c:pt>
                <c:pt idx="13">
                  <c:v>0.17311869946806421</c:v>
                </c:pt>
                <c:pt idx="14">
                  <c:v>0.17441546556851981</c:v>
                </c:pt>
                <c:pt idx="15">
                  <c:v>0.1589414322781246</c:v>
                </c:pt>
                <c:pt idx="16">
                  <c:v>0.1577381322908756</c:v>
                </c:pt>
                <c:pt idx="17">
                  <c:v>0.14738828085854969</c:v>
                </c:pt>
                <c:pt idx="18">
                  <c:v>0.148461905641532</c:v>
                </c:pt>
                <c:pt idx="19">
                  <c:v>0.14055941177091205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AA_R_phophi_A!$B$21:$U$21</c:f>
              <c:numCache>
                <c:formatCode>General</c:formatCode>
                <c:ptCount val="20"/>
                <c:pt idx="0">
                  <c:v>0.2395062445591796</c:v>
                </c:pt>
                <c:pt idx="1">
                  <c:v>0.17405626106982308</c:v>
                </c:pt>
                <c:pt idx="2">
                  <c:v>0.10518558727746824</c:v>
                </c:pt>
                <c:pt idx="3">
                  <c:v>7.8830760820921303E-2</c:v>
                </c:pt>
                <c:pt idx="4">
                  <c:v>6.5465394951230493E-2</c:v>
                </c:pt>
                <c:pt idx="5">
                  <c:v>5.6129043481507691E-2</c:v>
                </c:pt>
                <c:pt idx="6">
                  <c:v>5.2101684769111589E-2</c:v>
                </c:pt>
                <c:pt idx="7">
                  <c:v>5.1623838177763552E-2</c:v>
                </c:pt>
                <c:pt idx="8">
                  <c:v>4.8906791143135411E-2</c:v>
                </c:pt>
                <c:pt idx="9">
                  <c:v>4.9564802628616567E-2</c:v>
                </c:pt>
                <c:pt idx="10">
                  <c:v>4.9046002313039114E-2</c:v>
                </c:pt>
                <c:pt idx="11">
                  <c:v>4.8422540578252356E-2</c:v>
                </c:pt>
                <c:pt idx="12">
                  <c:v>4.6265922156565296E-2</c:v>
                </c:pt>
                <c:pt idx="13">
                  <c:v>4.4771791035841821E-2</c:v>
                </c:pt>
                <c:pt idx="14">
                  <c:v>4.3695265260451609E-2</c:v>
                </c:pt>
                <c:pt idx="15">
                  <c:v>4.1492941197899008E-2</c:v>
                </c:pt>
                <c:pt idx="16">
                  <c:v>4.1370421969631047E-2</c:v>
                </c:pt>
                <c:pt idx="17">
                  <c:v>3.9258528527001131E-2</c:v>
                </c:pt>
                <c:pt idx="18">
                  <c:v>3.9123967056057668E-2</c:v>
                </c:pt>
                <c:pt idx="19">
                  <c:v>3.9598388375704639E-2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AA_R_phophi_A!$B$37:$U$37</c:f>
              <c:numCache>
                <c:formatCode>General</c:formatCode>
                <c:ptCount val="20"/>
                <c:pt idx="0">
                  <c:v>0.24196185188927655</c:v>
                </c:pt>
                <c:pt idx="1">
                  <c:v>0.22393501044737121</c:v>
                </c:pt>
                <c:pt idx="2">
                  <c:v>0.20792750560355008</c:v>
                </c:pt>
                <c:pt idx="3">
                  <c:v>0.20852735522281252</c:v>
                </c:pt>
                <c:pt idx="4">
                  <c:v>0.20584038074154576</c:v>
                </c:pt>
                <c:pt idx="5">
                  <c:v>0.20577012782885579</c:v>
                </c:pt>
                <c:pt idx="6">
                  <c:v>0.20124752771098053</c:v>
                </c:pt>
                <c:pt idx="7">
                  <c:v>0.20306131308402006</c:v>
                </c:pt>
                <c:pt idx="8">
                  <c:v>0.20077352245981522</c:v>
                </c:pt>
                <c:pt idx="9">
                  <c:v>0.19757910586038338</c:v>
                </c:pt>
                <c:pt idx="10">
                  <c:v>0.19650084012654406</c:v>
                </c:pt>
                <c:pt idx="11">
                  <c:v>0.19336773914242025</c:v>
                </c:pt>
                <c:pt idx="12">
                  <c:v>0.19398347499517327</c:v>
                </c:pt>
                <c:pt idx="13">
                  <c:v>0.19317899092015223</c:v>
                </c:pt>
                <c:pt idx="14">
                  <c:v>0.19148246162176366</c:v>
                </c:pt>
                <c:pt idx="15">
                  <c:v>0.18951461205310044</c:v>
                </c:pt>
                <c:pt idx="16">
                  <c:v>0.19426849885731565</c:v>
                </c:pt>
                <c:pt idx="17">
                  <c:v>0.19738724255963069</c:v>
                </c:pt>
                <c:pt idx="18">
                  <c:v>0.18657805534420843</c:v>
                </c:pt>
                <c:pt idx="19">
                  <c:v>0.18612097256818236</c:v>
                </c:pt>
              </c:numCache>
            </c:numRef>
          </c:yVal>
          <c:smooth val="1"/>
        </c:ser>
        <c:axId val="91971968"/>
        <c:axId val="91973888"/>
      </c:scatterChart>
      <c:valAx>
        <c:axId val="9197196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973888"/>
        <c:crosses val="autoZero"/>
        <c:crossBetween val="midCat"/>
      </c:valAx>
      <c:valAx>
        <c:axId val="91973888"/>
        <c:scaling>
          <c:orientation val="minMax"/>
        </c:scaling>
        <c:axPos val="l"/>
        <c:numFmt formatCode="General" sourceLinked="1"/>
        <c:tickLblPos val="nextTo"/>
        <c:crossAx val="91971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08847961958219E-2"/>
          <c:y val="3.5218143330814813E-2"/>
          <c:w val="0.69868161244519211"/>
          <c:h val="0.88531586604806833"/>
        </c:manualLayout>
      </c:layout>
      <c:scatterChart>
        <c:scatterStyle val="smoothMarker"/>
        <c:ser>
          <c:idx val="0"/>
          <c:order val="0"/>
          <c:tx>
            <c:strRef>
              <c:f>AA_R_phophi_A!$A$3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AA_R_phophi_A!$B$3:$U$3</c:f>
              <c:numCache>
                <c:formatCode>General</c:formatCode>
                <c:ptCount val="20"/>
                <c:pt idx="0">
                  <c:v>0.3718645164406027</c:v>
                </c:pt>
                <c:pt idx="1">
                  <c:v>0.33453415369638706</c:v>
                </c:pt>
                <c:pt idx="2">
                  <c:v>0.28868989185405658</c:v>
                </c:pt>
                <c:pt idx="3">
                  <c:v>0.26944123172575007</c:v>
                </c:pt>
                <c:pt idx="4">
                  <c:v>0.2550871011014918</c:v>
                </c:pt>
                <c:pt idx="5">
                  <c:v>0.23371859381994969</c:v>
                </c:pt>
                <c:pt idx="6">
                  <c:v>0.22850406991937591</c:v>
                </c:pt>
                <c:pt idx="7">
                  <c:v>0.20943541691114445</c:v>
                </c:pt>
                <c:pt idx="8">
                  <c:v>0.20165277611224366</c:v>
                </c:pt>
                <c:pt idx="9">
                  <c:v>0.20354039249864453</c:v>
                </c:pt>
                <c:pt idx="10">
                  <c:v>0.20596464036643883</c:v>
                </c:pt>
                <c:pt idx="11">
                  <c:v>0.19780873410271782</c:v>
                </c:pt>
                <c:pt idx="12">
                  <c:v>0.18938350544465674</c:v>
                </c:pt>
                <c:pt idx="13">
                  <c:v>0.17311869946806421</c:v>
                </c:pt>
                <c:pt idx="14">
                  <c:v>0.17441546556851981</c:v>
                </c:pt>
                <c:pt idx="15">
                  <c:v>0.1589414322781246</c:v>
                </c:pt>
                <c:pt idx="16">
                  <c:v>0.1577381322908756</c:v>
                </c:pt>
                <c:pt idx="17">
                  <c:v>0.14738828085854969</c:v>
                </c:pt>
                <c:pt idx="18">
                  <c:v>0.148461905641532</c:v>
                </c:pt>
                <c:pt idx="19">
                  <c:v>0.14055941177091205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AA_R_phophi_A!$A$4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AA_R_phophi_A!$B$4:$U$4</c:f>
              <c:numCache>
                <c:formatCode>General</c:formatCode>
                <c:ptCount val="20"/>
                <c:pt idx="0">
                  <c:v>0.37284929310998938</c:v>
                </c:pt>
                <c:pt idx="1">
                  <c:v>0.33427149610567924</c:v>
                </c:pt>
                <c:pt idx="2">
                  <c:v>0.29566929148003329</c:v>
                </c:pt>
                <c:pt idx="3">
                  <c:v>0.28490162883809922</c:v>
                </c:pt>
                <c:pt idx="4">
                  <c:v>0.29399844144503384</c:v>
                </c:pt>
                <c:pt idx="5">
                  <c:v>0.28444178566088574</c:v>
                </c:pt>
                <c:pt idx="6">
                  <c:v>0.29012451265127426</c:v>
                </c:pt>
                <c:pt idx="7">
                  <c:v>0.30554154459139254</c:v>
                </c:pt>
                <c:pt idx="8">
                  <c:v>0.31251929205668355</c:v>
                </c:pt>
                <c:pt idx="9">
                  <c:v>0.31885615608788881</c:v>
                </c:pt>
                <c:pt idx="10">
                  <c:v>0.33189732669493838</c:v>
                </c:pt>
                <c:pt idx="11">
                  <c:v>0.3357580395009539</c:v>
                </c:pt>
                <c:pt idx="12">
                  <c:v>0.33156455709034854</c:v>
                </c:pt>
                <c:pt idx="13">
                  <c:v>0.332930162858046</c:v>
                </c:pt>
                <c:pt idx="14">
                  <c:v>0.33347129974178685</c:v>
                </c:pt>
                <c:pt idx="15">
                  <c:v>0.3284715917488335</c:v>
                </c:pt>
                <c:pt idx="16">
                  <c:v>0.32994931084700413</c:v>
                </c:pt>
                <c:pt idx="17">
                  <c:v>0.33004048182167045</c:v>
                </c:pt>
                <c:pt idx="18">
                  <c:v>0.31606237419833233</c:v>
                </c:pt>
                <c:pt idx="19">
                  <c:v>0.3157742449799138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AA_R_phophi_A!$A$5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AA_R_phophi_A!$B$5:$U$5</c:f>
              <c:numCache>
                <c:formatCode>General</c:formatCode>
                <c:ptCount val="20"/>
                <c:pt idx="0">
                  <c:v>0.20682544989275065</c:v>
                </c:pt>
                <c:pt idx="1">
                  <c:v>0.14901300251377961</c:v>
                </c:pt>
                <c:pt idx="2">
                  <c:v>0.11260042921198085</c:v>
                </c:pt>
                <c:pt idx="3">
                  <c:v>9.599543924351564E-2</c:v>
                </c:pt>
                <c:pt idx="4">
                  <c:v>8.7358243846056435E-2</c:v>
                </c:pt>
                <c:pt idx="5">
                  <c:v>8.3111889900442659E-2</c:v>
                </c:pt>
                <c:pt idx="6">
                  <c:v>7.7843038225946001E-2</c:v>
                </c:pt>
                <c:pt idx="7">
                  <c:v>7.02677711911638E-2</c:v>
                </c:pt>
                <c:pt idx="8">
                  <c:v>6.6358100580162574E-2</c:v>
                </c:pt>
                <c:pt idx="9">
                  <c:v>6.7051053967765506E-2</c:v>
                </c:pt>
                <c:pt idx="10">
                  <c:v>6.7856974770985443E-2</c:v>
                </c:pt>
                <c:pt idx="11">
                  <c:v>6.567609160935807E-2</c:v>
                </c:pt>
                <c:pt idx="12">
                  <c:v>6.5452471271829862E-2</c:v>
                </c:pt>
                <c:pt idx="13">
                  <c:v>6.335928342417059E-2</c:v>
                </c:pt>
                <c:pt idx="14">
                  <c:v>6.3669610786847339E-2</c:v>
                </c:pt>
                <c:pt idx="15">
                  <c:v>5.8227223717119719E-2</c:v>
                </c:pt>
                <c:pt idx="16">
                  <c:v>5.886734898925397E-2</c:v>
                </c:pt>
                <c:pt idx="17">
                  <c:v>5.817140048850776E-2</c:v>
                </c:pt>
                <c:pt idx="18">
                  <c:v>5.8025427214978019E-2</c:v>
                </c:pt>
                <c:pt idx="19">
                  <c:v>5.7946202534679053E-2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AA_R_phophi_A!$A$6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AA_R_phophi_A!$B$6:$U$6</c:f>
              <c:numCache>
                <c:formatCode>General</c:formatCode>
                <c:ptCount val="20"/>
                <c:pt idx="0">
                  <c:v>0.30800692298102655</c:v>
                </c:pt>
                <c:pt idx="1">
                  <c:v>0.18869085599593988</c:v>
                </c:pt>
                <c:pt idx="2">
                  <c:v>0.16461309712843347</c:v>
                </c:pt>
                <c:pt idx="3">
                  <c:v>0.14112995206912057</c:v>
                </c:pt>
                <c:pt idx="4">
                  <c:v>0.12535347591864182</c:v>
                </c:pt>
                <c:pt idx="5">
                  <c:v>0.1073345477545857</c:v>
                </c:pt>
                <c:pt idx="6">
                  <c:v>9.5959093072730983E-2</c:v>
                </c:pt>
                <c:pt idx="7">
                  <c:v>9.0694456102290599E-2</c:v>
                </c:pt>
                <c:pt idx="8">
                  <c:v>8.5557943532084638E-2</c:v>
                </c:pt>
                <c:pt idx="9">
                  <c:v>8.2386596855180308E-2</c:v>
                </c:pt>
                <c:pt idx="10">
                  <c:v>7.7178383635525927E-2</c:v>
                </c:pt>
                <c:pt idx="11">
                  <c:v>6.8311761677369326E-2</c:v>
                </c:pt>
                <c:pt idx="12">
                  <c:v>7.0315329387669365E-2</c:v>
                </c:pt>
                <c:pt idx="13">
                  <c:v>6.3861887713973178E-2</c:v>
                </c:pt>
                <c:pt idx="14">
                  <c:v>5.7981926051908626E-2</c:v>
                </c:pt>
                <c:pt idx="15">
                  <c:v>5.9124959563578001E-2</c:v>
                </c:pt>
                <c:pt idx="16">
                  <c:v>5.7872944546178758E-2</c:v>
                </c:pt>
                <c:pt idx="17">
                  <c:v>5.7228600456450986E-2</c:v>
                </c:pt>
                <c:pt idx="18">
                  <c:v>5.2465451283530411E-2</c:v>
                </c:pt>
                <c:pt idx="19">
                  <c:v>5.0255193956636482E-2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AA_R_phophi_A!$A$7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AA_R_phophi_A!$B$7:$U$7</c:f>
              <c:numCache>
                <c:formatCode>General</c:formatCode>
                <c:ptCount val="20"/>
                <c:pt idx="0">
                  <c:v>0.27653806559545896</c:v>
                </c:pt>
                <c:pt idx="1">
                  <c:v>0.17667906628372704</c:v>
                </c:pt>
                <c:pt idx="2">
                  <c:v>0.14283074479147798</c:v>
                </c:pt>
                <c:pt idx="3">
                  <c:v>0.11763119340204534</c:v>
                </c:pt>
                <c:pt idx="4">
                  <c:v>9.1579714063199855E-2</c:v>
                </c:pt>
                <c:pt idx="5">
                  <c:v>8.1726285410117769E-2</c:v>
                </c:pt>
                <c:pt idx="6">
                  <c:v>7.2825399895068393E-2</c:v>
                </c:pt>
                <c:pt idx="7">
                  <c:v>6.6165792927223882E-2</c:v>
                </c:pt>
                <c:pt idx="8">
                  <c:v>6.4804348827998973E-2</c:v>
                </c:pt>
                <c:pt idx="9">
                  <c:v>5.8337491690632327E-2</c:v>
                </c:pt>
                <c:pt idx="10">
                  <c:v>5.3374967514313386E-2</c:v>
                </c:pt>
                <c:pt idx="11">
                  <c:v>4.6235287291019125E-2</c:v>
                </c:pt>
                <c:pt idx="12">
                  <c:v>4.2863872856455557E-2</c:v>
                </c:pt>
                <c:pt idx="13">
                  <c:v>4.3633494637771365E-2</c:v>
                </c:pt>
                <c:pt idx="14">
                  <c:v>4.7492358424305853E-2</c:v>
                </c:pt>
                <c:pt idx="15">
                  <c:v>4.6712686971914691E-2</c:v>
                </c:pt>
                <c:pt idx="16">
                  <c:v>4.5699997898850667E-2</c:v>
                </c:pt>
                <c:pt idx="17">
                  <c:v>4.5040416313988384E-2</c:v>
                </c:pt>
                <c:pt idx="18">
                  <c:v>4.6803037005222092E-2</c:v>
                </c:pt>
                <c:pt idx="19">
                  <c:v>4.8217650727013131E-2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AA_R_phophi_A!$A$8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AA_R_phophi_A!$B$8:$U$8</c:f>
              <c:numCache>
                <c:formatCode>General</c:formatCode>
                <c:ptCount val="20"/>
                <c:pt idx="0">
                  <c:v>0.27064195574936667</c:v>
                </c:pt>
                <c:pt idx="1">
                  <c:v>0.17110806692138666</c:v>
                </c:pt>
                <c:pt idx="2">
                  <c:v>0.13030723122856594</c:v>
                </c:pt>
                <c:pt idx="3">
                  <c:v>0.10028557325779143</c:v>
                </c:pt>
                <c:pt idx="4">
                  <c:v>8.6712899739666116E-2</c:v>
                </c:pt>
                <c:pt idx="5">
                  <c:v>7.3686359227454881E-2</c:v>
                </c:pt>
                <c:pt idx="6">
                  <c:v>6.7211048429246523E-2</c:v>
                </c:pt>
                <c:pt idx="7">
                  <c:v>6.1113590814606301E-2</c:v>
                </c:pt>
                <c:pt idx="8">
                  <c:v>5.5518433712734586E-2</c:v>
                </c:pt>
                <c:pt idx="9">
                  <c:v>5.3590586849357337E-2</c:v>
                </c:pt>
                <c:pt idx="10">
                  <c:v>4.3106615159143553E-2</c:v>
                </c:pt>
                <c:pt idx="11">
                  <c:v>4.3586179813787297E-2</c:v>
                </c:pt>
                <c:pt idx="12">
                  <c:v>4.460097957533992E-2</c:v>
                </c:pt>
                <c:pt idx="13">
                  <c:v>4.2633593215052758E-2</c:v>
                </c:pt>
                <c:pt idx="14">
                  <c:v>4.2904832931461148E-2</c:v>
                </c:pt>
                <c:pt idx="15">
                  <c:v>3.2258459565315173E-2</c:v>
                </c:pt>
                <c:pt idx="16">
                  <c:v>3.3897272221756716E-2</c:v>
                </c:pt>
                <c:pt idx="17">
                  <c:v>3.6266311797693296E-2</c:v>
                </c:pt>
                <c:pt idx="18">
                  <c:v>3.8196755658928785E-2</c:v>
                </c:pt>
                <c:pt idx="19">
                  <c:v>3.9878986471927169E-2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AA_R_phophi_A!$A$9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AA_R_phophi_A!$B$9:$U$9</c:f>
              <c:numCache>
                <c:formatCode>General</c:formatCode>
                <c:ptCount val="20"/>
                <c:pt idx="0">
                  <c:v>0.27194964449338604</c:v>
                </c:pt>
                <c:pt idx="1">
                  <c:v>0.17093515761123232</c:v>
                </c:pt>
                <c:pt idx="2">
                  <c:v>0.13007041624496099</c:v>
                </c:pt>
                <c:pt idx="3">
                  <c:v>0.10474521838982283</c:v>
                </c:pt>
                <c:pt idx="4">
                  <c:v>9.3023255813953501E-2</c:v>
                </c:pt>
                <c:pt idx="5">
                  <c:v>8.1677793580976779E-2</c:v>
                </c:pt>
                <c:pt idx="6">
                  <c:v>6.9797199894964801E-2</c:v>
                </c:pt>
                <c:pt idx="7">
                  <c:v>6.5187593964638843E-2</c:v>
                </c:pt>
                <c:pt idx="8">
                  <c:v>6.4654222023928856E-2</c:v>
                </c:pt>
                <c:pt idx="9">
                  <c:v>6.273577082347688E-2</c:v>
                </c:pt>
                <c:pt idx="10">
                  <c:v>5.7684594133667028E-2</c:v>
                </c:pt>
                <c:pt idx="11">
                  <c:v>5.5722274739005033E-2</c:v>
                </c:pt>
                <c:pt idx="12">
                  <c:v>5.7274269170420375E-2</c:v>
                </c:pt>
                <c:pt idx="13">
                  <c:v>6.1119893156716606E-2</c:v>
                </c:pt>
                <c:pt idx="14">
                  <c:v>5.8566810651121466E-2</c:v>
                </c:pt>
                <c:pt idx="15">
                  <c:v>5.5910132741978702E-2</c:v>
                </c:pt>
                <c:pt idx="16">
                  <c:v>5.2719899145592823E-2</c:v>
                </c:pt>
                <c:pt idx="17">
                  <c:v>5.1954271928019831E-2</c:v>
                </c:pt>
                <c:pt idx="18">
                  <c:v>5.1152151812944767E-2</c:v>
                </c:pt>
                <c:pt idx="19">
                  <c:v>5.3048047253378888E-2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AA_R_phophi_A!$A$10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AA_R_phophi_A!$B$10:$U$10</c:f>
              <c:numCache>
                <c:formatCode>General</c:formatCode>
                <c:ptCount val="20"/>
                <c:pt idx="0">
                  <c:v>0.3205837656488601</c:v>
                </c:pt>
                <c:pt idx="1">
                  <c:v>0.20924032230393744</c:v>
                </c:pt>
                <c:pt idx="2">
                  <c:v>0.17363763905673552</c:v>
                </c:pt>
                <c:pt idx="3">
                  <c:v>0.1375344334198069</c:v>
                </c:pt>
                <c:pt idx="4">
                  <c:v>0.12058931375285904</c:v>
                </c:pt>
                <c:pt idx="5">
                  <c:v>0.10614481353715025</c:v>
                </c:pt>
                <c:pt idx="6">
                  <c:v>0.10017961536539761</c:v>
                </c:pt>
                <c:pt idx="7">
                  <c:v>9.2419812221748776E-2</c:v>
                </c:pt>
                <c:pt idx="8">
                  <c:v>8.5971158241788692E-2</c:v>
                </c:pt>
                <c:pt idx="9">
                  <c:v>8.2709137729030574E-2</c:v>
                </c:pt>
                <c:pt idx="10">
                  <c:v>8.1491822930118848E-2</c:v>
                </c:pt>
                <c:pt idx="11">
                  <c:v>7.8307497118892594E-2</c:v>
                </c:pt>
                <c:pt idx="12">
                  <c:v>7.5592493988532974E-2</c:v>
                </c:pt>
                <c:pt idx="13">
                  <c:v>7.4963028284297142E-2</c:v>
                </c:pt>
                <c:pt idx="14">
                  <c:v>7.1495065348658515E-2</c:v>
                </c:pt>
                <c:pt idx="15">
                  <c:v>6.6040478734381305E-2</c:v>
                </c:pt>
                <c:pt idx="16">
                  <c:v>6.3407431469285708E-2</c:v>
                </c:pt>
                <c:pt idx="17">
                  <c:v>5.3142288548218224E-2</c:v>
                </c:pt>
                <c:pt idx="18">
                  <c:v>5.6079508147794423E-2</c:v>
                </c:pt>
                <c:pt idx="19">
                  <c:v>4.9129675290043827E-2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AA_R_phophi_A!$A$11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AA_R_phophi_A!$B$11:$U$11</c:f>
              <c:numCache>
                <c:formatCode>General</c:formatCode>
                <c:ptCount val="20"/>
                <c:pt idx="0">
                  <c:v>0.32760514408456798</c:v>
                </c:pt>
                <c:pt idx="1">
                  <c:v>0.21291613797794551</c:v>
                </c:pt>
                <c:pt idx="2">
                  <c:v>0.17199424558780119</c:v>
                </c:pt>
                <c:pt idx="3">
                  <c:v>0.1437704620137196</c:v>
                </c:pt>
                <c:pt idx="4">
                  <c:v>0.12476936983667831</c:v>
                </c:pt>
                <c:pt idx="5">
                  <c:v>0.10793106761247408</c:v>
                </c:pt>
                <c:pt idx="6">
                  <c:v>9.6081331182020682E-2</c:v>
                </c:pt>
                <c:pt idx="7">
                  <c:v>8.110175006919601E-2</c:v>
                </c:pt>
                <c:pt idx="8">
                  <c:v>7.0829001208239914E-2</c:v>
                </c:pt>
                <c:pt idx="9">
                  <c:v>7.0326534008329569E-2</c:v>
                </c:pt>
                <c:pt idx="10">
                  <c:v>4.3227076506083914E-2</c:v>
                </c:pt>
                <c:pt idx="11">
                  <c:v>3.4923669099865488E-2</c:v>
                </c:pt>
                <c:pt idx="12">
                  <c:v>3.3585601481295316E-2</c:v>
                </c:pt>
                <c:pt idx="13">
                  <c:v>2.5803886023024664E-2</c:v>
                </c:pt>
                <c:pt idx="14">
                  <c:v>2.7354511877735008E-2</c:v>
                </c:pt>
                <c:pt idx="15">
                  <c:v>2.655324346592338E-2</c:v>
                </c:pt>
                <c:pt idx="16">
                  <c:v>2.4737768905725734E-2</c:v>
                </c:pt>
                <c:pt idx="17">
                  <c:v>2.2717969391698855E-2</c:v>
                </c:pt>
                <c:pt idx="18">
                  <c:v>2.0417233565458534E-2</c:v>
                </c:pt>
                <c:pt idx="19">
                  <c:v>2.1067600261305462E-2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AA_R_phophi_A!$A$12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AA_R_phophi_A!$B$12:$U$12</c:f>
              <c:numCache>
                <c:formatCode>General</c:formatCode>
                <c:ptCount val="20"/>
                <c:pt idx="0">
                  <c:v>0.20197061958023246</c:v>
                </c:pt>
                <c:pt idx="1">
                  <c:v>0.14816294427826313</c:v>
                </c:pt>
                <c:pt idx="2">
                  <c:v>0.11795073060780986</c:v>
                </c:pt>
                <c:pt idx="3">
                  <c:v>0.10343094331206826</c:v>
                </c:pt>
                <c:pt idx="4">
                  <c:v>0.10216194984149404</c:v>
                </c:pt>
                <c:pt idx="5">
                  <c:v>9.3620473889154732E-2</c:v>
                </c:pt>
                <c:pt idx="6">
                  <c:v>8.8079053609422336E-2</c:v>
                </c:pt>
                <c:pt idx="7">
                  <c:v>9.0944055497446108E-2</c:v>
                </c:pt>
                <c:pt idx="8">
                  <c:v>9.5485015886681332E-2</c:v>
                </c:pt>
                <c:pt idx="9">
                  <c:v>9.516953138745364E-2</c:v>
                </c:pt>
                <c:pt idx="10">
                  <c:v>9.1840717989456713E-2</c:v>
                </c:pt>
                <c:pt idx="11">
                  <c:v>8.1748077143476996E-2</c:v>
                </c:pt>
                <c:pt idx="12">
                  <c:v>8.4175551252449507E-2</c:v>
                </c:pt>
                <c:pt idx="13">
                  <c:v>8.5656703928007866E-2</c:v>
                </c:pt>
                <c:pt idx="14">
                  <c:v>8.4272392571116753E-2</c:v>
                </c:pt>
                <c:pt idx="15">
                  <c:v>8.3104959732586969E-2</c:v>
                </c:pt>
                <c:pt idx="16">
                  <c:v>8.7078097788094444E-2</c:v>
                </c:pt>
                <c:pt idx="17">
                  <c:v>7.9901507372989705E-2</c:v>
                </c:pt>
                <c:pt idx="18">
                  <c:v>8.0907550047661106E-2</c:v>
                </c:pt>
                <c:pt idx="19">
                  <c:v>7.2625828405680118E-2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AA_R_phophi_A!$A$13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AA_R_phophi_A!$B$13:$U$13</c:f>
              <c:numCache>
                <c:formatCode>General</c:formatCode>
                <c:ptCount val="20"/>
                <c:pt idx="0">
                  <c:v>0.21267429381644348</c:v>
                </c:pt>
                <c:pt idx="1">
                  <c:v>0.13859829216549899</c:v>
                </c:pt>
                <c:pt idx="2">
                  <c:v>0.12262908742907697</c:v>
                </c:pt>
                <c:pt idx="3">
                  <c:v>0.10256835909614415</c:v>
                </c:pt>
                <c:pt idx="4">
                  <c:v>9.5282334065696778E-2</c:v>
                </c:pt>
                <c:pt idx="5">
                  <c:v>9.700473568238055E-2</c:v>
                </c:pt>
                <c:pt idx="6">
                  <c:v>8.9640550679716616E-2</c:v>
                </c:pt>
                <c:pt idx="7">
                  <c:v>8.8055847730731357E-2</c:v>
                </c:pt>
                <c:pt idx="8">
                  <c:v>8.6562312751172585E-2</c:v>
                </c:pt>
                <c:pt idx="9">
                  <c:v>8.7222121045999856E-2</c:v>
                </c:pt>
                <c:pt idx="10">
                  <c:v>8.8679017050989919E-2</c:v>
                </c:pt>
                <c:pt idx="11">
                  <c:v>9.1970531316556345E-2</c:v>
                </c:pt>
                <c:pt idx="12">
                  <c:v>9.0089276633742915E-2</c:v>
                </c:pt>
                <c:pt idx="13">
                  <c:v>8.1624110836261102E-2</c:v>
                </c:pt>
                <c:pt idx="14">
                  <c:v>8.9267968730342331E-2</c:v>
                </c:pt>
                <c:pt idx="15">
                  <c:v>9.0410918518053066E-2</c:v>
                </c:pt>
                <c:pt idx="16">
                  <c:v>9.3246924943760842E-2</c:v>
                </c:pt>
                <c:pt idx="17">
                  <c:v>9.032478959507205E-2</c:v>
                </c:pt>
                <c:pt idx="18">
                  <c:v>8.7939788973315586E-2</c:v>
                </c:pt>
                <c:pt idx="19">
                  <c:v>9.1690167324685087E-2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AA_R_phophi_A!$A$14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AA_R_phophi_A!$B$14:$U$14</c:f>
              <c:numCache>
                <c:formatCode>General</c:formatCode>
                <c:ptCount val="20"/>
                <c:pt idx="0">
                  <c:v>0.18661785874875891</c:v>
                </c:pt>
                <c:pt idx="1">
                  <c:v>0.12412844421536716</c:v>
                </c:pt>
                <c:pt idx="2">
                  <c:v>9.7085094536414743E-2</c:v>
                </c:pt>
                <c:pt idx="3">
                  <c:v>8.1944589739658055E-2</c:v>
                </c:pt>
                <c:pt idx="4">
                  <c:v>7.0530796165613072E-2</c:v>
                </c:pt>
                <c:pt idx="5">
                  <c:v>7.023933402705515E-2</c:v>
                </c:pt>
                <c:pt idx="6">
                  <c:v>6.9002518150587139E-2</c:v>
                </c:pt>
                <c:pt idx="7">
                  <c:v>6.8767962563342069E-2</c:v>
                </c:pt>
                <c:pt idx="8">
                  <c:v>6.8913078214572737E-2</c:v>
                </c:pt>
                <c:pt idx="9">
                  <c:v>6.7127602952118851E-2</c:v>
                </c:pt>
                <c:pt idx="10">
                  <c:v>6.1501124713498112E-2</c:v>
                </c:pt>
                <c:pt idx="11">
                  <c:v>4.8650385250255529E-2</c:v>
                </c:pt>
                <c:pt idx="12">
                  <c:v>4.9565568013174077E-2</c:v>
                </c:pt>
                <c:pt idx="13">
                  <c:v>5.0719999439397687E-2</c:v>
                </c:pt>
                <c:pt idx="14">
                  <c:v>4.884356904177118E-2</c:v>
                </c:pt>
                <c:pt idx="15">
                  <c:v>4.8482508622323756E-2</c:v>
                </c:pt>
                <c:pt idx="16">
                  <c:v>4.8524899919264869E-2</c:v>
                </c:pt>
                <c:pt idx="17">
                  <c:v>5.2384776531232087E-2</c:v>
                </c:pt>
                <c:pt idx="18">
                  <c:v>5.5296487912840302E-2</c:v>
                </c:pt>
                <c:pt idx="19">
                  <c:v>5.2795367931675094E-2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AA_R_phophi_A!$A$15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AA_R_phophi_A!$B$15:$U$15</c:f>
              <c:numCache>
                <c:formatCode>General</c:formatCode>
                <c:ptCount val="20"/>
                <c:pt idx="0">
                  <c:v>0.15265168662553555</c:v>
                </c:pt>
                <c:pt idx="1">
                  <c:v>0.13159127053157221</c:v>
                </c:pt>
                <c:pt idx="2">
                  <c:v>0.10996084542413016</c:v>
                </c:pt>
                <c:pt idx="3">
                  <c:v>0.1041534376262772</c:v>
                </c:pt>
                <c:pt idx="4">
                  <c:v>0.10056597905089397</c:v>
                </c:pt>
                <c:pt idx="5">
                  <c:v>0.10141480881475677</c:v>
                </c:pt>
                <c:pt idx="6">
                  <c:v>0.10020693477489957</c:v>
                </c:pt>
                <c:pt idx="7">
                  <c:v>9.9910088637092734E-2</c:v>
                </c:pt>
                <c:pt idx="8">
                  <c:v>9.5697801551406683E-2</c:v>
                </c:pt>
                <c:pt idx="9">
                  <c:v>0.10130876570925423</c:v>
                </c:pt>
                <c:pt idx="10">
                  <c:v>9.6644398254541658E-2</c:v>
                </c:pt>
                <c:pt idx="11">
                  <c:v>9.5935967639180886E-2</c:v>
                </c:pt>
                <c:pt idx="12">
                  <c:v>9.2635846734812136E-2</c:v>
                </c:pt>
                <c:pt idx="13">
                  <c:v>9.2216665201268172E-2</c:v>
                </c:pt>
                <c:pt idx="14">
                  <c:v>8.7549127340045343E-2</c:v>
                </c:pt>
                <c:pt idx="15">
                  <c:v>8.4153660098291672E-2</c:v>
                </c:pt>
                <c:pt idx="16">
                  <c:v>8.6180291775324089E-2</c:v>
                </c:pt>
                <c:pt idx="17">
                  <c:v>8.6445964591795085E-2</c:v>
                </c:pt>
                <c:pt idx="18">
                  <c:v>8.8749869121004021E-2</c:v>
                </c:pt>
                <c:pt idx="19">
                  <c:v>9.1256365603662057E-2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AA_R_phophi_A!$A$16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AA_R_phophi_A!$B$16:$U$16</c:f>
              <c:numCache>
                <c:formatCode>General</c:formatCode>
                <c:ptCount val="20"/>
                <c:pt idx="0">
                  <c:v>0.36444462448869508</c:v>
                </c:pt>
                <c:pt idx="1">
                  <c:v>0.22187562394496577</c:v>
                </c:pt>
                <c:pt idx="2">
                  <c:v>0.14264295599304874</c:v>
                </c:pt>
                <c:pt idx="3">
                  <c:v>0.11525165199524472</c:v>
                </c:pt>
                <c:pt idx="4">
                  <c:v>0.10117593939019627</c:v>
                </c:pt>
                <c:pt idx="5">
                  <c:v>8.9954707263080733E-2</c:v>
                </c:pt>
                <c:pt idx="6">
                  <c:v>8.1375791893255597E-2</c:v>
                </c:pt>
                <c:pt idx="7">
                  <c:v>7.8186200110351961E-2</c:v>
                </c:pt>
                <c:pt idx="8">
                  <c:v>7.7605704307939338E-2</c:v>
                </c:pt>
                <c:pt idx="9">
                  <c:v>7.3854462801334397E-2</c:v>
                </c:pt>
                <c:pt idx="10">
                  <c:v>7.0375323990759589E-2</c:v>
                </c:pt>
                <c:pt idx="11">
                  <c:v>6.2741949476868078E-2</c:v>
                </c:pt>
                <c:pt idx="12">
                  <c:v>6.1110991057482238E-2</c:v>
                </c:pt>
                <c:pt idx="13">
                  <c:v>5.9170358802912361E-2</c:v>
                </c:pt>
                <c:pt idx="14">
                  <c:v>5.8323222274219259E-2</c:v>
                </c:pt>
                <c:pt idx="15">
                  <c:v>5.3924086228286976E-2</c:v>
                </c:pt>
                <c:pt idx="16">
                  <c:v>5.3976090455520487E-2</c:v>
                </c:pt>
                <c:pt idx="17">
                  <c:v>5.5410976652177965E-2</c:v>
                </c:pt>
                <c:pt idx="18">
                  <c:v>5.3968576241446443E-2</c:v>
                </c:pt>
                <c:pt idx="19">
                  <c:v>5.2132620026963665E-2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AA_R_phophi_A!$A$17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AA_R_phophi_A!$B$17:$U$17</c:f>
              <c:numCache>
                <c:formatCode>General</c:formatCode>
                <c:ptCount val="20"/>
                <c:pt idx="0">
                  <c:v>0.37538102013520902</c:v>
                </c:pt>
                <c:pt idx="1">
                  <c:v>0.22401056324453525</c:v>
                </c:pt>
                <c:pt idx="2">
                  <c:v>0.14393316797732261</c:v>
                </c:pt>
                <c:pt idx="3">
                  <c:v>0.11507630777285628</c:v>
                </c:pt>
                <c:pt idx="4">
                  <c:v>9.8325860969183485E-2</c:v>
                </c:pt>
                <c:pt idx="5">
                  <c:v>9.0846712714826847E-2</c:v>
                </c:pt>
                <c:pt idx="6">
                  <c:v>8.8343206632355342E-2</c:v>
                </c:pt>
                <c:pt idx="7">
                  <c:v>8.6310353724229058E-2</c:v>
                </c:pt>
                <c:pt idx="8">
                  <c:v>7.9100441167583246E-2</c:v>
                </c:pt>
                <c:pt idx="9">
                  <c:v>8.0576660397403632E-2</c:v>
                </c:pt>
                <c:pt idx="10">
                  <c:v>7.9492872840731379E-2</c:v>
                </c:pt>
                <c:pt idx="11">
                  <c:v>6.7514341536415029E-2</c:v>
                </c:pt>
                <c:pt idx="12">
                  <c:v>6.5587156982557487E-2</c:v>
                </c:pt>
                <c:pt idx="13">
                  <c:v>6.7769951405360324E-2</c:v>
                </c:pt>
                <c:pt idx="14">
                  <c:v>6.1834330678376258E-2</c:v>
                </c:pt>
                <c:pt idx="15">
                  <c:v>6.4650403359563291E-2</c:v>
                </c:pt>
                <c:pt idx="16">
                  <c:v>6.7015172914969542E-2</c:v>
                </c:pt>
                <c:pt idx="17">
                  <c:v>6.3597985379201777E-2</c:v>
                </c:pt>
                <c:pt idx="18">
                  <c:v>6.4921677582015863E-2</c:v>
                </c:pt>
                <c:pt idx="19">
                  <c:v>6.62714836718509E-2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AA_R_phophi_A!$A$18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AA_R_phophi_A!$B$18:$U$18</c:f>
              <c:numCache>
                <c:formatCode>General</c:formatCode>
                <c:ptCount val="20"/>
                <c:pt idx="0">
                  <c:v>0.39032947271994073</c:v>
                </c:pt>
                <c:pt idx="1">
                  <c:v>0.24836710592406724</c:v>
                </c:pt>
                <c:pt idx="2">
                  <c:v>0.16344965589716157</c:v>
                </c:pt>
                <c:pt idx="3">
                  <c:v>0.13145710737334995</c:v>
                </c:pt>
                <c:pt idx="4">
                  <c:v>0.12177807704598972</c:v>
                </c:pt>
                <c:pt idx="5">
                  <c:v>0.11297997016508668</c:v>
                </c:pt>
                <c:pt idx="6">
                  <c:v>0.1053432146270718</c:v>
                </c:pt>
                <c:pt idx="7">
                  <c:v>9.7000978619821154E-2</c:v>
                </c:pt>
                <c:pt idx="8">
                  <c:v>0.10354095546983111</c:v>
                </c:pt>
                <c:pt idx="9">
                  <c:v>0.10503828480041072</c:v>
                </c:pt>
                <c:pt idx="10">
                  <c:v>0.10080115233850512</c:v>
                </c:pt>
                <c:pt idx="11">
                  <c:v>9.6621565534987949E-2</c:v>
                </c:pt>
                <c:pt idx="12">
                  <c:v>9.3545390443999246E-2</c:v>
                </c:pt>
                <c:pt idx="13">
                  <c:v>8.8252382488127556E-2</c:v>
                </c:pt>
                <c:pt idx="14">
                  <c:v>8.7503145081093178E-2</c:v>
                </c:pt>
                <c:pt idx="15">
                  <c:v>7.898485498529241E-2</c:v>
                </c:pt>
                <c:pt idx="16">
                  <c:v>8.2326280034961188E-2</c:v>
                </c:pt>
                <c:pt idx="17">
                  <c:v>8.1678309703728844E-2</c:v>
                </c:pt>
                <c:pt idx="18">
                  <c:v>8.3209231982840526E-2</c:v>
                </c:pt>
                <c:pt idx="19">
                  <c:v>8.1331749975450132E-2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AA_R_phophi_A!$A$19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AA_R_phophi_A!$B$19:$U$19</c:f>
              <c:numCache>
                <c:formatCode>General</c:formatCode>
                <c:ptCount val="20"/>
                <c:pt idx="0">
                  <c:v>0.244392599760902</c:v>
                </c:pt>
                <c:pt idx="1">
                  <c:v>0.17651670640789593</c:v>
                </c:pt>
                <c:pt idx="2">
                  <c:v>0.1164994116057497</c:v>
                </c:pt>
                <c:pt idx="3">
                  <c:v>9.4823285640427676E-2</c:v>
                </c:pt>
                <c:pt idx="4">
                  <c:v>8.1772733816207352E-2</c:v>
                </c:pt>
                <c:pt idx="5">
                  <c:v>7.2454172494568897E-2</c:v>
                </c:pt>
                <c:pt idx="6">
                  <c:v>6.7008239868757105E-2</c:v>
                </c:pt>
                <c:pt idx="7">
                  <c:v>6.4947547800610766E-2</c:v>
                </c:pt>
                <c:pt idx="8">
                  <c:v>6.0159633168868215E-2</c:v>
                </c:pt>
                <c:pt idx="9">
                  <c:v>5.9397024403124117E-2</c:v>
                </c:pt>
                <c:pt idx="10">
                  <c:v>5.6344682517278748E-2</c:v>
                </c:pt>
                <c:pt idx="11">
                  <c:v>5.4686840907941965E-2</c:v>
                </c:pt>
                <c:pt idx="12">
                  <c:v>5.283834358124509E-2</c:v>
                </c:pt>
                <c:pt idx="13">
                  <c:v>4.869896339143602E-2</c:v>
                </c:pt>
                <c:pt idx="14">
                  <c:v>4.7171569446439104E-2</c:v>
                </c:pt>
                <c:pt idx="15">
                  <c:v>4.2977465944325791E-2</c:v>
                </c:pt>
                <c:pt idx="16">
                  <c:v>4.4020297983555584E-2</c:v>
                </c:pt>
                <c:pt idx="17">
                  <c:v>4.3318104852880096E-2</c:v>
                </c:pt>
                <c:pt idx="18">
                  <c:v>4.1395373168672721E-2</c:v>
                </c:pt>
                <c:pt idx="19">
                  <c:v>4.1916417328232078E-2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AA_R_phophi_A!$A$20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AA_R_phophi_A!$B$20:$U$20</c:f>
              <c:numCache>
                <c:formatCode>General</c:formatCode>
                <c:ptCount val="20"/>
                <c:pt idx="0">
                  <c:v>0.23752199249678357</c:v>
                </c:pt>
                <c:pt idx="1">
                  <c:v>0.17185432004600826</c:v>
                </c:pt>
                <c:pt idx="2">
                  <c:v>0.10269541760612391</c:v>
                </c:pt>
                <c:pt idx="3">
                  <c:v>7.8012726328918203E-2</c:v>
                </c:pt>
                <c:pt idx="4">
                  <c:v>6.5448401973834586E-2</c:v>
                </c:pt>
                <c:pt idx="5">
                  <c:v>5.2510699304502716E-2</c:v>
                </c:pt>
                <c:pt idx="6">
                  <c:v>5.2477674309470881E-2</c:v>
                </c:pt>
                <c:pt idx="7">
                  <c:v>5.1061145714038733E-2</c:v>
                </c:pt>
                <c:pt idx="8">
                  <c:v>4.7560231971559987E-2</c:v>
                </c:pt>
                <c:pt idx="9">
                  <c:v>4.6152758255846284E-2</c:v>
                </c:pt>
                <c:pt idx="10">
                  <c:v>4.6636073904519917E-2</c:v>
                </c:pt>
                <c:pt idx="11">
                  <c:v>4.46414407400028E-2</c:v>
                </c:pt>
                <c:pt idx="12">
                  <c:v>4.6414956927412529E-2</c:v>
                </c:pt>
                <c:pt idx="13">
                  <c:v>4.4568798837621701E-2</c:v>
                </c:pt>
                <c:pt idx="14">
                  <c:v>4.4887922178984276E-2</c:v>
                </c:pt>
                <c:pt idx="15">
                  <c:v>4.4583458532501147E-2</c:v>
                </c:pt>
                <c:pt idx="16">
                  <c:v>3.8680038894682973E-2</c:v>
                </c:pt>
                <c:pt idx="17">
                  <c:v>3.8838409718663688E-2</c:v>
                </c:pt>
                <c:pt idx="18">
                  <c:v>3.9736810215449683E-2</c:v>
                </c:pt>
                <c:pt idx="19">
                  <c:v>3.8816668207697747E-2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AA_R_phophi_A!$A$21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AA_R_phophi_A!$B$21:$U$21</c:f>
              <c:numCache>
                <c:formatCode>General</c:formatCode>
                <c:ptCount val="20"/>
                <c:pt idx="0">
                  <c:v>0.2395062445591796</c:v>
                </c:pt>
                <c:pt idx="1">
                  <c:v>0.17405626106982308</c:v>
                </c:pt>
                <c:pt idx="2">
                  <c:v>0.10518558727746824</c:v>
                </c:pt>
                <c:pt idx="3">
                  <c:v>7.8830760820921303E-2</c:v>
                </c:pt>
                <c:pt idx="4">
                  <c:v>6.5465394951230493E-2</c:v>
                </c:pt>
                <c:pt idx="5">
                  <c:v>5.6129043481507691E-2</c:v>
                </c:pt>
                <c:pt idx="6">
                  <c:v>5.2101684769111589E-2</c:v>
                </c:pt>
                <c:pt idx="7">
                  <c:v>5.1623838177763552E-2</c:v>
                </c:pt>
                <c:pt idx="8">
                  <c:v>4.8906791143135411E-2</c:v>
                </c:pt>
                <c:pt idx="9">
                  <c:v>4.9564802628616567E-2</c:v>
                </c:pt>
                <c:pt idx="10">
                  <c:v>4.9046002313039114E-2</c:v>
                </c:pt>
                <c:pt idx="11">
                  <c:v>4.8422540578252356E-2</c:v>
                </c:pt>
                <c:pt idx="12">
                  <c:v>4.6265922156565296E-2</c:v>
                </c:pt>
                <c:pt idx="13">
                  <c:v>4.4771791035841821E-2</c:v>
                </c:pt>
                <c:pt idx="14">
                  <c:v>4.3695265260451609E-2</c:v>
                </c:pt>
                <c:pt idx="15">
                  <c:v>4.1492941197899008E-2</c:v>
                </c:pt>
                <c:pt idx="16">
                  <c:v>4.1370421969631047E-2</c:v>
                </c:pt>
                <c:pt idx="17">
                  <c:v>3.9258528527001131E-2</c:v>
                </c:pt>
                <c:pt idx="18">
                  <c:v>3.9123967056057668E-2</c:v>
                </c:pt>
                <c:pt idx="19">
                  <c:v>3.9598388375704639E-2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AA_R_phophi_A!$A$22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AA_R_phophi_A!$B$22:$U$22</c:f>
              <c:numCache>
                <c:formatCode>General</c:formatCode>
                <c:ptCount val="20"/>
                <c:pt idx="0">
                  <c:v>0.23205090577469334</c:v>
                </c:pt>
                <c:pt idx="1">
                  <c:v>0.16549900324970243</c:v>
                </c:pt>
                <c:pt idx="2">
                  <c:v>0.10180492892685994</c:v>
                </c:pt>
                <c:pt idx="3">
                  <c:v>7.9620691341221128E-2</c:v>
                </c:pt>
                <c:pt idx="4">
                  <c:v>6.6024347916944351E-2</c:v>
                </c:pt>
                <c:pt idx="5">
                  <c:v>5.7183510837439666E-2</c:v>
                </c:pt>
                <c:pt idx="6">
                  <c:v>5.1939279753786656E-2</c:v>
                </c:pt>
                <c:pt idx="7">
                  <c:v>4.8701410089911912E-2</c:v>
                </c:pt>
                <c:pt idx="8">
                  <c:v>4.4531444223804249E-2</c:v>
                </c:pt>
                <c:pt idx="9">
                  <c:v>4.5127535791584947E-2</c:v>
                </c:pt>
                <c:pt idx="10">
                  <c:v>4.61702010025219E-2</c:v>
                </c:pt>
                <c:pt idx="11">
                  <c:v>4.6699509853456292E-2</c:v>
                </c:pt>
                <c:pt idx="12">
                  <c:v>4.7417230765174637E-2</c:v>
                </c:pt>
                <c:pt idx="13">
                  <c:v>4.928220864765058E-2</c:v>
                </c:pt>
                <c:pt idx="14">
                  <c:v>4.6078581730319937E-2</c:v>
                </c:pt>
                <c:pt idx="15">
                  <c:v>4.3782235706724439E-2</c:v>
                </c:pt>
                <c:pt idx="16">
                  <c:v>4.4349447611005552E-2</c:v>
                </c:pt>
                <c:pt idx="17">
                  <c:v>4.2660398149194076E-2</c:v>
                </c:pt>
                <c:pt idx="18">
                  <c:v>4.273961843697463E-2</c:v>
                </c:pt>
                <c:pt idx="19">
                  <c:v>4.4201530648558772E-2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AA_R_phophi_A!$A$23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AA_R_phophi_A!$B$23:$U$23</c:f>
              <c:numCache>
                <c:formatCode>General</c:formatCode>
                <c:ptCount val="20"/>
                <c:pt idx="0">
                  <c:v>0.23456081154355904</c:v>
                </c:pt>
                <c:pt idx="1">
                  <c:v>0.17015020982147905</c:v>
                </c:pt>
                <c:pt idx="2">
                  <c:v>0.10205376892684193</c:v>
                </c:pt>
                <c:pt idx="3">
                  <c:v>7.6776145203111504E-2</c:v>
                </c:pt>
                <c:pt idx="4">
                  <c:v>6.2230774374749227E-2</c:v>
                </c:pt>
                <c:pt idx="5">
                  <c:v>5.3606431249602814E-2</c:v>
                </c:pt>
                <c:pt idx="6">
                  <c:v>5.2042637709657801E-2</c:v>
                </c:pt>
                <c:pt idx="7">
                  <c:v>4.8014694987610011E-2</c:v>
                </c:pt>
                <c:pt idx="8">
                  <c:v>4.6080914353354825E-2</c:v>
                </c:pt>
                <c:pt idx="9">
                  <c:v>4.4119254781447022E-2</c:v>
                </c:pt>
                <c:pt idx="10">
                  <c:v>4.6124494916073601E-2</c:v>
                </c:pt>
                <c:pt idx="11">
                  <c:v>4.5480487148378504E-2</c:v>
                </c:pt>
                <c:pt idx="12">
                  <c:v>4.4672139500502188E-2</c:v>
                </c:pt>
                <c:pt idx="13">
                  <c:v>4.6489602413015842E-2</c:v>
                </c:pt>
                <c:pt idx="14">
                  <c:v>4.690262880982158E-2</c:v>
                </c:pt>
                <c:pt idx="15">
                  <c:v>4.1600323431922839E-2</c:v>
                </c:pt>
                <c:pt idx="16">
                  <c:v>4.03622792585639E-2</c:v>
                </c:pt>
                <c:pt idx="17">
                  <c:v>4.0330667602597202E-2</c:v>
                </c:pt>
                <c:pt idx="18">
                  <c:v>3.9906704460433193E-2</c:v>
                </c:pt>
                <c:pt idx="19">
                  <c:v>3.823628806644578E-2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AA_R_phophi_A!$A$24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AA_R_phophi_A!$B$24:$U$24</c:f>
              <c:numCache>
                <c:formatCode>General</c:formatCode>
                <c:ptCount val="20"/>
                <c:pt idx="0">
                  <c:v>0.23945654008339398</c:v>
                </c:pt>
                <c:pt idx="1">
                  <c:v>0.17351565095833493</c:v>
                </c:pt>
                <c:pt idx="2">
                  <c:v>0.10779396785387498</c:v>
                </c:pt>
                <c:pt idx="3">
                  <c:v>8.7060784842222946E-2</c:v>
                </c:pt>
                <c:pt idx="4">
                  <c:v>7.2579917003815053E-2</c:v>
                </c:pt>
                <c:pt idx="5">
                  <c:v>6.4173484242772125E-2</c:v>
                </c:pt>
                <c:pt idx="6">
                  <c:v>5.8687656490365586E-2</c:v>
                </c:pt>
                <c:pt idx="7">
                  <c:v>5.6003377773115703E-2</c:v>
                </c:pt>
                <c:pt idx="8">
                  <c:v>5.2267483054775153E-2</c:v>
                </c:pt>
                <c:pt idx="9">
                  <c:v>5.1031622131949061E-2</c:v>
                </c:pt>
                <c:pt idx="10">
                  <c:v>4.9021920685723093E-2</c:v>
                </c:pt>
                <c:pt idx="11">
                  <c:v>4.8775248014017857E-2</c:v>
                </c:pt>
                <c:pt idx="12">
                  <c:v>4.6857869240509047E-2</c:v>
                </c:pt>
                <c:pt idx="13">
                  <c:v>4.570961142691448E-2</c:v>
                </c:pt>
                <c:pt idx="14">
                  <c:v>4.5484973637850049E-2</c:v>
                </c:pt>
                <c:pt idx="15">
                  <c:v>4.459594514907126E-2</c:v>
                </c:pt>
                <c:pt idx="16">
                  <c:v>4.4381230439171034E-2</c:v>
                </c:pt>
                <c:pt idx="17">
                  <c:v>4.561843167211968E-2</c:v>
                </c:pt>
                <c:pt idx="18">
                  <c:v>4.521672107660233E-2</c:v>
                </c:pt>
                <c:pt idx="19">
                  <c:v>4.4066465635311233E-2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AA_R_phophi_A!$A$25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AA_R_phophi_A!$B$25:$U$25</c:f>
              <c:numCache>
                <c:formatCode>General</c:formatCode>
                <c:ptCount val="20"/>
                <c:pt idx="0">
                  <c:v>0.24377016315435421</c:v>
                </c:pt>
                <c:pt idx="1">
                  <c:v>0.18005448033402879</c:v>
                </c:pt>
                <c:pt idx="2">
                  <c:v>0.11167401618031049</c:v>
                </c:pt>
                <c:pt idx="3">
                  <c:v>8.5418074935263752E-2</c:v>
                </c:pt>
                <c:pt idx="4">
                  <c:v>7.2492146082528533E-2</c:v>
                </c:pt>
                <c:pt idx="5">
                  <c:v>6.3936739617807201E-2</c:v>
                </c:pt>
                <c:pt idx="6">
                  <c:v>5.8533693098175694E-2</c:v>
                </c:pt>
                <c:pt idx="7">
                  <c:v>5.6528014779061032E-2</c:v>
                </c:pt>
                <c:pt idx="8">
                  <c:v>5.2776917666021619E-2</c:v>
                </c:pt>
                <c:pt idx="9">
                  <c:v>5.0642883809305102E-2</c:v>
                </c:pt>
                <c:pt idx="10">
                  <c:v>4.637937199365353E-2</c:v>
                </c:pt>
                <c:pt idx="11">
                  <c:v>4.6875946827957399E-2</c:v>
                </c:pt>
                <c:pt idx="12">
                  <c:v>4.2739704292811598E-2</c:v>
                </c:pt>
                <c:pt idx="13">
                  <c:v>4.2075996006392245E-2</c:v>
                </c:pt>
                <c:pt idx="14">
                  <c:v>3.9925771370991264E-2</c:v>
                </c:pt>
                <c:pt idx="15">
                  <c:v>4.1472439889237635E-2</c:v>
                </c:pt>
                <c:pt idx="16">
                  <c:v>4.2209704723701405E-2</c:v>
                </c:pt>
                <c:pt idx="17">
                  <c:v>4.0260618065544859E-2</c:v>
                </c:pt>
                <c:pt idx="18">
                  <c:v>4.0593339252986201E-2</c:v>
                </c:pt>
                <c:pt idx="19">
                  <c:v>3.7478892142252807E-2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AA_R_phophi_A!$A$26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AA_R_phophi_A!$B$26:$U$26</c:f>
              <c:numCache>
                <c:formatCode>General</c:formatCode>
                <c:ptCount val="20"/>
                <c:pt idx="0">
                  <c:v>0.37332173742182251</c:v>
                </c:pt>
                <c:pt idx="1">
                  <c:v>0.21430989278300883</c:v>
                </c:pt>
                <c:pt idx="2">
                  <c:v>0.11789811993580604</c:v>
                </c:pt>
                <c:pt idx="3">
                  <c:v>9.1147491848761628E-2</c:v>
                </c:pt>
                <c:pt idx="4">
                  <c:v>6.9770046942492794E-2</c:v>
                </c:pt>
                <c:pt idx="5">
                  <c:v>6.0292618355466607E-2</c:v>
                </c:pt>
                <c:pt idx="6">
                  <c:v>5.3749555659100584E-2</c:v>
                </c:pt>
                <c:pt idx="7">
                  <c:v>4.5617836328863008E-2</c:v>
                </c:pt>
                <c:pt idx="8">
                  <c:v>4.8259945999727355E-2</c:v>
                </c:pt>
                <c:pt idx="9">
                  <c:v>4.4228273623436731E-2</c:v>
                </c:pt>
                <c:pt idx="10">
                  <c:v>4.4067393178127544E-2</c:v>
                </c:pt>
                <c:pt idx="11">
                  <c:v>4.2410615339538993E-2</c:v>
                </c:pt>
                <c:pt idx="12">
                  <c:v>3.6414271784512613E-2</c:v>
                </c:pt>
                <c:pt idx="13">
                  <c:v>3.8251431954618054E-2</c:v>
                </c:pt>
                <c:pt idx="14">
                  <c:v>3.5713216155624089E-2</c:v>
                </c:pt>
                <c:pt idx="15">
                  <c:v>3.7345491195565336E-2</c:v>
                </c:pt>
                <c:pt idx="16">
                  <c:v>3.9150632933338828E-2</c:v>
                </c:pt>
                <c:pt idx="17">
                  <c:v>3.9260248750982094E-2</c:v>
                </c:pt>
                <c:pt idx="18">
                  <c:v>3.8668422695844147E-2</c:v>
                </c:pt>
                <c:pt idx="19">
                  <c:v>3.7696331301414067E-2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AA_R_phophi_A!$A$27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AA_R_phophi_A!$B$27:$U$27</c:f>
              <c:numCache>
                <c:formatCode>General</c:formatCode>
                <c:ptCount val="20"/>
                <c:pt idx="0">
                  <c:v>0.24877131785313258</c:v>
                </c:pt>
                <c:pt idx="1">
                  <c:v>0.17920908682245471</c:v>
                </c:pt>
                <c:pt idx="2">
                  <c:v>0.11069119339063452</c:v>
                </c:pt>
                <c:pt idx="3">
                  <c:v>8.8851631435836742E-2</c:v>
                </c:pt>
                <c:pt idx="4">
                  <c:v>7.3211049939972572E-2</c:v>
                </c:pt>
                <c:pt idx="5">
                  <c:v>6.4421472188030779E-2</c:v>
                </c:pt>
                <c:pt idx="6">
                  <c:v>5.9813941247626227E-2</c:v>
                </c:pt>
                <c:pt idx="7">
                  <c:v>5.6166918903323926E-2</c:v>
                </c:pt>
                <c:pt idx="8">
                  <c:v>5.7981589681685347E-2</c:v>
                </c:pt>
                <c:pt idx="9">
                  <c:v>5.2492301412516734E-2</c:v>
                </c:pt>
                <c:pt idx="10">
                  <c:v>5.170918797546907E-2</c:v>
                </c:pt>
                <c:pt idx="11">
                  <c:v>4.9440374561464197E-2</c:v>
                </c:pt>
                <c:pt idx="12">
                  <c:v>4.8956287613769474E-2</c:v>
                </c:pt>
                <c:pt idx="13">
                  <c:v>4.7811992464731931E-2</c:v>
                </c:pt>
                <c:pt idx="14">
                  <c:v>4.7220256406991068E-2</c:v>
                </c:pt>
                <c:pt idx="15">
                  <c:v>4.7044248746841613E-2</c:v>
                </c:pt>
                <c:pt idx="16">
                  <c:v>4.7787716911134807E-2</c:v>
                </c:pt>
                <c:pt idx="17">
                  <c:v>4.4219752410851347E-2</c:v>
                </c:pt>
                <c:pt idx="18">
                  <c:v>4.5109297030440379E-2</c:v>
                </c:pt>
                <c:pt idx="19">
                  <c:v>4.3657642473474312E-2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AA_R_phophi_A!$A$28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AA_R_phophi_A!$B$28:$U$28</c:f>
              <c:numCache>
                <c:formatCode>General</c:formatCode>
                <c:ptCount val="20"/>
                <c:pt idx="0">
                  <c:v>0.23963044318119103</c:v>
                </c:pt>
                <c:pt idx="1">
                  <c:v>0.17621126377098029</c:v>
                </c:pt>
                <c:pt idx="2">
                  <c:v>0.10859134582595344</c:v>
                </c:pt>
                <c:pt idx="3">
                  <c:v>8.697796790625105E-2</c:v>
                </c:pt>
                <c:pt idx="4">
                  <c:v>7.2277978592852912E-2</c:v>
                </c:pt>
                <c:pt idx="5">
                  <c:v>6.3986952132631808E-2</c:v>
                </c:pt>
                <c:pt idx="6">
                  <c:v>5.8404078303239244E-2</c:v>
                </c:pt>
                <c:pt idx="7">
                  <c:v>5.5617643823830928E-2</c:v>
                </c:pt>
                <c:pt idx="8">
                  <c:v>5.5244630968051545E-2</c:v>
                </c:pt>
                <c:pt idx="9">
                  <c:v>4.9512369701791362E-2</c:v>
                </c:pt>
                <c:pt idx="10">
                  <c:v>4.8123890185286768E-2</c:v>
                </c:pt>
                <c:pt idx="11">
                  <c:v>4.6311080497038311E-2</c:v>
                </c:pt>
                <c:pt idx="12">
                  <c:v>4.5253894189373707E-2</c:v>
                </c:pt>
                <c:pt idx="13">
                  <c:v>4.2985037992050439E-2</c:v>
                </c:pt>
                <c:pt idx="14">
                  <c:v>4.1570443935596835E-2</c:v>
                </c:pt>
                <c:pt idx="15">
                  <c:v>4.2094753187721858E-2</c:v>
                </c:pt>
                <c:pt idx="16">
                  <c:v>4.1265934654054502E-2</c:v>
                </c:pt>
                <c:pt idx="17">
                  <c:v>4.1481031047508728E-2</c:v>
                </c:pt>
                <c:pt idx="18">
                  <c:v>4.2964261292371547E-2</c:v>
                </c:pt>
                <c:pt idx="19">
                  <c:v>4.2061126988541211E-2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AA_R_phophi_A!$A$29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AA_R_phophi_A!$B$29:$U$29</c:f>
              <c:numCache>
                <c:formatCode>General</c:formatCode>
                <c:ptCount val="20"/>
                <c:pt idx="0">
                  <c:v>0.24805689704151618</c:v>
                </c:pt>
                <c:pt idx="1">
                  <c:v>0.18784152358556463</c:v>
                </c:pt>
                <c:pt idx="2">
                  <c:v>0.11928563618765754</c:v>
                </c:pt>
                <c:pt idx="3">
                  <c:v>9.4194251196763973E-2</c:v>
                </c:pt>
                <c:pt idx="4">
                  <c:v>7.5401945524601249E-2</c:v>
                </c:pt>
                <c:pt idx="5">
                  <c:v>6.7465621241225779E-2</c:v>
                </c:pt>
                <c:pt idx="6">
                  <c:v>6.2160647821783266E-2</c:v>
                </c:pt>
                <c:pt idx="7">
                  <c:v>5.5373800196598211E-2</c:v>
                </c:pt>
                <c:pt idx="8">
                  <c:v>5.2131866299592447E-2</c:v>
                </c:pt>
                <c:pt idx="9">
                  <c:v>4.5894992285275146E-2</c:v>
                </c:pt>
                <c:pt idx="10">
                  <c:v>4.3850876611605957E-2</c:v>
                </c:pt>
                <c:pt idx="11">
                  <c:v>3.9745172049994573E-2</c:v>
                </c:pt>
                <c:pt idx="12">
                  <c:v>3.8540162592752163E-2</c:v>
                </c:pt>
                <c:pt idx="13">
                  <c:v>3.7377129077633013E-2</c:v>
                </c:pt>
                <c:pt idx="14">
                  <c:v>3.8345989727782845E-2</c:v>
                </c:pt>
                <c:pt idx="15">
                  <c:v>3.8110716355481647E-2</c:v>
                </c:pt>
                <c:pt idx="16">
                  <c:v>3.4299403590507191E-2</c:v>
                </c:pt>
                <c:pt idx="17">
                  <c:v>3.2823512123915863E-2</c:v>
                </c:pt>
                <c:pt idx="18">
                  <c:v>3.3520044981143714E-2</c:v>
                </c:pt>
                <c:pt idx="19">
                  <c:v>3.1609054250708105E-2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AA_R_phophi_A!$A$30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AA_R_phophi_A!$B$30:$U$30</c:f>
              <c:numCache>
                <c:formatCode>General</c:formatCode>
                <c:ptCount val="20"/>
                <c:pt idx="0">
                  <c:v>0.24057127419721594</c:v>
                </c:pt>
                <c:pt idx="1">
                  <c:v>0.16504398161063069</c:v>
                </c:pt>
                <c:pt idx="2">
                  <c:v>9.0931596491565805E-2</c:v>
                </c:pt>
                <c:pt idx="3">
                  <c:v>7.5743420116775872E-2</c:v>
                </c:pt>
                <c:pt idx="4">
                  <c:v>6.77175558183261E-2</c:v>
                </c:pt>
                <c:pt idx="5">
                  <c:v>5.6139635367470096E-2</c:v>
                </c:pt>
                <c:pt idx="6">
                  <c:v>4.8073656683166661E-2</c:v>
                </c:pt>
                <c:pt idx="7">
                  <c:v>4.3366565311230246E-2</c:v>
                </c:pt>
                <c:pt idx="8">
                  <c:v>4.3186813039730591E-2</c:v>
                </c:pt>
                <c:pt idx="9">
                  <c:v>4.0655041835646742E-2</c:v>
                </c:pt>
                <c:pt idx="10">
                  <c:v>3.8571498761242953E-2</c:v>
                </c:pt>
                <c:pt idx="11">
                  <c:v>3.6112379737099534E-2</c:v>
                </c:pt>
                <c:pt idx="12">
                  <c:v>3.6212039570764964E-2</c:v>
                </c:pt>
                <c:pt idx="13">
                  <c:v>3.4714176906249741E-2</c:v>
                </c:pt>
                <c:pt idx="14">
                  <c:v>3.4976640437986491E-2</c:v>
                </c:pt>
                <c:pt idx="15">
                  <c:v>3.4784055804891766E-2</c:v>
                </c:pt>
                <c:pt idx="16">
                  <c:v>3.6498032170868638E-2</c:v>
                </c:pt>
                <c:pt idx="17">
                  <c:v>3.7275570780856422E-2</c:v>
                </c:pt>
                <c:pt idx="18">
                  <c:v>3.5138619290081149E-2</c:v>
                </c:pt>
                <c:pt idx="19">
                  <c:v>3.6136101982197036E-2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AA_R_phophi_A!$A$31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AA_R_phophi_A!$B$31:$U$31</c:f>
              <c:numCache>
                <c:formatCode>General</c:formatCode>
                <c:ptCount val="20"/>
                <c:pt idx="0">
                  <c:v>0.29664396401057519</c:v>
                </c:pt>
                <c:pt idx="1">
                  <c:v>0.24770590022876146</c:v>
                </c:pt>
                <c:pt idx="2">
                  <c:v>0.22324627342936854</c:v>
                </c:pt>
                <c:pt idx="3">
                  <c:v>0.21088080000243459</c:v>
                </c:pt>
                <c:pt idx="4">
                  <c:v>0.19740290792618687</c:v>
                </c:pt>
                <c:pt idx="5">
                  <c:v>0.1869263468406771</c:v>
                </c:pt>
                <c:pt idx="6">
                  <c:v>0.18184535675596483</c:v>
                </c:pt>
                <c:pt idx="7">
                  <c:v>0.18406310822602884</c:v>
                </c:pt>
                <c:pt idx="8">
                  <c:v>0.18334962637030922</c:v>
                </c:pt>
                <c:pt idx="9">
                  <c:v>0.18005797228138212</c:v>
                </c:pt>
                <c:pt idx="10">
                  <c:v>0.17582845318220694</c:v>
                </c:pt>
                <c:pt idx="11">
                  <c:v>0.1761449689909525</c:v>
                </c:pt>
                <c:pt idx="12">
                  <c:v>0.18311860467026941</c:v>
                </c:pt>
                <c:pt idx="13">
                  <c:v>0.18438582155264005</c:v>
                </c:pt>
                <c:pt idx="14">
                  <c:v>0.18802044674424453</c:v>
                </c:pt>
                <c:pt idx="15">
                  <c:v>0.18067102367466795</c:v>
                </c:pt>
                <c:pt idx="16">
                  <c:v>0.1774616287206652</c:v>
                </c:pt>
                <c:pt idx="17">
                  <c:v>0.17698585135886735</c:v>
                </c:pt>
                <c:pt idx="18">
                  <c:v>0.17299657081507239</c:v>
                </c:pt>
                <c:pt idx="19">
                  <c:v>0.1719011525217306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AA_R_phophi_A!$A$32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AA_R_phophi_A!$B$32:$U$32</c:f>
              <c:numCache>
                <c:formatCode>General</c:formatCode>
                <c:ptCount val="20"/>
                <c:pt idx="0">
                  <c:v>0.32549240658274786</c:v>
                </c:pt>
                <c:pt idx="1">
                  <c:v>0.18056366642090388</c:v>
                </c:pt>
                <c:pt idx="2">
                  <c:v>9.3199998297805342E-2</c:v>
                </c:pt>
                <c:pt idx="3">
                  <c:v>6.5655742429114969E-2</c:v>
                </c:pt>
                <c:pt idx="4">
                  <c:v>5.3137189837497781E-2</c:v>
                </c:pt>
                <c:pt idx="5">
                  <c:v>4.6981938951882546E-2</c:v>
                </c:pt>
                <c:pt idx="6">
                  <c:v>3.9407456810538907E-2</c:v>
                </c:pt>
                <c:pt idx="7">
                  <c:v>3.490806007967296E-2</c:v>
                </c:pt>
                <c:pt idx="8">
                  <c:v>3.3707554052167875E-2</c:v>
                </c:pt>
                <c:pt idx="9">
                  <c:v>2.977335953996909E-2</c:v>
                </c:pt>
                <c:pt idx="10">
                  <c:v>2.5686452088398447E-2</c:v>
                </c:pt>
                <c:pt idx="11">
                  <c:v>2.1797295264880952E-2</c:v>
                </c:pt>
                <c:pt idx="12">
                  <c:v>2.0624565691918454E-2</c:v>
                </c:pt>
                <c:pt idx="13">
                  <c:v>1.8734250245664285E-2</c:v>
                </c:pt>
                <c:pt idx="14">
                  <c:v>1.4259780167301365E-2</c:v>
                </c:pt>
                <c:pt idx="15">
                  <c:v>1.3966707267559888E-2</c:v>
                </c:pt>
                <c:pt idx="16">
                  <c:v>1.0507958061456655E-2</c:v>
                </c:pt>
                <c:pt idx="17">
                  <c:v>1.1402115060651646E-2</c:v>
                </c:pt>
                <c:pt idx="18">
                  <c:v>1.2205768601546114E-2</c:v>
                </c:pt>
                <c:pt idx="19">
                  <c:v>1.1224614310453922E-2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AA_R_phophi_A!$A$33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AA_R_phophi_A!$B$33:$U$33</c:f>
              <c:numCache>
                <c:formatCode>General</c:formatCode>
                <c:ptCount val="20"/>
                <c:pt idx="0">
                  <c:v>0.29783911328713941</c:v>
                </c:pt>
                <c:pt idx="1">
                  <c:v>0.15884185765291034</c:v>
                </c:pt>
                <c:pt idx="2">
                  <c:v>9.5208041623392678E-2</c:v>
                </c:pt>
                <c:pt idx="3">
                  <c:v>6.6752793144215242E-2</c:v>
                </c:pt>
                <c:pt idx="4">
                  <c:v>5.9944456729892667E-2</c:v>
                </c:pt>
                <c:pt idx="5">
                  <c:v>5.2129273459112398E-2</c:v>
                </c:pt>
                <c:pt idx="6">
                  <c:v>4.2497245605072634E-2</c:v>
                </c:pt>
                <c:pt idx="7">
                  <c:v>3.3598249093109947E-2</c:v>
                </c:pt>
                <c:pt idx="8">
                  <c:v>3.0451765504380775E-2</c:v>
                </c:pt>
                <c:pt idx="9">
                  <c:v>2.5714131482021112E-2</c:v>
                </c:pt>
                <c:pt idx="10">
                  <c:v>2.3955624300402975E-2</c:v>
                </c:pt>
                <c:pt idx="11">
                  <c:v>2.2223179517968948E-2</c:v>
                </c:pt>
                <c:pt idx="12">
                  <c:v>2.096565303656071E-2</c:v>
                </c:pt>
                <c:pt idx="13">
                  <c:v>1.8418674264262674E-2</c:v>
                </c:pt>
                <c:pt idx="14">
                  <c:v>1.7648956671113786E-2</c:v>
                </c:pt>
                <c:pt idx="15">
                  <c:v>1.6035198667671915E-2</c:v>
                </c:pt>
                <c:pt idx="16">
                  <c:v>1.5696014008372106E-2</c:v>
                </c:pt>
                <c:pt idx="17">
                  <c:v>1.6918527534830762E-2</c:v>
                </c:pt>
                <c:pt idx="18">
                  <c:v>1.8062929567787669E-2</c:v>
                </c:pt>
                <c:pt idx="19">
                  <c:v>1.9168865076110216E-2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AA_R_phophi_A!$A$34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AA_R_phophi_A!$B$34:$U$34</c:f>
              <c:numCache>
                <c:formatCode>General</c:formatCode>
                <c:ptCount val="20"/>
                <c:pt idx="0">
                  <c:v>0.30077572541835546</c:v>
                </c:pt>
                <c:pt idx="1">
                  <c:v>0.1567001527687821</c:v>
                </c:pt>
                <c:pt idx="2">
                  <c:v>9.1832354377397979E-2</c:v>
                </c:pt>
                <c:pt idx="3">
                  <c:v>6.7444902436735218E-2</c:v>
                </c:pt>
                <c:pt idx="4">
                  <c:v>5.6069097372967946E-2</c:v>
                </c:pt>
                <c:pt idx="5">
                  <c:v>4.7637470574550381E-2</c:v>
                </c:pt>
                <c:pt idx="6">
                  <c:v>4.182809211115452E-2</c:v>
                </c:pt>
                <c:pt idx="7">
                  <c:v>3.3914487418649282E-2</c:v>
                </c:pt>
                <c:pt idx="8">
                  <c:v>2.9077807938648066E-2</c:v>
                </c:pt>
                <c:pt idx="9">
                  <c:v>2.3576368492160327E-2</c:v>
                </c:pt>
                <c:pt idx="10">
                  <c:v>1.8926114587366333E-2</c:v>
                </c:pt>
                <c:pt idx="11">
                  <c:v>1.8305216343918681E-2</c:v>
                </c:pt>
                <c:pt idx="12">
                  <c:v>1.558380113819291E-2</c:v>
                </c:pt>
                <c:pt idx="13">
                  <c:v>1.3450846495475339E-2</c:v>
                </c:pt>
                <c:pt idx="14">
                  <c:v>1.4478500638260101E-2</c:v>
                </c:pt>
                <c:pt idx="15">
                  <c:v>1.4287332776047743E-2</c:v>
                </c:pt>
                <c:pt idx="16">
                  <c:v>1.4008933116530006E-2</c:v>
                </c:pt>
                <c:pt idx="17">
                  <c:v>1.3381835307225833E-2</c:v>
                </c:pt>
                <c:pt idx="18">
                  <c:v>1.250676843637823E-2</c:v>
                </c:pt>
                <c:pt idx="19">
                  <c:v>1.3215491825898642E-2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AA_R_phophi_A!$A$35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AA_R_phophi_A!$B$35:$U$35</c:f>
              <c:numCache>
                <c:formatCode>General</c:formatCode>
                <c:ptCount val="20"/>
                <c:pt idx="0">
                  <c:v>0.25558393409398633</c:v>
                </c:pt>
                <c:pt idx="1">
                  <c:v>0.22594533353605606</c:v>
                </c:pt>
                <c:pt idx="2">
                  <c:v>0.20532749714295248</c:v>
                </c:pt>
                <c:pt idx="3">
                  <c:v>0.19456021496088544</c:v>
                </c:pt>
                <c:pt idx="4">
                  <c:v>0.18715053700803913</c:v>
                </c:pt>
                <c:pt idx="5">
                  <c:v>0.1833982309813818</c:v>
                </c:pt>
                <c:pt idx="6">
                  <c:v>0.17270375070181315</c:v>
                </c:pt>
                <c:pt idx="7">
                  <c:v>0.16507564170441399</c:v>
                </c:pt>
                <c:pt idx="8">
                  <c:v>0.15973777242045067</c:v>
                </c:pt>
                <c:pt idx="9">
                  <c:v>0.15089961086279685</c:v>
                </c:pt>
                <c:pt idx="10">
                  <c:v>0.14766046658166945</c:v>
                </c:pt>
                <c:pt idx="11">
                  <c:v>0.14809198720853739</c:v>
                </c:pt>
                <c:pt idx="12">
                  <c:v>0.14677698956834079</c:v>
                </c:pt>
                <c:pt idx="13">
                  <c:v>0.15012941905179544</c:v>
                </c:pt>
                <c:pt idx="14">
                  <c:v>0.14584616681374502</c:v>
                </c:pt>
                <c:pt idx="15">
                  <c:v>0.14767201705992761</c:v>
                </c:pt>
                <c:pt idx="16">
                  <c:v>0.15057984005706881</c:v>
                </c:pt>
                <c:pt idx="17">
                  <c:v>0.15048132533387115</c:v>
                </c:pt>
                <c:pt idx="18">
                  <c:v>0.15209367100066384</c:v>
                </c:pt>
                <c:pt idx="19">
                  <c:v>0.14553149771384744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AA_R_phophi_A!$A$36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AA_R_phophi_A!$B$36:$U$36</c:f>
              <c:numCache>
                <c:formatCode>General</c:formatCode>
                <c:ptCount val="20"/>
                <c:pt idx="0">
                  <c:v>0.2623471181703923</c:v>
                </c:pt>
                <c:pt idx="1">
                  <c:v>0.23521029563505208</c:v>
                </c:pt>
                <c:pt idx="2">
                  <c:v>0.20945838345164078</c:v>
                </c:pt>
                <c:pt idx="3">
                  <c:v>0.19966348667967171</c:v>
                </c:pt>
                <c:pt idx="4">
                  <c:v>0.18863609295543871</c:v>
                </c:pt>
                <c:pt idx="5">
                  <c:v>0.18113821722888146</c:v>
                </c:pt>
                <c:pt idx="6">
                  <c:v>0.17980762715000495</c:v>
                </c:pt>
                <c:pt idx="7">
                  <c:v>0.1744236183724846</c:v>
                </c:pt>
                <c:pt idx="8">
                  <c:v>0.169367773789323</c:v>
                </c:pt>
                <c:pt idx="9">
                  <c:v>0.16180261165256379</c:v>
                </c:pt>
                <c:pt idx="10">
                  <c:v>0.15608972362242332</c:v>
                </c:pt>
                <c:pt idx="11">
                  <c:v>0.15284712485316379</c:v>
                </c:pt>
                <c:pt idx="12">
                  <c:v>0.14776578353212222</c:v>
                </c:pt>
                <c:pt idx="13">
                  <c:v>0.14825774886111839</c:v>
                </c:pt>
                <c:pt idx="14">
                  <c:v>0.14528494448969376</c:v>
                </c:pt>
                <c:pt idx="15">
                  <c:v>0.14409542223925059</c:v>
                </c:pt>
                <c:pt idx="16">
                  <c:v>0.14287963714609153</c:v>
                </c:pt>
                <c:pt idx="17">
                  <c:v>0.13767198434975866</c:v>
                </c:pt>
                <c:pt idx="18">
                  <c:v>0.13518417802057456</c:v>
                </c:pt>
                <c:pt idx="19">
                  <c:v>0.13666645092184965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AA_R_phophi_A!$A$37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AA_R_phophi_A!$B$2:$U$2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AA_R_phophi_A!$B$37:$U$37</c:f>
              <c:numCache>
                <c:formatCode>General</c:formatCode>
                <c:ptCount val="20"/>
                <c:pt idx="0">
                  <c:v>0.24196185188927655</c:v>
                </c:pt>
                <c:pt idx="1">
                  <c:v>0.22393501044737121</c:v>
                </c:pt>
                <c:pt idx="2">
                  <c:v>0.20792750560355008</c:v>
                </c:pt>
                <c:pt idx="3">
                  <c:v>0.20852735522281252</c:v>
                </c:pt>
                <c:pt idx="4">
                  <c:v>0.20584038074154576</c:v>
                </c:pt>
                <c:pt idx="5">
                  <c:v>0.20577012782885579</c:v>
                </c:pt>
                <c:pt idx="6">
                  <c:v>0.20124752771098053</c:v>
                </c:pt>
                <c:pt idx="7">
                  <c:v>0.20306131308402006</c:v>
                </c:pt>
                <c:pt idx="8">
                  <c:v>0.20077352245981522</c:v>
                </c:pt>
                <c:pt idx="9">
                  <c:v>0.19757910586038338</c:v>
                </c:pt>
                <c:pt idx="10">
                  <c:v>0.19650084012654406</c:v>
                </c:pt>
                <c:pt idx="11">
                  <c:v>0.19336773914242025</c:v>
                </c:pt>
                <c:pt idx="12">
                  <c:v>0.19398347499517327</c:v>
                </c:pt>
                <c:pt idx="13">
                  <c:v>0.19317899092015223</c:v>
                </c:pt>
                <c:pt idx="14">
                  <c:v>0.19148246162176366</c:v>
                </c:pt>
                <c:pt idx="15">
                  <c:v>0.18951461205310044</c:v>
                </c:pt>
                <c:pt idx="16">
                  <c:v>0.19426849885731565</c:v>
                </c:pt>
                <c:pt idx="17">
                  <c:v>0.19738724255963069</c:v>
                </c:pt>
                <c:pt idx="18">
                  <c:v>0.18657805534420843</c:v>
                </c:pt>
                <c:pt idx="19">
                  <c:v>0.18612097256818236</c:v>
                </c:pt>
              </c:numCache>
            </c:numRef>
          </c:yVal>
          <c:smooth val="1"/>
        </c:ser>
        <c:axId val="92041216"/>
        <c:axId val="92043136"/>
      </c:scatterChart>
      <c:valAx>
        <c:axId val="9204121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43136"/>
        <c:crosses val="autoZero"/>
        <c:crossBetween val="midCat"/>
      </c:valAx>
      <c:valAx>
        <c:axId val="92043136"/>
        <c:scaling>
          <c:orientation val="minMax"/>
        </c:scaling>
        <c:axPos val="l"/>
        <c:numFmt formatCode="General" sourceLinked="1"/>
        <c:tickLblPos val="nextTo"/>
        <c:crossAx val="92041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510153774405908"/>
          <c:y val="7.9861475648877231E-2"/>
          <c:w val="0.23663670015864621"/>
          <c:h val="0.86040824992038567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Chg_T_pos!$B$3:$U$3</c:f>
              <c:numCache>
                <c:formatCode>General</c:formatCode>
                <c:ptCount val="20"/>
                <c:pt idx="0">
                  <c:v>4.6228069999999999</c:v>
                </c:pt>
                <c:pt idx="1">
                  <c:v>3.590455</c:v>
                </c:pt>
                <c:pt idx="2">
                  <c:v>2.6224509999999999</c:v>
                </c:pt>
                <c:pt idx="3">
                  <c:v>2.107329</c:v>
                </c:pt>
                <c:pt idx="4">
                  <c:v>1.638147</c:v>
                </c:pt>
                <c:pt idx="5">
                  <c:v>1.3769039999999999</c:v>
                </c:pt>
                <c:pt idx="6">
                  <c:v>1.2251700000000001</c:v>
                </c:pt>
                <c:pt idx="7">
                  <c:v>1.0901369999999999</c:v>
                </c:pt>
                <c:pt idx="8">
                  <c:v>0.97165040000000003</c:v>
                </c:pt>
                <c:pt idx="9">
                  <c:v>0.8715444</c:v>
                </c:pt>
                <c:pt idx="10">
                  <c:v>0.75236990000000004</c:v>
                </c:pt>
                <c:pt idx="11">
                  <c:v>0.68818279999999998</c:v>
                </c:pt>
                <c:pt idx="12">
                  <c:v>0.6527423</c:v>
                </c:pt>
                <c:pt idx="13">
                  <c:v>0.61848119999999995</c:v>
                </c:pt>
                <c:pt idx="14">
                  <c:v>0.57167539999999994</c:v>
                </c:pt>
                <c:pt idx="15">
                  <c:v>0.52913359999999998</c:v>
                </c:pt>
                <c:pt idx="16">
                  <c:v>0.49879259999999997</c:v>
                </c:pt>
                <c:pt idx="17">
                  <c:v>0.49436289999999999</c:v>
                </c:pt>
                <c:pt idx="18">
                  <c:v>0.47379900000000003</c:v>
                </c:pt>
                <c:pt idx="19">
                  <c:v>0.47298869999999998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Chg_T_pos!$B$21:$U$21</c:f>
              <c:numCache>
                <c:formatCode>General</c:formatCode>
                <c:ptCount val="20"/>
                <c:pt idx="0">
                  <c:v>18.243500000000001</c:v>
                </c:pt>
                <c:pt idx="1">
                  <c:v>14.261710000000001</c:v>
                </c:pt>
                <c:pt idx="2">
                  <c:v>10.010809999999999</c:v>
                </c:pt>
                <c:pt idx="3">
                  <c:v>7.1754819999999997</c:v>
                </c:pt>
                <c:pt idx="4">
                  <c:v>5.5950030000000002</c:v>
                </c:pt>
                <c:pt idx="5">
                  <c:v>4.6474489999999999</c:v>
                </c:pt>
                <c:pt idx="6">
                  <c:v>3.8292480000000002</c:v>
                </c:pt>
                <c:pt idx="7">
                  <c:v>3.3509669999999998</c:v>
                </c:pt>
                <c:pt idx="8">
                  <c:v>2.9507829999999999</c:v>
                </c:pt>
                <c:pt idx="9">
                  <c:v>2.6708349999999998</c:v>
                </c:pt>
                <c:pt idx="10">
                  <c:v>2.430415</c:v>
                </c:pt>
                <c:pt idx="11">
                  <c:v>2.2126749999999999</c:v>
                </c:pt>
                <c:pt idx="12">
                  <c:v>2.0168200000000001</c:v>
                </c:pt>
                <c:pt idx="13">
                  <c:v>1.906102</c:v>
                </c:pt>
                <c:pt idx="14">
                  <c:v>1.8053330000000001</c:v>
                </c:pt>
                <c:pt idx="15">
                  <c:v>1.68943</c:v>
                </c:pt>
                <c:pt idx="16">
                  <c:v>1.599356</c:v>
                </c:pt>
                <c:pt idx="17">
                  <c:v>1.5169710000000001</c:v>
                </c:pt>
                <c:pt idx="18">
                  <c:v>1.42418</c:v>
                </c:pt>
                <c:pt idx="19">
                  <c:v>1.3735379999999999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Chg_T_pos!$B$37:$U$37</c:f>
              <c:numCache>
                <c:formatCode>General</c:formatCode>
                <c:ptCount val="20"/>
                <c:pt idx="0">
                  <c:v>41.994790000000002</c:v>
                </c:pt>
                <c:pt idx="1">
                  <c:v>32.39817</c:v>
                </c:pt>
                <c:pt idx="2">
                  <c:v>23.76915</c:v>
                </c:pt>
                <c:pt idx="3">
                  <c:v>18.345009999999998</c:v>
                </c:pt>
                <c:pt idx="4">
                  <c:v>14.86261</c:v>
                </c:pt>
                <c:pt idx="5">
                  <c:v>12.42074</c:v>
                </c:pt>
                <c:pt idx="6">
                  <c:v>10.41771</c:v>
                </c:pt>
                <c:pt idx="7">
                  <c:v>8.9425570000000008</c:v>
                </c:pt>
                <c:pt idx="8">
                  <c:v>7.660628</c:v>
                </c:pt>
                <c:pt idx="9">
                  <c:v>6.6941800000000002</c:v>
                </c:pt>
                <c:pt idx="10">
                  <c:v>5.9719470000000001</c:v>
                </c:pt>
                <c:pt idx="11">
                  <c:v>5.2457019999999996</c:v>
                </c:pt>
                <c:pt idx="12">
                  <c:v>4.702172</c:v>
                </c:pt>
                <c:pt idx="13">
                  <c:v>4.2403880000000003</c:v>
                </c:pt>
                <c:pt idx="14">
                  <c:v>3.932976</c:v>
                </c:pt>
                <c:pt idx="15">
                  <c:v>3.5886140000000002</c:v>
                </c:pt>
                <c:pt idx="16">
                  <c:v>3.2799809999999998</c:v>
                </c:pt>
                <c:pt idx="17">
                  <c:v>3.0751469999999999</c:v>
                </c:pt>
                <c:pt idx="18">
                  <c:v>3.0305309999999999</c:v>
                </c:pt>
                <c:pt idx="19">
                  <c:v>2.8749180000000001</c:v>
                </c:pt>
              </c:numCache>
            </c:numRef>
          </c:yVal>
          <c:smooth val="1"/>
        </c:ser>
        <c:axId val="83679104"/>
        <c:axId val="83841024"/>
      </c:scatterChart>
      <c:valAx>
        <c:axId val="8367910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41024"/>
        <c:crosses val="autoZero"/>
        <c:crossBetween val="midCat"/>
      </c:valAx>
      <c:valAx>
        <c:axId val="83841024"/>
        <c:scaling>
          <c:orientation val="minMax"/>
        </c:scaling>
        <c:axPos val="l"/>
        <c:numFmt formatCode="General" sourceLinked="1"/>
        <c:tickLblPos val="nextTo"/>
        <c:crossAx val="836791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Chg_T_pos!$A$3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Chg_T_pos!$B$3:$U$3</c:f>
              <c:numCache>
                <c:formatCode>General</c:formatCode>
                <c:ptCount val="20"/>
                <c:pt idx="0">
                  <c:v>4.6228069999999999</c:v>
                </c:pt>
                <c:pt idx="1">
                  <c:v>3.590455</c:v>
                </c:pt>
                <c:pt idx="2">
                  <c:v>2.6224509999999999</c:v>
                </c:pt>
                <c:pt idx="3">
                  <c:v>2.107329</c:v>
                </c:pt>
                <c:pt idx="4">
                  <c:v>1.638147</c:v>
                </c:pt>
                <c:pt idx="5">
                  <c:v>1.3769039999999999</c:v>
                </c:pt>
                <c:pt idx="6">
                  <c:v>1.2251700000000001</c:v>
                </c:pt>
                <c:pt idx="7">
                  <c:v>1.0901369999999999</c:v>
                </c:pt>
                <c:pt idx="8">
                  <c:v>0.97165040000000003</c:v>
                </c:pt>
                <c:pt idx="9">
                  <c:v>0.8715444</c:v>
                </c:pt>
                <c:pt idx="10">
                  <c:v>0.75236990000000004</c:v>
                </c:pt>
                <c:pt idx="11">
                  <c:v>0.68818279999999998</c:v>
                </c:pt>
                <c:pt idx="12">
                  <c:v>0.6527423</c:v>
                </c:pt>
                <c:pt idx="13">
                  <c:v>0.61848119999999995</c:v>
                </c:pt>
                <c:pt idx="14">
                  <c:v>0.57167539999999994</c:v>
                </c:pt>
                <c:pt idx="15">
                  <c:v>0.52913359999999998</c:v>
                </c:pt>
                <c:pt idx="16">
                  <c:v>0.49879259999999997</c:v>
                </c:pt>
                <c:pt idx="17">
                  <c:v>0.49436289999999999</c:v>
                </c:pt>
                <c:pt idx="18">
                  <c:v>0.47379900000000003</c:v>
                </c:pt>
                <c:pt idx="19">
                  <c:v>0.47298869999999998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Chg_T_pos!$A$4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Chg_T_pos!$B$4:$U$4</c:f>
              <c:numCache>
                <c:formatCode>General</c:formatCode>
                <c:ptCount val="20"/>
                <c:pt idx="0">
                  <c:v>5.4265679999999996</c:v>
                </c:pt>
                <c:pt idx="1">
                  <c:v>4.2849510000000004</c:v>
                </c:pt>
                <c:pt idx="2">
                  <c:v>3.1124160000000001</c:v>
                </c:pt>
                <c:pt idx="3">
                  <c:v>2.4379439999999999</c:v>
                </c:pt>
                <c:pt idx="4">
                  <c:v>1.933878</c:v>
                </c:pt>
                <c:pt idx="5">
                  <c:v>1.599281</c:v>
                </c:pt>
                <c:pt idx="6">
                  <c:v>1.35463</c:v>
                </c:pt>
                <c:pt idx="7">
                  <c:v>1.207989</c:v>
                </c:pt>
                <c:pt idx="8">
                  <c:v>1.0607089999999999</c:v>
                </c:pt>
                <c:pt idx="9">
                  <c:v>0.96030340000000003</c:v>
                </c:pt>
                <c:pt idx="10">
                  <c:v>0.82505949999999995</c:v>
                </c:pt>
                <c:pt idx="11">
                  <c:v>0.7499323</c:v>
                </c:pt>
                <c:pt idx="12">
                  <c:v>0.68324949999999995</c:v>
                </c:pt>
                <c:pt idx="13">
                  <c:v>0.64581869999999997</c:v>
                </c:pt>
                <c:pt idx="14">
                  <c:v>0.60577130000000001</c:v>
                </c:pt>
                <c:pt idx="15">
                  <c:v>0.568523</c:v>
                </c:pt>
                <c:pt idx="16">
                  <c:v>0.53592620000000002</c:v>
                </c:pt>
                <c:pt idx="17">
                  <c:v>0.50406110000000004</c:v>
                </c:pt>
                <c:pt idx="18">
                  <c:v>0.49610369999999998</c:v>
                </c:pt>
                <c:pt idx="19">
                  <c:v>0.48011690000000001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Chg_T_pos!$A$5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Chg_T_pos!$B$5:$U$5</c:f>
              <c:numCache>
                <c:formatCode>General</c:formatCode>
                <c:ptCount val="20"/>
                <c:pt idx="0">
                  <c:v>9.3429730000000006</c:v>
                </c:pt>
                <c:pt idx="1">
                  <c:v>7.267252</c:v>
                </c:pt>
                <c:pt idx="2">
                  <c:v>5.40489</c:v>
                </c:pt>
                <c:pt idx="3">
                  <c:v>4.3488619999999996</c:v>
                </c:pt>
                <c:pt idx="4">
                  <c:v>3.522411</c:v>
                </c:pt>
                <c:pt idx="5">
                  <c:v>3.0506790000000001</c:v>
                </c:pt>
                <c:pt idx="6">
                  <c:v>2.722607</c:v>
                </c:pt>
                <c:pt idx="7">
                  <c:v>2.4775269999999998</c:v>
                </c:pt>
                <c:pt idx="8">
                  <c:v>2.222261</c:v>
                </c:pt>
                <c:pt idx="9">
                  <c:v>2.0384980000000001</c:v>
                </c:pt>
                <c:pt idx="10">
                  <c:v>1.8907560000000001</c:v>
                </c:pt>
                <c:pt idx="11">
                  <c:v>1.75789</c:v>
                </c:pt>
                <c:pt idx="12">
                  <c:v>1.6433150000000001</c:v>
                </c:pt>
                <c:pt idx="13">
                  <c:v>1.5831200000000001</c:v>
                </c:pt>
                <c:pt idx="14">
                  <c:v>1.489301</c:v>
                </c:pt>
                <c:pt idx="15">
                  <c:v>1.417562</c:v>
                </c:pt>
                <c:pt idx="16">
                  <c:v>1.3589899999999999</c:v>
                </c:pt>
                <c:pt idx="17">
                  <c:v>1.287698</c:v>
                </c:pt>
                <c:pt idx="18">
                  <c:v>1.2539819999999999</c:v>
                </c:pt>
                <c:pt idx="19">
                  <c:v>1.234696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Chg_T_pos!$A$6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Chg_T_pos!$B$6:$U$6</c:f>
              <c:numCache>
                <c:formatCode>General</c:formatCode>
                <c:ptCount val="20"/>
                <c:pt idx="0">
                  <c:v>2.7093289999999999</c:v>
                </c:pt>
                <c:pt idx="1">
                  <c:v>1.9823230000000001</c:v>
                </c:pt>
                <c:pt idx="2">
                  <c:v>1.3309949999999999</c:v>
                </c:pt>
                <c:pt idx="3">
                  <c:v>0.96611769999999997</c:v>
                </c:pt>
                <c:pt idx="4">
                  <c:v>0.78070130000000004</c:v>
                </c:pt>
                <c:pt idx="5">
                  <c:v>0.66561809999999999</c:v>
                </c:pt>
                <c:pt idx="6">
                  <c:v>0.56989449999999997</c:v>
                </c:pt>
                <c:pt idx="7">
                  <c:v>0.50417820000000002</c:v>
                </c:pt>
                <c:pt idx="8">
                  <c:v>0.44538280000000002</c:v>
                </c:pt>
                <c:pt idx="9">
                  <c:v>0.40321249999999997</c:v>
                </c:pt>
                <c:pt idx="10">
                  <c:v>0.35672930000000003</c:v>
                </c:pt>
                <c:pt idx="11">
                  <c:v>0.33012970000000003</c:v>
                </c:pt>
                <c:pt idx="12">
                  <c:v>0.30292999999999998</c:v>
                </c:pt>
                <c:pt idx="13">
                  <c:v>0.26982810000000002</c:v>
                </c:pt>
                <c:pt idx="14">
                  <c:v>0.25606319999999999</c:v>
                </c:pt>
                <c:pt idx="15">
                  <c:v>0.24555080000000001</c:v>
                </c:pt>
                <c:pt idx="16">
                  <c:v>0.23353370000000001</c:v>
                </c:pt>
                <c:pt idx="17">
                  <c:v>0.22653699999999999</c:v>
                </c:pt>
                <c:pt idx="18">
                  <c:v>0.22375880000000001</c:v>
                </c:pt>
                <c:pt idx="19">
                  <c:v>0.20712449999999999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Chg_T_pos!$A$7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Chg_T_pos!$B$7:$U$7</c:f>
              <c:numCache>
                <c:formatCode>General</c:formatCode>
                <c:ptCount val="20"/>
                <c:pt idx="0">
                  <c:v>2.830943</c:v>
                </c:pt>
                <c:pt idx="1">
                  <c:v>1.978092</c:v>
                </c:pt>
                <c:pt idx="2">
                  <c:v>1.343283</c:v>
                </c:pt>
                <c:pt idx="3">
                  <c:v>1.0569299999999999</c:v>
                </c:pt>
                <c:pt idx="4">
                  <c:v>0.85070520000000005</c:v>
                </c:pt>
                <c:pt idx="5">
                  <c:v>0.69170929999999997</c:v>
                </c:pt>
                <c:pt idx="6">
                  <c:v>0.59271779999999996</c:v>
                </c:pt>
                <c:pt idx="7">
                  <c:v>0.54029210000000005</c:v>
                </c:pt>
                <c:pt idx="8">
                  <c:v>0.48871360000000003</c:v>
                </c:pt>
                <c:pt idx="9">
                  <c:v>0.42140899999999998</c:v>
                </c:pt>
                <c:pt idx="10">
                  <c:v>0.39241589999999998</c:v>
                </c:pt>
                <c:pt idx="11">
                  <c:v>0.34889809999999999</c:v>
                </c:pt>
                <c:pt idx="12">
                  <c:v>0.32385589999999997</c:v>
                </c:pt>
                <c:pt idx="13">
                  <c:v>0.29099510000000001</c:v>
                </c:pt>
                <c:pt idx="14">
                  <c:v>0.26997460000000001</c:v>
                </c:pt>
                <c:pt idx="15">
                  <c:v>0.24041419999999999</c:v>
                </c:pt>
                <c:pt idx="16">
                  <c:v>0.22456380000000001</c:v>
                </c:pt>
                <c:pt idx="17">
                  <c:v>0.22262270000000001</c:v>
                </c:pt>
                <c:pt idx="18">
                  <c:v>0.2161283</c:v>
                </c:pt>
                <c:pt idx="19">
                  <c:v>0.21347659999999999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Chg_T_pos!$A$8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Chg_T_pos!$B$8:$U$8</c:f>
              <c:numCache>
                <c:formatCode>General</c:formatCode>
                <c:ptCount val="20"/>
                <c:pt idx="0">
                  <c:v>2.6812839999999998</c:v>
                </c:pt>
                <c:pt idx="1">
                  <c:v>1.830595</c:v>
                </c:pt>
                <c:pt idx="2">
                  <c:v>1.213058</c:v>
                </c:pt>
                <c:pt idx="3">
                  <c:v>0.92400000000000004</c:v>
                </c:pt>
                <c:pt idx="4">
                  <c:v>0.7167521</c:v>
                </c:pt>
                <c:pt idx="5">
                  <c:v>0.59347899999999998</c:v>
                </c:pt>
                <c:pt idx="6">
                  <c:v>0.51661809999999997</c:v>
                </c:pt>
                <c:pt idx="7">
                  <c:v>0.43734299999999998</c:v>
                </c:pt>
                <c:pt idx="8">
                  <c:v>0.390963</c:v>
                </c:pt>
                <c:pt idx="9">
                  <c:v>0.34279949999999998</c:v>
                </c:pt>
                <c:pt idx="10">
                  <c:v>0.30520269999999999</c:v>
                </c:pt>
                <c:pt idx="11">
                  <c:v>0.2753987</c:v>
                </c:pt>
                <c:pt idx="12">
                  <c:v>0.26487139999999998</c:v>
                </c:pt>
                <c:pt idx="13">
                  <c:v>0.24146670000000001</c:v>
                </c:pt>
                <c:pt idx="14">
                  <c:v>0.23073940000000001</c:v>
                </c:pt>
                <c:pt idx="15">
                  <c:v>0.21274689999999999</c:v>
                </c:pt>
                <c:pt idx="16">
                  <c:v>0.20725289999999999</c:v>
                </c:pt>
                <c:pt idx="17">
                  <c:v>0.19266610000000001</c:v>
                </c:pt>
                <c:pt idx="18">
                  <c:v>0.18611159999999999</c:v>
                </c:pt>
                <c:pt idx="19">
                  <c:v>0.18147089999999999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Chg_T_pos!$A$9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Chg_T_pos!$B$9:$U$9</c:f>
              <c:numCache>
                <c:formatCode>General</c:formatCode>
                <c:ptCount val="20"/>
                <c:pt idx="0">
                  <c:v>2.9634269999999998</c:v>
                </c:pt>
                <c:pt idx="1">
                  <c:v>2.0988799999999999</c:v>
                </c:pt>
                <c:pt idx="2">
                  <c:v>1.418094</c:v>
                </c:pt>
                <c:pt idx="3">
                  <c:v>1.095758</c:v>
                </c:pt>
                <c:pt idx="4">
                  <c:v>0.8796659</c:v>
                </c:pt>
                <c:pt idx="5">
                  <c:v>0.70641719999999997</c:v>
                </c:pt>
                <c:pt idx="6">
                  <c:v>0.59596559999999998</c:v>
                </c:pt>
                <c:pt idx="7">
                  <c:v>0.5331245</c:v>
                </c:pt>
                <c:pt idx="8">
                  <c:v>0.47134239999999999</c:v>
                </c:pt>
                <c:pt idx="9">
                  <c:v>0.40752500000000003</c:v>
                </c:pt>
                <c:pt idx="10">
                  <c:v>0.36860989999999999</c:v>
                </c:pt>
                <c:pt idx="11">
                  <c:v>0.34422439999999999</c:v>
                </c:pt>
                <c:pt idx="12">
                  <c:v>0.31719150000000002</c:v>
                </c:pt>
                <c:pt idx="13">
                  <c:v>0.29897030000000002</c:v>
                </c:pt>
                <c:pt idx="14">
                  <c:v>0.28499720000000001</c:v>
                </c:pt>
                <c:pt idx="15">
                  <c:v>0.26592769999999999</c:v>
                </c:pt>
                <c:pt idx="16">
                  <c:v>0.25119760000000002</c:v>
                </c:pt>
                <c:pt idx="17">
                  <c:v>0.24393039999999999</c:v>
                </c:pt>
                <c:pt idx="18">
                  <c:v>0.23394680000000001</c:v>
                </c:pt>
                <c:pt idx="19">
                  <c:v>0.2175974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Chg_T_pos!$A$10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Chg_T_pos!$B$10:$U$10</c:f>
              <c:numCache>
                <c:formatCode>General</c:formatCode>
                <c:ptCount val="20"/>
                <c:pt idx="0">
                  <c:v>4.2893080000000001</c:v>
                </c:pt>
                <c:pt idx="1">
                  <c:v>3.0900620000000001</c:v>
                </c:pt>
                <c:pt idx="2">
                  <c:v>2.0935229999999998</c:v>
                </c:pt>
                <c:pt idx="3">
                  <c:v>1.591893</c:v>
                </c:pt>
                <c:pt idx="4">
                  <c:v>1.266643</c:v>
                </c:pt>
                <c:pt idx="5">
                  <c:v>1.05671</c:v>
                </c:pt>
                <c:pt idx="6">
                  <c:v>0.91186449999999997</c:v>
                </c:pt>
                <c:pt idx="7">
                  <c:v>0.81748849999999995</c:v>
                </c:pt>
                <c:pt idx="8">
                  <c:v>0.73244359999999997</c:v>
                </c:pt>
                <c:pt idx="9">
                  <c:v>0.65890029999999999</c:v>
                </c:pt>
                <c:pt idx="10">
                  <c:v>0.58975789999999995</c:v>
                </c:pt>
                <c:pt idx="11">
                  <c:v>0.52887740000000005</c:v>
                </c:pt>
                <c:pt idx="12">
                  <c:v>0.49569439999999998</c:v>
                </c:pt>
                <c:pt idx="13">
                  <c:v>0.44503749999999997</c:v>
                </c:pt>
                <c:pt idx="14">
                  <c:v>0.41249770000000002</c:v>
                </c:pt>
                <c:pt idx="15">
                  <c:v>0.38563140000000001</c:v>
                </c:pt>
                <c:pt idx="16">
                  <c:v>0.36319879999999999</c:v>
                </c:pt>
                <c:pt idx="17">
                  <c:v>0.35781669999999999</c:v>
                </c:pt>
                <c:pt idx="18">
                  <c:v>0.32853199999999999</c:v>
                </c:pt>
                <c:pt idx="19">
                  <c:v>0.30811820000000001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Chg_T_pos!$A$11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Chg_T_pos!$B$11:$U$11</c:f>
              <c:numCache>
                <c:formatCode>General</c:formatCode>
                <c:ptCount val="20"/>
                <c:pt idx="0">
                  <c:v>4.164021</c:v>
                </c:pt>
                <c:pt idx="1">
                  <c:v>3.08596</c:v>
                </c:pt>
                <c:pt idx="2">
                  <c:v>2.1143619999999999</c:v>
                </c:pt>
                <c:pt idx="3">
                  <c:v>1.6583619999999999</c:v>
                </c:pt>
                <c:pt idx="4">
                  <c:v>1.3756630000000001</c:v>
                </c:pt>
                <c:pt idx="5">
                  <c:v>1.1864269999999999</c:v>
                </c:pt>
                <c:pt idx="6">
                  <c:v>1.0194350000000001</c:v>
                </c:pt>
                <c:pt idx="7">
                  <c:v>0.93096239999999997</c:v>
                </c:pt>
                <c:pt idx="8">
                  <c:v>0.81047460000000004</c:v>
                </c:pt>
                <c:pt idx="9">
                  <c:v>0.72714069999999997</c:v>
                </c:pt>
                <c:pt idx="10">
                  <c:v>0.65196759999999998</c:v>
                </c:pt>
                <c:pt idx="11">
                  <c:v>0.60055820000000004</c:v>
                </c:pt>
                <c:pt idx="12">
                  <c:v>0.57329960000000002</c:v>
                </c:pt>
                <c:pt idx="13">
                  <c:v>0.53264330000000004</c:v>
                </c:pt>
                <c:pt idx="14">
                  <c:v>0.50482369999999999</c:v>
                </c:pt>
                <c:pt idx="15">
                  <c:v>0.47487010000000002</c:v>
                </c:pt>
                <c:pt idx="16">
                  <c:v>0.4587193</c:v>
                </c:pt>
                <c:pt idx="17">
                  <c:v>0.44156000000000001</c:v>
                </c:pt>
                <c:pt idx="18">
                  <c:v>0.43713790000000002</c:v>
                </c:pt>
                <c:pt idx="19">
                  <c:v>0.41510350000000001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Chg_T_pos!$A$12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Chg_T_pos!$B$12:$U$12</c:f>
              <c:numCache>
                <c:formatCode>General</c:formatCode>
                <c:ptCount val="20"/>
                <c:pt idx="0">
                  <c:v>2.8996390000000001</c:v>
                </c:pt>
                <c:pt idx="1">
                  <c:v>2.0423680000000002</c:v>
                </c:pt>
                <c:pt idx="2">
                  <c:v>1.3943589999999999</c:v>
                </c:pt>
                <c:pt idx="3">
                  <c:v>0.95016849999999997</c:v>
                </c:pt>
                <c:pt idx="4">
                  <c:v>0.71027280000000004</c:v>
                </c:pt>
                <c:pt idx="5">
                  <c:v>0.55657489999999998</c:v>
                </c:pt>
                <c:pt idx="6">
                  <c:v>0.46946700000000002</c:v>
                </c:pt>
                <c:pt idx="7">
                  <c:v>0.41008430000000001</c:v>
                </c:pt>
                <c:pt idx="8">
                  <c:v>0.3445627</c:v>
                </c:pt>
                <c:pt idx="9">
                  <c:v>0.32048700000000002</c:v>
                </c:pt>
                <c:pt idx="10">
                  <c:v>0.27502480000000001</c:v>
                </c:pt>
                <c:pt idx="11">
                  <c:v>0.260878</c:v>
                </c:pt>
                <c:pt idx="12">
                  <c:v>0.21811700000000001</c:v>
                </c:pt>
                <c:pt idx="13">
                  <c:v>0.19985149999999999</c:v>
                </c:pt>
                <c:pt idx="14">
                  <c:v>0.1814877</c:v>
                </c:pt>
                <c:pt idx="15">
                  <c:v>0.1664899</c:v>
                </c:pt>
                <c:pt idx="16">
                  <c:v>0.15035129999999999</c:v>
                </c:pt>
                <c:pt idx="17">
                  <c:v>0.1499308</c:v>
                </c:pt>
                <c:pt idx="18">
                  <c:v>0.1454114</c:v>
                </c:pt>
                <c:pt idx="19">
                  <c:v>0.1247211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Chg_T_pos!$A$13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Chg_T_pos!$B$13:$U$13</c:f>
              <c:numCache>
                <c:formatCode>General</c:formatCode>
                <c:ptCount val="20"/>
                <c:pt idx="0">
                  <c:v>2.3217590000000001</c:v>
                </c:pt>
                <c:pt idx="1">
                  <c:v>1.5588010000000001</c:v>
                </c:pt>
                <c:pt idx="2">
                  <c:v>1.060681</c:v>
                </c:pt>
                <c:pt idx="3">
                  <c:v>0.78640129999999997</c:v>
                </c:pt>
                <c:pt idx="4">
                  <c:v>0.63519199999999998</c:v>
                </c:pt>
                <c:pt idx="5">
                  <c:v>0.52016289999999998</c:v>
                </c:pt>
                <c:pt idx="6">
                  <c:v>0.46405390000000002</c:v>
                </c:pt>
                <c:pt idx="7">
                  <c:v>0.41447149999999999</c:v>
                </c:pt>
                <c:pt idx="8">
                  <c:v>0.34502480000000002</c:v>
                </c:pt>
                <c:pt idx="9">
                  <c:v>0.30213679999999998</c:v>
                </c:pt>
                <c:pt idx="10">
                  <c:v>0.26790979999999998</c:v>
                </c:pt>
                <c:pt idx="11">
                  <c:v>0.23881569999999999</c:v>
                </c:pt>
                <c:pt idx="12">
                  <c:v>0.2284437</c:v>
                </c:pt>
                <c:pt idx="13">
                  <c:v>0.2060535</c:v>
                </c:pt>
                <c:pt idx="14">
                  <c:v>0.1990519</c:v>
                </c:pt>
                <c:pt idx="15">
                  <c:v>0.1904766</c:v>
                </c:pt>
                <c:pt idx="16">
                  <c:v>0.17527580000000001</c:v>
                </c:pt>
                <c:pt idx="17">
                  <c:v>0.17264360000000001</c:v>
                </c:pt>
                <c:pt idx="18">
                  <c:v>0.1645703</c:v>
                </c:pt>
                <c:pt idx="19">
                  <c:v>0.16353110000000001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Chg_T_pos!$A$14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Chg_T_pos!$B$14:$U$14</c:f>
              <c:numCache>
                <c:formatCode>General</c:formatCode>
                <c:ptCount val="20"/>
                <c:pt idx="0">
                  <c:v>3.078649</c:v>
                </c:pt>
                <c:pt idx="1">
                  <c:v>2.3828839999999998</c:v>
                </c:pt>
                <c:pt idx="2">
                  <c:v>1.698545</c:v>
                </c:pt>
                <c:pt idx="3">
                  <c:v>1.3355509999999999</c:v>
                </c:pt>
                <c:pt idx="4">
                  <c:v>1.028993</c:v>
                </c:pt>
                <c:pt idx="5">
                  <c:v>0.86717520000000003</c:v>
                </c:pt>
                <c:pt idx="6">
                  <c:v>0.75319159999999996</c:v>
                </c:pt>
                <c:pt idx="7">
                  <c:v>0.66261490000000001</c:v>
                </c:pt>
                <c:pt idx="8">
                  <c:v>0.59454050000000003</c:v>
                </c:pt>
                <c:pt idx="9">
                  <c:v>0.51281279999999996</c:v>
                </c:pt>
                <c:pt idx="10">
                  <c:v>0.47356389999999998</c:v>
                </c:pt>
                <c:pt idx="11">
                  <c:v>0.4435771</c:v>
                </c:pt>
                <c:pt idx="12">
                  <c:v>0.42092560000000001</c:v>
                </c:pt>
                <c:pt idx="13">
                  <c:v>0.39775500000000003</c:v>
                </c:pt>
                <c:pt idx="14">
                  <c:v>0.38823340000000001</c:v>
                </c:pt>
                <c:pt idx="15">
                  <c:v>0.35743419999999998</c:v>
                </c:pt>
                <c:pt idx="16">
                  <c:v>0.334698</c:v>
                </c:pt>
                <c:pt idx="17">
                  <c:v>0.29931210000000003</c:v>
                </c:pt>
                <c:pt idx="18">
                  <c:v>0.27259359999999999</c:v>
                </c:pt>
                <c:pt idx="19">
                  <c:v>0.2722444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Chg_T_pos!$A$15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Chg_T_pos!$B$15:$U$15</c:f>
              <c:numCache>
                <c:formatCode>General</c:formatCode>
                <c:ptCount val="20"/>
                <c:pt idx="0">
                  <c:v>8.3280580000000004</c:v>
                </c:pt>
                <c:pt idx="1">
                  <c:v>6.7840790000000002</c:v>
                </c:pt>
                <c:pt idx="2">
                  <c:v>5.0225270000000002</c:v>
                </c:pt>
                <c:pt idx="3">
                  <c:v>3.8138770000000002</c:v>
                </c:pt>
                <c:pt idx="4">
                  <c:v>3.002135</c:v>
                </c:pt>
                <c:pt idx="5">
                  <c:v>2.4469020000000001</c:v>
                </c:pt>
                <c:pt idx="6">
                  <c:v>2.065674</c:v>
                </c:pt>
                <c:pt idx="7">
                  <c:v>1.797939</c:v>
                </c:pt>
                <c:pt idx="8">
                  <c:v>1.5929139999999999</c:v>
                </c:pt>
                <c:pt idx="9">
                  <c:v>1.4245969999999999</c:v>
                </c:pt>
                <c:pt idx="10">
                  <c:v>1.3354569999999999</c:v>
                </c:pt>
                <c:pt idx="11">
                  <c:v>1.2752239999999999</c:v>
                </c:pt>
                <c:pt idx="12">
                  <c:v>1.182984</c:v>
                </c:pt>
                <c:pt idx="13">
                  <c:v>1.0416129999999999</c:v>
                </c:pt>
                <c:pt idx="14">
                  <c:v>1.010459</c:v>
                </c:pt>
                <c:pt idx="15">
                  <c:v>0.92156899999999997</c:v>
                </c:pt>
                <c:pt idx="16">
                  <c:v>0.87624579999999996</c:v>
                </c:pt>
                <c:pt idx="17">
                  <c:v>0.83526699999999998</c:v>
                </c:pt>
                <c:pt idx="18">
                  <c:v>0.79806120000000003</c:v>
                </c:pt>
                <c:pt idx="19">
                  <c:v>0.77446729999999997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Chg_T_pos!$A$16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Chg_T_pos!$B$16:$U$16</c:f>
              <c:numCache>
                <c:formatCode>General</c:formatCode>
                <c:ptCount val="20"/>
                <c:pt idx="0">
                  <c:v>6.5916430000000004</c:v>
                </c:pt>
                <c:pt idx="1">
                  <c:v>4.8346210000000003</c:v>
                </c:pt>
                <c:pt idx="2">
                  <c:v>3.5699450000000001</c:v>
                </c:pt>
                <c:pt idx="3">
                  <c:v>2.8544330000000002</c:v>
                </c:pt>
                <c:pt idx="4">
                  <c:v>2.277879</c:v>
                </c:pt>
                <c:pt idx="5">
                  <c:v>1.895095</c:v>
                </c:pt>
                <c:pt idx="6">
                  <c:v>1.6466959999999999</c:v>
                </c:pt>
                <c:pt idx="7">
                  <c:v>1.4742090000000001</c:v>
                </c:pt>
                <c:pt idx="8">
                  <c:v>1.347763</c:v>
                </c:pt>
                <c:pt idx="9">
                  <c:v>1.205775</c:v>
                </c:pt>
                <c:pt idx="10">
                  <c:v>1.1058429999999999</c:v>
                </c:pt>
                <c:pt idx="11">
                  <c:v>1.052335</c:v>
                </c:pt>
                <c:pt idx="12">
                  <c:v>0.97997319999999999</c:v>
                </c:pt>
                <c:pt idx="13">
                  <c:v>0.89301249999999999</c:v>
                </c:pt>
                <c:pt idx="14">
                  <c:v>0.81191659999999999</c:v>
                </c:pt>
                <c:pt idx="15">
                  <c:v>0.78737190000000001</c:v>
                </c:pt>
                <c:pt idx="16">
                  <c:v>0.76093690000000003</c:v>
                </c:pt>
                <c:pt idx="17">
                  <c:v>0.70604769999999994</c:v>
                </c:pt>
                <c:pt idx="18">
                  <c:v>0.67338100000000001</c:v>
                </c:pt>
                <c:pt idx="19">
                  <c:v>0.62636959999999997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Chg_T_pos!$A$17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Chg_T_pos!$B$17:$U$17</c:f>
              <c:numCache>
                <c:formatCode>General</c:formatCode>
                <c:ptCount val="20"/>
                <c:pt idx="0">
                  <c:v>6.9356879999999999</c:v>
                </c:pt>
                <c:pt idx="1">
                  <c:v>5.0945939999999998</c:v>
                </c:pt>
                <c:pt idx="2">
                  <c:v>3.649098</c:v>
                </c:pt>
                <c:pt idx="3">
                  <c:v>2.7572899999999998</c:v>
                </c:pt>
                <c:pt idx="4">
                  <c:v>2.2711700000000001</c:v>
                </c:pt>
                <c:pt idx="5">
                  <c:v>1.8946050000000001</c:v>
                </c:pt>
                <c:pt idx="6">
                  <c:v>1.5643579999999999</c:v>
                </c:pt>
                <c:pt idx="7">
                  <c:v>1.394601</c:v>
                </c:pt>
                <c:pt idx="8">
                  <c:v>1.2099120000000001</c:v>
                </c:pt>
                <c:pt idx="9">
                  <c:v>1.103048</c:v>
                </c:pt>
                <c:pt idx="10">
                  <c:v>0.97969759999999995</c:v>
                </c:pt>
                <c:pt idx="11">
                  <c:v>0.88480210000000004</c:v>
                </c:pt>
                <c:pt idx="12">
                  <c:v>0.84461620000000004</c:v>
                </c:pt>
                <c:pt idx="13">
                  <c:v>0.81427360000000004</c:v>
                </c:pt>
                <c:pt idx="14">
                  <c:v>0.74915290000000001</c:v>
                </c:pt>
                <c:pt idx="15">
                  <c:v>0.70392299999999997</c:v>
                </c:pt>
                <c:pt idx="16">
                  <c:v>0.67830360000000001</c:v>
                </c:pt>
                <c:pt idx="17">
                  <c:v>0.62470840000000005</c:v>
                </c:pt>
                <c:pt idx="18">
                  <c:v>0.59067610000000004</c:v>
                </c:pt>
                <c:pt idx="19">
                  <c:v>0.55732429999999999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Chg_T_pos!$A$18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Chg_T_pos!$B$18:$U$18</c:f>
              <c:numCache>
                <c:formatCode>General</c:formatCode>
                <c:ptCount val="20"/>
                <c:pt idx="0">
                  <c:v>7.5435730000000003</c:v>
                </c:pt>
                <c:pt idx="1">
                  <c:v>5.7297669999999998</c:v>
                </c:pt>
                <c:pt idx="2">
                  <c:v>4.1110309999999997</c:v>
                </c:pt>
                <c:pt idx="3">
                  <c:v>3.1667100000000001</c:v>
                </c:pt>
                <c:pt idx="4">
                  <c:v>2.4911310000000002</c:v>
                </c:pt>
                <c:pt idx="5">
                  <c:v>2.0265919999999999</c:v>
                </c:pt>
                <c:pt idx="6">
                  <c:v>1.759152</c:v>
                </c:pt>
                <c:pt idx="7">
                  <c:v>1.500847</c:v>
                </c:pt>
                <c:pt idx="8">
                  <c:v>1.3096000000000001</c:v>
                </c:pt>
                <c:pt idx="9">
                  <c:v>1.1913260000000001</c:v>
                </c:pt>
                <c:pt idx="10">
                  <c:v>1.0794950000000001</c:v>
                </c:pt>
                <c:pt idx="11">
                  <c:v>1.000958</c:v>
                </c:pt>
                <c:pt idx="12">
                  <c:v>0.97313260000000001</c:v>
                </c:pt>
                <c:pt idx="13">
                  <c:v>0.87624009999999997</c:v>
                </c:pt>
                <c:pt idx="14">
                  <c:v>0.78400000000000003</c:v>
                </c:pt>
                <c:pt idx="15">
                  <c:v>0.74541690000000005</c:v>
                </c:pt>
                <c:pt idx="16">
                  <c:v>0.70529679999999995</c:v>
                </c:pt>
                <c:pt idx="17">
                  <c:v>0.66178440000000005</c:v>
                </c:pt>
                <c:pt idx="18">
                  <c:v>0.63328260000000003</c:v>
                </c:pt>
                <c:pt idx="19">
                  <c:v>0.5976998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Chg_T_pos!$A$19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Chg_T_pos!$B$19:$U$19</c:f>
              <c:numCache>
                <c:formatCode>General</c:formatCode>
                <c:ptCount val="20"/>
                <c:pt idx="0">
                  <c:v>17.29636</c:v>
                </c:pt>
                <c:pt idx="1">
                  <c:v>13.042059999999999</c:v>
                </c:pt>
                <c:pt idx="2">
                  <c:v>9.1805029999999999</c:v>
                </c:pt>
                <c:pt idx="3">
                  <c:v>6.8388289999999996</c:v>
                </c:pt>
                <c:pt idx="4">
                  <c:v>5.2885999999999997</c:v>
                </c:pt>
                <c:pt idx="5">
                  <c:v>4.4107789999999998</c:v>
                </c:pt>
                <c:pt idx="6">
                  <c:v>3.6717230000000001</c:v>
                </c:pt>
                <c:pt idx="7">
                  <c:v>3.170277</c:v>
                </c:pt>
                <c:pt idx="8">
                  <c:v>2.7610890000000001</c:v>
                </c:pt>
                <c:pt idx="9">
                  <c:v>2.4156420000000001</c:v>
                </c:pt>
                <c:pt idx="10">
                  <c:v>2.2168100000000002</c:v>
                </c:pt>
                <c:pt idx="11">
                  <c:v>2.022996</c:v>
                </c:pt>
                <c:pt idx="12">
                  <c:v>1.836929</c:v>
                </c:pt>
                <c:pt idx="13">
                  <c:v>1.701535</c:v>
                </c:pt>
                <c:pt idx="14">
                  <c:v>1.5780369999999999</c:v>
                </c:pt>
                <c:pt idx="15">
                  <c:v>1.5159480000000001</c:v>
                </c:pt>
                <c:pt idx="16">
                  <c:v>1.390574</c:v>
                </c:pt>
                <c:pt idx="17">
                  <c:v>1.315321</c:v>
                </c:pt>
                <c:pt idx="18">
                  <c:v>1.2091240000000001</c:v>
                </c:pt>
                <c:pt idx="19">
                  <c:v>1.1630229999999999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Chg_T_pos!$A$20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Chg_T_pos!$B$20:$U$20</c:f>
              <c:numCache>
                <c:formatCode>General</c:formatCode>
                <c:ptCount val="20"/>
                <c:pt idx="0">
                  <c:v>18.274100000000001</c:v>
                </c:pt>
                <c:pt idx="1">
                  <c:v>14.29973</c:v>
                </c:pt>
                <c:pt idx="2">
                  <c:v>10.0176</c:v>
                </c:pt>
                <c:pt idx="3">
                  <c:v>7.2162369999999996</c:v>
                </c:pt>
                <c:pt idx="4">
                  <c:v>5.6652899999999997</c:v>
                </c:pt>
                <c:pt idx="5">
                  <c:v>4.6527250000000002</c:v>
                </c:pt>
                <c:pt idx="6">
                  <c:v>3.9013390000000001</c:v>
                </c:pt>
                <c:pt idx="7">
                  <c:v>3.4391449999999999</c:v>
                </c:pt>
                <c:pt idx="8">
                  <c:v>3.0543619999999998</c:v>
                </c:pt>
                <c:pt idx="9">
                  <c:v>2.7177470000000001</c:v>
                </c:pt>
                <c:pt idx="10">
                  <c:v>2.4193989999999999</c:v>
                </c:pt>
                <c:pt idx="11">
                  <c:v>2.224221</c:v>
                </c:pt>
                <c:pt idx="12">
                  <c:v>2.045185</c:v>
                </c:pt>
                <c:pt idx="13">
                  <c:v>1.887864</c:v>
                </c:pt>
                <c:pt idx="14">
                  <c:v>1.761261</c:v>
                </c:pt>
                <c:pt idx="15">
                  <c:v>1.6462600000000001</c:v>
                </c:pt>
                <c:pt idx="16">
                  <c:v>1.5617209999999999</c:v>
                </c:pt>
                <c:pt idx="17">
                  <c:v>1.48146</c:v>
                </c:pt>
                <c:pt idx="18">
                  <c:v>1.4123060000000001</c:v>
                </c:pt>
                <c:pt idx="19">
                  <c:v>1.3508420000000001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Chg_T_pos!$A$21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Chg_T_pos!$B$21:$U$21</c:f>
              <c:numCache>
                <c:formatCode>General</c:formatCode>
                <c:ptCount val="20"/>
                <c:pt idx="0">
                  <c:v>18.243500000000001</c:v>
                </c:pt>
                <c:pt idx="1">
                  <c:v>14.261710000000001</c:v>
                </c:pt>
                <c:pt idx="2">
                  <c:v>10.010809999999999</c:v>
                </c:pt>
                <c:pt idx="3">
                  <c:v>7.1754819999999997</c:v>
                </c:pt>
                <c:pt idx="4">
                  <c:v>5.5950030000000002</c:v>
                </c:pt>
                <c:pt idx="5">
                  <c:v>4.6474489999999999</c:v>
                </c:pt>
                <c:pt idx="6">
                  <c:v>3.8292480000000002</c:v>
                </c:pt>
                <c:pt idx="7">
                  <c:v>3.3509669999999998</c:v>
                </c:pt>
                <c:pt idx="8">
                  <c:v>2.9507829999999999</c:v>
                </c:pt>
                <c:pt idx="9">
                  <c:v>2.6708349999999998</c:v>
                </c:pt>
                <c:pt idx="10">
                  <c:v>2.430415</c:v>
                </c:pt>
                <c:pt idx="11">
                  <c:v>2.2126749999999999</c:v>
                </c:pt>
                <c:pt idx="12">
                  <c:v>2.0168200000000001</c:v>
                </c:pt>
                <c:pt idx="13">
                  <c:v>1.906102</c:v>
                </c:pt>
                <c:pt idx="14">
                  <c:v>1.8053330000000001</c:v>
                </c:pt>
                <c:pt idx="15">
                  <c:v>1.68943</c:v>
                </c:pt>
                <c:pt idx="16">
                  <c:v>1.599356</c:v>
                </c:pt>
                <c:pt idx="17">
                  <c:v>1.5169710000000001</c:v>
                </c:pt>
                <c:pt idx="18">
                  <c:v>1.42418</c:v>
                </c:pt>
                <c:pt idx="19">
                  <c:v>1.3735379999999999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Chg_T_pos!$A$22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Chg_T_pos!$B$22:$U$22</c:f>
              <c:numCache>
                <c:formatCode>General</c:formatCode>
                <c:ptCount val="20"/>
                <c:pt idx="0">
                  <c:v>16.53237</c:v>
                </c:pt>
                <c:pt idx="1">
                  <c:v>12.655799999999999</c:v>
                </c:pt>
                <c:pt idx="2">
                  <c:v>8.7920010000000008</c:v>
                </c:pt>
                <c:pt idx="3">
                  <c:v>6.2241869999999997</c:v>
                </c:pt>
                <c:pt idx="4">
                  <c:v>4.8235099999999997</c:v>
                </c:pt>
                <c:pt idx="5">
                  <c:v>4.0114939999999999</c:v>
                </c:pt>
                <c:pt idx="6">
                  <c:v>3.4190640000000001</c:v>
                </c:pt>
                <c:pt idx="7">
                  <c:v>2.935333</c:v>
                </c:pt>
                <c:pt idx="8">
                  <c:v>2.6078359999999998</c:v>
                </c:pt>
                <c:pt idx="9">
                  <c:v>2.286816</c:v>
                </c:pt>
                <c:pt idx="10">
                  <c:v>2.0972789999999999</c:v>
                </c:pt>
                <c:pt idx="11">
                  <c:v>1.894312</c:v>
                </c:pt>
                <c:pt idx="12">
                  <c:v>1.7337389999999999</c:v>
                </c:pt>
                <c:pt idx="13">
                  <c:v>1.638701</c:v>
                </c:pt>
                <c:pt idx="14">
                  <c:v>1.564727</c:v>
                </c:pt>
                <c:pt idx="15">
                  <c:v>1.487986</c:v>
                </c:pt>
                <c:pt idx="16">
                  <c:v>1.420013</c:v>
                </c:pt>
                <c:pt idx="17">
                  <c:v>1.3380259999999999</c:v>
                </c:pt>
                <c:pt idx="18">
                  <c:v>1.2865549999999999</c:v>
                </c:pt>
                <c:pt idx="19">
                  <c:v>1.21591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Chg_T_pos!$A$23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Chg_T_pos!$B$23:$U$23</c:f>
              <c:numCache>
                <c:formatCode>General</c:formatCode>
                <c:ptCount val="20"/>
                <c:pt idx="0">
                  <c:v>18.204149999999998</c:v>
                </c:pt>
                <c:pt idx="1">
                  <c:v>14.33039</c:v>
                </c:pt>
                <c:pt idx="2">
                  <c:v>9.9924909999999993</c:v>
                </c:pt>
                <c:pt idx="3">
                  <c:v>7.1220509999999999</c:v>
                </c:pt>
                <c:pt idx="4">
                  <c:v>5.5671010000000001</c:v>
                </c:pt>
                <c:pt idx="5">
                  <c:v>4.6191560000000003</c:v>
                </c:pt>
                <c:pt idx="6">
                  <c:v>3.8642020000000001</c:v>
                </c:pt>
                <c:pt idx="7">
                  <c:v>3.400461</c:v>
                </c:pt>
                <c:pt idx="8">
                  <c:v>3.0406580000000001</c:v>
                </c:pt>
                <c:pt idx="9">
                  <c:v>2.6787830000000001</c:v>
                </c:pt>
                <c:pt idx="10">
                  <c:v>2.4101460000000001</c:v>
                </c:pt>
                <c:pt idx="11">
                  <c:v>2.2089940000000001</c:v>
                </c:pt>
                <c:pt idx="12">
                  <c:v>2.0286029999999999</c:v>
                </c:pt>
                <c:pt idx="13">
                  <c:v>1.9082220000000001</c:v>
                </c:pt>
                <c:pt idx="14">
                  <c:v>1.813299</c:v>
                </c:pt>
                <c:pt idx="15">
                  <c:v>1.676887</c:v>
                </c:pt>
                <c:pt idx="16">
                  <c:v>1.546133</c:v>
                </c:pt>
                <c:pt idx="17">
                  <c:v>1.459211</c:v>
                </c:pt>
                <c:pt idx="18">
                  <c:v>1.417144</c:v>
                </c:pt>
                <c:pt idx="19">
                  <c:v>1.3660289999999999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Chg_T_pos!$A$24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Chg_T_pos!$B$24:$U$24</c:f>
              <c:numCache>
                <c:formatCode>General</c:formatCode>
                <c:ptCount val="20"/>
                <c:pt idx="0">
                  <c:v>16.936969999999999</c:v>
                </c:pt>
                <c:pt idx="1">
                  <c:v>12.883279999999999</c:v>
                </c:pt>
                <c:pt idx="2">
                  <c:v>8.8712619999999998</c:v>
                </c:pt>
                <c:pt idx="3">
                  <c:v>6.3744959999999997</c:v>
                </c:pt>
                <c:pt idx="4">
                  <c:v>4.9660359999999999</c:v>
                </c:pt>
                <c:pt idx="5">
                  <c:v>4.1683490000000001</c:v>
                </c:pt>
                <c:pt idx="6">
                  <c:v>3.4443000000000001</c:v>
                </c:pt>
                <c:pt idx="7">
                  <c:v>3.1099969999999999</c:v>
                </c:pt>
                <c:pt idx="8">
                  <c:v>2.6971579999999999</c:v>
                </c:pt>
                <c:pt idx="9">
                  <c:v>2.382104</c:v>
                </c:pt>
                <c:pt idx="10">
                  <c:v>2.1553719999999998</c:v>
                </c:pt>
                <c:pt idx="11">
                  <c:v>1.9781500000000001</c:v>
                </c:pt>
                <c:pt idx="12">
                  <c:v>1.8027029999999999</c:v>
                </c:pt>
                <c:pt idx="13">
                  <c:v>1.680213</c:v>
                </c:pt>
                <c:pt idx="14">
                  <c:v>1.562073</c:v>
                </c:pt>
                <c:pt idx="15">
                  <c:v>1.4863919999999999</c:v>
                </c:pt>
                <c:pt idx="16">
                  <c:v>1.3857010000000001</c:v>
                </c:pt>
                <c:pt idx="17">
                  <c:v>1.3199369999999999</c:v>
                </c:pt>
                <c:pt idx="18">
                  <c:v>1.241055</c:v>
                </c:pt>
                <c:pt idx="19">
                  <c:v>1.187133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Chg_T_pos!$A$25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Chg_T_pos!$B$25:$U$25</c:f>
              <c:numCache>
                <c:formatCode>General</c:formatCode>
                <c:ptCount val="20"/>
                <c:pt idx="0">
                  <c:v>18.145849999999999</c:v>
                </c:pt>
                <c:pt idx="1">
                  <c:v>14.162229999999999</c:v>
                </c:pt>
                <c:pt idx="2">
                  <c:v>9.9198590000000006</c:v>
                </c:pt>
                <c:pt idx="3">
                  <c:v>7.1504799999999999</c:v>
                </c:pt>
                <c:pt idx="4">
                  <c:v>5.6495040000000003</c:v>
                </c:pt>
                <c:pt idx="5">
                  <c:v>4.6120380000000001</c:v>
                </c:pt>
                <c:pt idx="6">
                  <c:v>3.817399</c:v>
                </c:pt>
                <c:pt idx="7">
                  <c:v>3.312897</c:v>
                </c:pt>
                <c:pt idx="8">
                  <c:v>2.9762369999999998</c:v>
                </c:pt>
                <c:pt idx="9">
                  <c:v>2.6986789999999998</c:v>
                </c:pt>
                <c:pt idx="10">
                  <c:v>2.4612479999999999</c:v>
                </c:pt>
                <c:pt idx="11">
                  <c:v>2.2591939999999999</c:v>
                </c:pt>
                <c:pt idx="12">
                  <c:v>2.0905740000000002</c:v>
                </c:pt>
                <c:pt idx="13">
                  <c:v>1.96261</c:v>
                </c:pt>
                <c:pt idx="14">
                  <c:v>1.779666</c:v>
                </c:pt>
                <c:pt idx="15">
                  <c:v>1.6333610000000001</c:v>
                </c:pt>
                <c:pt idx="16">
                  <c:v>1.5676810000000001</c:v>
                </c:pt>
                <c:pt idx="17">
                  <c:v>1.451676</c:v>
                </c:pt>
                <c:pt idx="18">
                  <c:v>1.3879509999999999</c:v>
                </c:pt>
                <c:pt idx="19">
                  <c:v>1.344832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Chg_T_pos!$A$26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Chg_T_pos!$B$26:$U$26</c:f>
              <c:numCache>
                <c:formatCode>General</c:formatCode>
                <c:ptCount val="20"/>
                <c:pt idx="0">
                  <c:v>13.57255</c:v>
                </c:pt>
                <c:pt idx="1">
                  <c:v>10.376329999999999</c:v>
                </c:pt>
                <c:pt idx="2">
                  <c:v>7.7091269999999996</c:v>
                </c:pt>
                <c:pt idx="3">
                  <c:v>5.770988</c:v>
                </c:pt>
                <c:pt idx="4">
                  <c:v>4.5868679999999999</c:v>
                </c:pt>
                <c:pt idx="5">
                  <c:v>3.8447680000000002</c:v>
                </c:pt>
                <c:pt idx="6">
                  <c:v>3.2611279999999998</c:v>
                </c:pt>
                <c:pt idx="7">
                  <c:v>2.8140879999999999</c:v>
                </c:pt>
                <c:pt idx="8">
                  <c:v>2.5290520000000001</c:v>
                </c:pt>
                <c:pt idx="9">
                  <c:v>2.2672599999999998</c:v>
                </c:pt>
                <c:pt idx="10">
                  <c:v>2.0260379999999998</c:v>
                </c:pt>
                <c:pt idx="11">
                  <c:v>1.897349</c:v>
                </c:pt>
                <c:pt idx="12">
                  <c:v>1.7538069999999999</c:v>
                </c:pt>
                <c:pt idx="13">
                  <c:v>1.6022369999999999</c:v>
                </c:pt>
                <c:pt idx="14">
                  <c:v>1.5138799999999999</c:v>
                </c:pt>
                <c:pt idx="15">
                  <c:v>1.4162440000000001</c:v>
                </c:pt>
                <c:pt idx="16">
                  <c:v>1.3194060000000001</c:v>
                </c:pt>
                <c:pt idx="17">
                  <c:v>1.252904</c:v>
                </c:pt>
                <c:pt idx="18">
                  <c:v>1.179613</c:v>
                </c:pt>
                <c:pt idx="19">
                  <c:v>1.1150059999999999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Chg_T_pos!$A$27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Chg_T_pos!$B$27:$U$27</c:f>
              <c:numCache>
                <c:formatCode>General</c:formatCode>
                <c:ptCount val="20"/>
                <c:pt idx="0">
                  <c:v>17.076029999999999</c:v>
                </c:pt>
                <c:pt idx="1">
                  <c:v>13.02605</c:v>
                </c:pt>
                <c:pt idx="2">
                  <c:v>8.6801150000000007</c:v>
                </c:pt>
                <c:pt idx="3">
                  <c:v>6.0663629999999999</c:v>
                </c:pt>
                <c:pt idx="4">
                  <c:v>4.6855869999999999</c:v>
                </c:pt>
                <c:pt idx="5">
                  <c:v>3.8339500000000002</c:v>
                </c:pt>
                <c:pt idx="6">
                  <c:v>3.301183</c:v>
                </c:pt>
                <c:pt idx="7">
                  <c:v>2.8337180000000002</c:v>
                </c:pt>
                <c:pt idx="8">
                  <c:v>2.4861369999999998</c:v>
                </c:pt>
                <c:pt idx="9">
                  <c:v>2.2005180000000002</c:v>
                </c:pt>
                <c:pt idx="10">
                  <c:v>2.0276209999999999</c:v>
                </c:pt>
                <c:pt idx="11">
                  <c:v>1.848735</c:v>
                </c:pt>
                <c:pt idx="12">
                  <c:v>1.7291570000000001</c:v>
                </c:pt>
                <c:pt idx="13">
                  <c:v>1.6070549999999999</c:v>
                </c:pt>
                <c:pt idx="14">
                  <c:v>1.475754</c:v>
                </c:pt>
                <c:pt idx="15">
                  <c:v>1.385999</c:v>
                </c:pt>
                <c:pt idx="16">
                  <c:v>1.3041640000000001</c:v>
                </c:pt>
                <c:pt idx="17">
                  <c:v>1.2119439999999999</c:v>
                </c:pt>
                <c:pt idx="18">
                  <c:v>1.156714</c:v>
                </c:pt>
                <c:pt idx="19">
                  <c:v>1.127429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Chg_T_pos!$A$28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Chg_T_pos!$B$28:$U$28</c:f>
              <c:numCache>
                <c:formatCode>General</c:formatCode>
                <c:ptCount val="20"/>
                <c:pt idx="0">
                  <c:v>17.034870000000002</c:v>
                </c:pt>
                <c:pt idx="1">
                  <c:v>13.17498</c:v>
                </c:pt>
                <c:pt idx="2">
                  <c:v>9.2099899999999995</c:v>
                </c:pt>
                <c:pt idx="3">
                  <c:v>6.675141</c:v>
                </c:pt>
                <c:pt idx="4">
                  <c:v>5.2685310000000003</c:v>
                </c:pt>
                <c:pt idx="5">
                  <c:v>4.3819629999999998</c:v>
                </c:pt>
                <c:pt idx="6">
                  <c:v>3.699678</c:v>
                </c:pt>
                <c:pt idx="7">
                  <c:v>3.200628</c:v>
                </c:pt>
                <c:pt idx="8">
                  <c:v>2.9098109999999999</c:v>
                </c:pt>
                <c:pt idx="9">
                  <c:v>2.6503040000000002</c:v>
                </c:pt>
                <c:pt idx="10">
                  <c:v>2.401484</c:v>
                </c:pt>
                <c:pt idx="11">
                  <c:v>2.1967660000000002</c:v>
                </c:pt>
                <c:pt idx="12">
                  <c:v>2.028559</c:v>
                </c:pt>
                <c:pt idx="13">
                  <c:v>1.893967</c:v>
                </c:pt>
                <c:pt idx="14">
                  <c:v>1.7591619999999999</c:v>
                </c:pt>
                <c:pt idx="15">
                  <c:v>1.59924</c:v>
                </c:pt>
                <c:pt idx="16">
                  <c:v>1.5212330000000001</c:v>
                </c:pt>
                <c:pt idx="17">
                  <c:v>1.4363360000000001</c:v>
                </c:pt>
                <c:pt idx="18">
                  <c:v>1.3651120000000001</c:v>
                </c:pt>
                <c:pt idx="19">
                  <c:v>1.314111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Chg_T_pos!$A$29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Chg_T_pos!$B$29:$U$29</c:f>
              <c:numCache>
                <c:formatCode>General</c:formatCode>
                <c:ptCount val="20"/>
                <c:pt idx="0">
                  <c:v>19.042560000000002</c:v>
                </c:pt>
                <c:pt idx="1">
                  <c:v>14.42371</c:v>
                </c:pt>
                <c:pt idx="2">
                  <c:v>10.05278</c:v>
                </c:pt>
                <c:pt idx="3">
                  <c:v>7.1647020000000001</c:v>
                </c:pt>
                <c:pt idx="4">
                  <c:v>5.6373550000000003</c:v>
                </c:pt>
                <c:pt idx="5">
                  <c:v>4.5788450000000003</c:v>
                </c:pt>
                <c:pt idx="6">
                  <c:v>3.7812860000000001</c:v>
                </c:pt>
                <c:pt idx="7">
                  <c:v>3.1982059999999999</c:v>
                </c:pt>
                <c:pt idx="8">
                  <c:v>2.7869830000000002</c:v>
                </c:pt>
                <c:pt idx="9">
                  <c:v>2.4716680000000002</c:v>
                </c:pt>
                <c:pt idx="10">
                  <c:v>2.2329409999999998</c:v>
                </c:pt>
                <c:pt idx="11">
                  <c:v>2.0438109999999998</c:v>
                </c:pt>
                <c:pt idx="12">
                  <c:v>1.8292740000000001</c:v>
                </c:pt>
                <c:pt idx="13">
                  <c:v>1.6471690000000001</c:v>
                </c:pt>
                <c:pt idx="14">
                  <c:v>1.5084090000000001</c:v>
                </c:pt>
                <c:pt idx="15">
                  <c:v>1.420588</c:v>
                </c:pt>
                <c:pt idx="16">
                  <c:v>1.3486119999999999</c:v>
                </c:pt>
                <c:pt idx="17">
                  <c:v>1.2676460000000001</c:v>
                </c:pt>
                <c:pt idx="18">
                  <c:v>1.2263379999999999</c:v>
                </c:pt>
                <c:pt idx="19">
                  <c:v>1.180642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Chg_T_pos!$A$30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Chg_T_pos!$B$30:$U$30</c:f>
              <c:numCache>
                <c:formatCode>General</c:formatCode>
                <c:ptCount val="20"/>
                <c:pt idx="0">
                  <c:v>14.67642</c:v>
                </c:pt>
                <c:pt idx="1">
                  <c:v>9.858625</c:v>
                </c:pt>
                <c:pt idx="2">
                  <c:v>5.6152499999999996</c:v>
                </c:pt>
                <c:pt idx="3">
                  <c:v>3.7091340000000002</c:v>
                </c:pt>
                <c:pt idx="4">
                  <c:v>2.7291189999999999</c:v>
                </c:pt>
                <c:pt idx="5">
                  <c:v>2.0514139999999998</c:v>
                </c:pt>
                <c:pt idx="6">
                  <c:v>1.6859310000000001</c:v>
                </c:pt>
                <c:pt idx="7">
                  <c:v>1.4192640000000001</c:v>
                </c:pt>
                <c:pt idx="8">
                  <c:v>1.2030620000000001</c:v>
                </c:pt>
                <c:pt idx="9">
                  <c:v>1.0849869999999999</c:v>
                </c:pt>
                <c:pt idx="10">
                  <c:v>0.96187780000000001</c:v>
                </c:pt>
                <c:pt idx="11">
                  <c:v>0.7980064</c:v>
                </c:pt>
                <c:pt idx="12">
                  <c:v>0.7247671</c:v>
                </c:pt>
                <c:pt idx="13">
                  <c:v>0.63314000000000004</c:v>
                </c:pt>
                <c:pt idx="14">
                  <c:v>0.56384889999999999</c:v>
                </c:pt>
                <c:pt idx="15">
                  <c:v>0.51843470000000003</c:v>
                </c:pt>
                <c:pt idx="16">
                  <c:v>0.48801650000000002</c:v>
                </c:pt>
                <c:pt idx="17">
                  <c:v>0.45521470000000003</c:v>
                </c:pt>
                <c:pt idx="18">
                  <c:v>0.43324829999999998</c:v>
                </c:pt>
                <c:pt idx="19">
                  <c:v>0.41948360000000001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Chg_T_pos!$A$31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Chg_T_pos!$B$31:$U$31</c:f>
              <c:numCache>
                <c:formatCode>General</c:formatCode>
                <c:ptCount val="20"/>
                <c:pt idx="0">
                  <c:v>18.07047</c:v>
                </c:pt>
                <c:pt idx="1">
                  <c:v>12.327220000000001</c:v>
                </c:pt>
                <c:pt idx="2">
                  <c:v>7.9151499999999997</c:v>
                </c:pt>
                <c:pt idx="3">
                  <c:v>5.6526820000000004</c:v>
                </c:pt>
                <c:pt idx="4">
                  <c:v>4.4493819999999999</c:v>
                </c:pt>
                <c:pt idx="5">
                  <c:v>3.6255480000000002</c:v>
                </c:pt>
                <c:pt idx="6">
                  <c:v>3.1096309999999998</c:v>
                </c:pt>
                <c:pt idx="7">
                  <c:v>2.7317330000000002</c:v>
                </c:pt>
                <c:pt idx="8">
                  <c:v>2.373135</c:v>
                </c:pt>
                <c:pt idx="9">
                  <c:v>2.1312220000000002</c:v>
                </c:pt>
                <c:pt idx="10">
                  <c:v>1.9481740000000001</c:v>
                </c:pt>
                <c:pt idx="11">
                  <c:v>1.8221240000000001</c:v>
                </c:pt>
                <c:pt idx="12">
                  <c:v>1.6611860000000001</c:v>
                </c:pt>
                <c:pt idx="13">
                  <c:v>1.5566120000000001</c:v>
                </c:pt>
                <c:pt idx="14">
                  <c:v>1.432024</c:v>
                </c:pt>
                <c:pt idx="15">
                  <c:v>1.3005500000000001</c:v>
                </c:pt>
                <c:pt idx="16">
                  <c:v>1.2446630000000001</c:v>
                </c:pt>
                <c:pt idx="17">
                  <c:v>1.1406769999999999</c:v>
                </c:pt>
                <c:pt idx="18">
                  <c:v>1.0879430000000001</c:v>
                </c:pt>
                <c:pt idx="19">
                  <c:v>1.0329660000000001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Chg_T_pos!$A$32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Chg_T_pos!$B$32:$U$32</c:f>
              <c:numCache>
                <c:formatCode>General</c:formatCode>
                <c:ptCount val="20"/>
                <c:pt idx="0">
                  <c:v>14.99183</c:v>
                </c:pt>
                <c:pt idx="1">
                  <c:v>10.65985</c:v>
                </c:pt>
                <c:pt idx="2">
                  <c:v>6.936928</c:v>
                </c:pt>
                <c:pt idx="3">
                  <c:v>5.0607119999999997</c:v>
                </c:pt>
                <c:pt idx="4">
                  <c:v>4.1143159999999996</c:v>
                </c:pt>
                <c:pt idx="5">
                  <c:v>3.2541579999999999</c:v>
                </c:pt>
                <c:pt idx="6">
                  <c:v>2.7665709999999999</c:v>
                </c:pt>
                <c:pt idx="7">
                  <c:v>2.3826960000000001</c:v>
                </c:pt>
                <c:pt idx="8">
                  <c:v>2.024562</c:v>
                </c:pt>
                <c:pt idx="9">
                  <c:v>1.781625</c:v>
                </c:pt>
                <c:pt idx="10">
                  <c:v>1.631928</c:v>
                </c:pt>
                <c:pt idx="11">
                  <c:v>1.513962</c:v>
                </c:pt>
                <c:pt idx="12">
                  <c:v>1.391243</c:v>
                </c:pt>
                <c:pt idx="13">
                  <c:v>1.3071269999999999</c:v>
                </c:pt>
                <c:pt idx="14">
                  <c:v>1.18526</c:v>
                </c:pt>
                <c:pt idx="15">
                  <c:v>1.1556150000000001</c:v>
                </c:pt>
                <c:pt idx="16">
                  <c:v>1.113653</c:v>
                </c:pt>
                <c:pt idx="17">
                  <c:v>1.0154479999999999</c:v>
                </c:pt>
                <c:pt idx="18">
                  <c:v>0.92837720000000001</c:v>
                </c:pt>
                <c:pt idx="19">
                  <c:v>0.89309059999999996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Chg_T_pos!$A$33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Chg_T_pos!$B$33:$U$33</c:f>
              <c:numCache>
                <c:formatCode>General</c:formatCode>
                <c:ptCount val="20"/>
                <c:pt idx="0">
                  <c:v>15.17445</c:v>
                </c:pt>
                <c:pt idx="1">
                  <c:v>10.541829999999999</c:v>
                </c:pt>
                <c:pt idx="2">
                  <c:v>6.9547350000000003</c:v>
                </c:pt>
                <c:pt idx="3">
                  <c:v>5.0611280000000001</c:v>
                </c:pt>
                <c:pt idx="4">
                  <c:v>3.8757160000000002</c:v>
                </c:pt>
                <c:pt idx="5">
                  <c:v>3.208037</c:v>
                </c:pt>
                <c:pt idx="6">
                  <c:v>2.6843759999999999</c:v>
                </c:pt>
                <c:pt idx="7">
                  <c:v>2.3329270000000002</c:v>
                </c:pt>
                <c:pt idx="8">
                  <c:v>2.0419119999999999</c:v>
                </c:pt>
                <c:pt idx="9">
                  <c:v>1.8257190000000001</c:v>
                </c:pt>
                <c:pt idx="10">
                  <c:v>1.6560360000000001</c:v>
                </c:pt>
                <c:pt idx="11">
                  <c:v>1.487887</c:v>
                </c:pt>
                <c:pt idx="12">
                  <c:v>1.3964270000000001</c:v>
                </c:pt>
                <c:pt idx="13">
                  <c:v>1.2871840000000001</c:v>
                </c:pt>
                <c:pt idx="14">
                  <c:v>1.184053</c:v>
                </c:pt>
                <c:pt idx="15">
                  <c:v>1.091566</c:v>
                </c:pt>
                <c:pt idx="16">
                  <c:v>1.0176890000000001</c:v>
                </c:pt>
                <c:pt idx="17">
                  <c:v>0.95836370000000004</c:v>
                </c:pt>
                <c:pt idx="18">
                  <c:v>0.90863419999999995</c:v>
                </c:pt>
                <c:pt idx="19">
                  <c:v>0.87403580000000003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Chg_T_pos!$A$34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Chg_T_pos!$B$34:$U$34</c:f>
              <c:numCache>
                <c:formatCode>General</c:formatCode>
                <c:ptCount val="20"/>
                <c:pt idx="0">
                  <c:v>15.049300000000001</c:v>
                </c:pt>
                <c:pt idx="1">
                  <c:v>10.50461</c:v>
                </c:pt>
                <c:pt idx="2">
                  <c:v>6.829034</c:v>
                </c:pt>
                <c:pt idx="3">
                  <c:v>5.0598879999999999</c:v>
                </c:pt>
                <c:pt idx="4">
                  <c:v>3.899581</c:v>
                </c:pt>
                <c:pt idx="5">
                  <c:v>3.165473</c:v>
                </c:pt>
                <c:pt idx="6">
                  <c:v>2.6842109999999999</c:v>
                </c:pt>
                <c:pt idx="7">
                  <c:v>2.272189</c:v>
                </c:pt>
                <c:pt idx="8">
                  <c:v>1.9786250000000001</c:v>
                </c:pt>
                <c:pt idx="9">
                  <c:v>1.801145</c:v>
                </c:pt>
                <c:pt idx="10">
                  <c:v>1.6197889999999999</c:v>
                </c:pt>
                <c:pt idx="11">
                  <c:v>1.434083</c:v>
                </c:pt>
                <c:pt idx="12">
                  <c:v>1.346414</c:v>
                </c:pt>
                <c:pt idx="13">
                  <c:v>1.2540610000000001</c:v>
                </c:pt>
                <c:pt idx="14">
                  <c:v>1.1908019999999999</c:v>
                </c:pt>
                <c:pt idx="15">
                  <c:v>1.1107009999999999</c:v>
                </c:pt>
                <c:pt idx="16">
                  <c:v>1.033757</c:v>
                </c:pt>
                <c:pt idx="17">
                  <c:v>0.94695929999999995</c:v>
                </c:pt>
                <c:pt idx="18">
                  <c:v>0.89761089999999999</c:v>
                </c:pt>
                <c:pt idx="19">
                  <c:v>0.85796519999999998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Chg_T_pos!$A$35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Chg_T_pos!$B$35:$U$35</c:f>
              <c:numCache>
                <c:formatCode>General</c:formatCode>
                <c:ptCount val="20"/>
                <c:pt idx="0">
                  <c:v>33.821869999999997</c:v>
                </c:pt>
                <c:pt idx="1">
                  <c:v>24.946870000000001</c:v>
                </c:pt>
                <c:pt idx="2">
                  <c:v>17.114940000000001</c:v>
                </c:pt>
                <c:pt idx="3">
                  <c:v>12.587350000000001</c:v>
                </c:pt>
                <c:pt idx="4">
                  <c:v>9.8032749999999993</c:v>
                </c:pt>
                <c:pt idx="5">
                  <c:v>7.81616</c:v>
                </c:pt>
                <c:pt idx="6">
                  <c:v>6.6517270000000002</c:v>
                </c:pt>
                <c:pt idx="7">
                  <c:v>5.6005330000000004</c:v>
                </c:pt>
                <c:pt idx="8">
                  <c:v>4.7726379999999997</c:v>
                </c:pt>
                <c:pt idx="9">
                  <c:v>4.1167660000000001</c:v>
                </c:pt>
                <c:pt idx="10">
                  <c:v>3.630995</c:v>
                </c:pt>
                <c:pt idx="11">
                  <c:v>3.2071749999999999</c:v>
                </c:pt>
                <c:pt idx="12">
                  <c:v>2.847404</c:v>
                </c:pt>
                <c:pt idx="13">
                  <c:v>2.5712109999999999</c:v>
                </c:pt>
                <c:pt idx="14">
                  <c:v>2.3645779999999998</c:v>
                </c:pt>
                <c:pt idx="15">
                  <c:v>2.2006260000000002</c:v>
                </c:pt>
                <c:pt idx="16">
                  <c:v>2.0192920000000001</c:v>
                </c:pt>
                <c:pt idx="17">
                  <c:v>1.939025</c:v>
                </c:pt>
                <c:pt idx="18">
                  <c:v>1.8188310000000001</c:v>
                </c:pt>
                <c:pt idx="19">
                  <c:v>1.738777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Chg_T_pos!$A$36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Chg_T_pos!$B$36:$U$36</c:f>
              <c:numCache>
                <c:formatCode>General</c:formatCode>
                <c:ptCount val="20"/>
                <c:pt idx="0">
                  <c:v>35.815600000000003</c:v>
                </c:pt>
                <c:pt idx="1">
                  <c:v>26.73629</c:v>
                </c:pt>
                <c:pt idx="2">
                  <c:v>18.803879999999999</c:v>
                </c:pt>
                <c:pt idx="3">
                  <c:v>14.02361</c:v>
                </c:pt>
                <c:pt idx="4">
                  <c:v>11.13794</c:v>
                </c:pt>
                <c:pt idx="5">
                  <c:v>9.1294219999999999</c:v>
                </c:pt>
                <c:pt idx="6">
                  <c:v>7.693676</c:v>
                </c:pt>
                <c:pt idx="7">
                  <c:v>6.5723779999999996</c:v>
                </c:pt>
                <c:pt idx="8">
                  <c:v>5.5890339999999998</c:v>
                </c:pt>
                <c:pt idx="9">
                  <c:v>4.9913650000000001</c:v>
                </c:pt>
                <c:pt idx="10">
                  <c:v>4.4234429999999998</c:v>
                </c:pt>
                <c:pt idx="11">
                  <c:v>3.963959</c:v>
                </c:pt>
                <c:pt idx="12">
                  <c:v>3.6446260000000001</c:v>
                </c:pt>
                <c:pt idx="13">
                  <c:v>3.2726510000000002</c:v>
                </c:pt>
                <c:pt idx="14">
                  <c:v>2.9632360000000002</c:v>
                </c:pt>
                <c:pt idx="15">
                  <c:v>2.764087</c:v>
                </c:pt>
                <c:pt idx="16">
                  <c:v>2.5226259999999998</c:v>
                </c:pt>
                <c:pt idx="17">
                  <c:v>2.3671259999999998</c:v>
                </c:pt>
                <c:pt idx="18">
                  <c:v>2.2096309999999999</c:v>
                </c:pt>
                <c:pt idx="19">
                  <c:v>2.0593279999999998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Chg_T_pos!$A$37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Chg_T_pos!$B$2:$U$2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Chg_T_pos!$B$37:$U$37</c:f>
              <c:numCache>
                <c:formatCode>General</c:formatCode>
                <c:ptCount val="20"/>
                <c:pt idx="0">
                  <c:v>41.994790000000002</c:v>
                </c:pt>
                <c:pt idx="1">
                  <c:v>32.39817</c:v>
                </c:pt>
                <c:pt idx="2">
                  <c:v>23.76915</c:v>
                </c:pt>
                <c:pt idx="3">
                  <c:v>18.345009999999998</c:v>
                </c:pt>
                <c:pt idx="4">
                  <c:v>14.86261</c:v>
                </c:pt>
                <c:pt idx="5">
                  <c:v>12.42074</c:v>
                </c:pt>
                <c:pt idx="6">
                  <c:v>10.41771</c:v>
                </c:pt>
                <c:pt idx="7">
                  <c:v>8.9425570000000008</c:v>
                </c:pt>
                <c:pt idx="8">
                  <c:v>7.660628</c:v>
                </c:pt>
                <c:pt idx="9">
                  <c:v>6.6941800000000002</c:v>
                </c:pt>
                <c:pt idx="10">
                  <c:v>5.9719470000000001</c:v>
                </c:pt>
                <c:pt idx="11">
                  <c:v>5.2457019999999996</c:v>
                </c:pt>
                <c:pt idx="12">
                  <c:v>4.702172</c:v>
                </c:pt>
                <c:pt idx="13">
                  <c:v>4.2403880000000003</c:v>
                </c:pt>
                <c:pt idx="14">
                  <c:v>3.932976</c:v>
                </c:pt>
                <c:pt idx="15">
                  <c:v>3.5886140000000002</c:v>
                </c:pt>
                <c:pt idx="16">
                  <c:v>3.2799809999999998</c:v>
                </c:pt>
                <c:pt idx="17">
                  <c:v>3.0751469999999999</c:v>
                </c:pt>
                <c:pt idx="18">
                  <c:v>3.0305309999999999</c:v>
                </c:pt>
                <c:pt idx="19">
                  <c:v>2.8749180000000001</c:v>
                </c:pt>
              </c:numCache>
            </c:numRef>
          </c:yVal>
          <c:smooth val="1"/>
        </c:ser>
        <c:axId val="83736064"/>
        <c:axId val="83737984"/>
      </c:scatterChart>
      <c:valAx>
        <c:axId val="8373606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737984"/>
        <c:crosses val="autoZero"/>
        <c:crossBetween val="midCat"/>
      </c:valAx>
      <c:valAx>
        <c:axId val="83737984"/>
        <c:scaling>
          <c:orientation val="minMax"/>
        </c:scaling>
        <c:axPos val="l"/>
        <c:numFmt formatCode="General" sourceLinked="1"/>
        <c:tickLblPos val="nextTo"/>
        <c:crossAx val="83736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855033523653143"/>
          <c:y val="1.8817190019922211E-2"/>
          <c:w val="0.28059525734638618"/>
          <c:h val="0.84255004269044687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Chg_pos_A!$B$3:$U$3</c:f>
              <c:numCache>
                <c:formatCode>General</c:formatCode>
                <c:ptCount val="20"/>
                <c:pt idx="0">
                  <c:v>385.27800000000002</c:v>
                </c:pt>
                <c:pt idx="1">
                  <c:v>278.51080000000002</c:v>
                </c:pt>
                <c:pt idx="2">
                  <c:v>195.49959999999999</c:v>
                </c:pt>
                <c:pt idx="3">
                  <c:v>153.18620000000001</c:v>
                </c:pt>
                <c:pt idx="4">
                  <c:v>120.358</c:v>
                </c:pt>
                <c:pt idx="5">
                  <c:v>102.9888</c:v>
                </c:pt>
                <c:pt idx="6">
                  <c:v>91.206980000000001</c:v>
                </c:pt>
                <c:pt idx="7">
                  <c:v>81.315960000000004</c:v>
                </c:pt>
                <c:pt idx="8">
                  <c:v>73.493930000000006</c:v>
                </c:pt>
                <c:pt idx="9">
                  <c:v>67.629959999999997</c:v>
                </c:pt>
                <c:pt idx="10">
                  <c:v>59.916989999999998</c:v>
                </c:pt>
                <c:pt idx="11">
                  <c:v>55.334980000000002</c:v>
                </c:pt>
                <c:pt idx="12">
                  <c:v>52.447989999999997</c:v>
                </c:pt>
                <c:pt idx="13">
                  <c:v>50.302970000000002</c:v>
                </c:pt>
                <c:pt idx="14">
                  <c:v>46.778970000000001</c:v>
                </c:pt>
                <c:pt idx="15">
                  <c:v>43.244979999999998</c:v>
                </c:pt>
                <c:pt idx="16">
                  <c:v>40.86497</c:v>
                </c:pt>
                <c:pt idx="17">
                  <c:v>39.678989999999999</c:v>
                </c:pt>
                <c:pt idx="18">
                  <c:v>38.640979999999999</c:v>
                </c:pt>
                <c:pt idx="19">
                  <c:v>40.067979999999999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Chg_pos_A!$B$21:$U$21</c:f>
              <c:numCache>
                <c:formatCode>General</c:formatCode>
                <c:ptCount val="20"/>
                <c:pt idx="0">
                  <c:v>1523.163</c:v>
                </c:pt>
                <c:pt idx="1">
                  <c:v>1057.0719999999999</c:v>
                </c:pt>
                <c:pt idx="2">
                  <c:v>686.65970000000004</c:v>
                </c:pt>
                <c:pt idx="3">
                  <c:v>481.87099999999998</c:v>
                </c:pt>
                <c:pt idx="4">
                  <c:v>370.673</c:v>
                </c:pt>
                <c:pt idx="5">
                  <c:v>304.7158</c:v>
                </c:pt>
                <c:pt idx="6">
                  <c:v>249.3058</c:v>
                </c:pt>
                <c:pt idx="7">
                  <c:v>214.7868</c:v>
                </c:pt>
                <c:pt idx="8">
                  <c:v>188.3391</c:v>
                </c:pt>
                <c:pt idx="9">
                  <c:v>168.73560000000001</c:v>
                </c:pt>
                <c:pt idx="10">
                  <c:v>151.35390000000001</c:v>
                </c:pt>
                <c:pt idx="11">
                  <c:v>137.80199999999999</c:v>
                </c:pt>
                <c:pt idx="12">
                  <c:v>125.688</c:v>
                </c:pt>
                <c:pt idx="13">
                  <c:v>115.992</c:v>
                </c:pt>
                <c:pt idx="14">
                  <c:v>108.4391</c:v>
                </c:pt>
                <c:pt idx="15">
                  <c:v>101.35509999999999</c:v>
                </c:pt>
                <c:pt idx="16">
                  <c:v>95.785070000000005</c:v>
                </c:pt>
                <c:pt idx="17">
                  <c:v>90.623019999999997</c:v>
                </c:pt>
                <c:pt idx="18">
                  <c:v>85.963949999999997</c:v>
                </c:pt>
                <c:pt idx="19">
                  <c:v>83.400940000000006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Chg_pos_A!$B$37:$U$37</c:f>
              <c:numCache>
                <c:formatCode>General</c:formatCode>
                <c:ptCount val="20"/>
                <c:pt idx="0">
                  <c:v>5178.665</c:v>
                </c:pt>
                <c:pt idx="1">
                  <c:v>3675.1619999999998</c:v>
                </c:pt>
                <c:pt idx="2">
                  <c:v>2442.0479999999998</c:v>
                </c:pt>
                <c:pt idx="3">
                  <c:v>1800.396</c:v>
                </c:pt>
                <c:pt idx="4">
                  <c:v>1407.3030000000001</c:v>
                </c:pt>
                <c:pt idx="5">
                  <c:v>1146.8019999999999</c:v>
                </c:pt>
                <c:pt idx="6">
                  <c:v>957.19069999999999</c:v>
                </c:pt>
                <c:pt idx="7">
                  <c:v>815.77970000000005</c:v>
                </c:pt>
                <c:pt idx="8">
                  <c:v>702.22119999999995</c:v>
                </c:pt>
                <c:pt idx="9">
                  <c:v>625.28880000000004</c:v>
                </c:pt>
                <c:pt idx="10">
                  <c:v>556.80020000000002</c:v>
                </c:pt>
                <c:pt idx="11">
                  <c:v>499.30799999999999</c:v>
                </c:pt>
                <c:pt idx="12">
                  <c:v>449.98840000000001</c:v>
                </c:pt>
                <c:pt idx="13">
                  <c:v>409.15370000000001</c:v>
                </c:pt>
                <c:pt idx="14">
                  <c:v>380.62720000000002</c:v>
                </c:pt>
                <c:pt idx="15">
                  <c:v>353.50979999999998</c:v>
                </c:pt>
                <c:pt idx="16">
                  <c:v>322.33769999999998</c:v>
                </c:pt>
                <c:pt idx="17">
                  <c:v>298.59160000000003</c:v>
                </c:pt>
                <c:pt idx="18">
                  <c:v>305.96899999999999</c:v>
                </c:pt>
                <c:pt idx="19">
                  <c:v>292.92360000000002</c:v>
                </c:pt>
              </c:numCache>
            </c:numRef>
          </c:yVal>
          <c:smooth val="1"/>
        </c:ser>
        <c:axId val="97259904"/>
        <c:axId val="97261824"/>
      </c:scatterChart>
      <c:valAx>
        <c:axId val="9725990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261824"/>
        <c:crosses val="autoZero"/>
        <c:crossBetween val="midCat"/>
      </c:valAx>
      <c:valAx>
        <c:axId val="97261824"/>
        <c:scaling>
          <c:orientation val="minMax"/>
        </c:scaling>
        <c:axPos val="l"/>
        <c:numFmt formatCode="General" sourceLinked="1"/>
        <c:tickLblPos val="nextTo"/>
        <c:crossAx val="97259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Chg_pos_A!$A$3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Chg_pos_A!$B$3:$U$3</c:f>
              <c:numCache>
                <c:formatCode>General</c:formatCode>
                <c:ptCount val="20"/>
                <c:pt idx="0">
                  <c:v>385.27800000000002</c:v>
                </c:pt>
                <c:pt idx="1">
                  <c:v>278.51080000000002</c:v>
                </c:pt>
                <c:pt idx="2">
                  <c:v>195.49959999999999</c:v>
                </c:pt>
                <c:pt idx="3">
                  <c:v>153.18620000000001</c:v>
                </c:pt>
                <c:pt idx="4">
                  <c:v>120.358</c:v>
                </c:pt>
                <c:pt idx="5">
                  <c:v>102.9888</c:v>
                </c:pt>
                <c:pt idx="6">
                  <c:v>91.206980000000001</c:v>
                </c:pt>
                <c:pt idx="7">
                  <c:v>81.315960000000004</c:v>
                </c:pt>
                <c:pt idx="8">
                  <c:v>73.493930000000006</c:v>
                </c:pt>
                <c:pt idx="9">
                  <c:v>67.629959999999997</c:v>
                </c:pt>
                <c:pt idx="10">
                  <c:v>59.916989999999998</c:v>
                </c:pt>
                <c:pt idx="11">
                  <c:v>55.334980000000002</c:v>
                </c:pt>
                <c:pt idx="12">
                  <c:v>52.447989999999997</c:v>
                </c:pt>
                <c:pt idx="13">
                  <c:v>50.302970000000002</c:v>
                </c:pt>
                <c:pt idx="14">
                  <c:v>46.778970000000001</c:v>
                </c:pt>
                <c:pt idx="15">
                  <c:v>43.244979999999998</c:v>
                </c:pt>
                <c:pt idx="16">
                  <c:v>40.86497</c:v>
                </c:pt>
                <c:pt idx="17">
                  <c:v>39.678989999999999</c:v>
                </c:pt>
                <c:pt idx="18">
                  <c:v>38.640979999999999</c:v>
                </c:pt>
                <c:pt idx="19">
                  <c:v>40.067979999999999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Chg_pos_A!$A$4</c:f>
              <c:strCache>
                <c:ptCount val="1"/>
                <c:pt idx="0">
                  <c:v>1EXS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Chg_pos_A!$B$4:$U$4</c:f>
              <c:numCache>
                <c:formatCode>General</c:formatCode>
                <c:ptCount val="20"/>
                <c:pt idx="0">
                  <c:v>564.8723</c:v>
                </c:pt>
                <c:pt idx="1">
                  <c:v>384.2303</c:v>
                </c:pt>
                <c:pt idx="2">
                  <c:v>246.05019999999999</c:v>
                </c:pt>
                <c:pt idx="3">
                  <c:v>181.41909999999999</c:v>
                </c:pt>
                <c:pt idx="4">
                  <c:v>137.56800000000001</c:v>
                </c:pt>
                <c:pt idx="5">
                  <c:v>112.0977</c:v>
                </c:pt>
                <c:pt idx="6">
                  <c:v>95.518979999999999</c:v>
                </c:pt>
                <c:pt idx="7">
                  <c:v>82.324010000000001</c:v>
                </c:pt>
                <c:pt idx="8">
                  <c:v>69.658990000000003</c:v>
                </c:pt>
                <c:pt idx="9">
                  <c:v>61.488970000000002</c:v>
                </c:pt>
                <c:pt idx="10">
                  <c:v>54.804000000000002</c:v>
                </c:pt>
                <c:pt idx="11">
                  <c:v>48.612009999999998</c:v>
                </c:pt>
                <c:pt idx="12">
                  <c:v>43.59104</c:v>
                </c:pt>
                <c:pt idx="13">
                  <c:v>40.74803</c:v>
                </c:pt>
                <c:pt idx="14">
                  <c:v>37.710999999999999</c:v>
                </c:pt>
                <c:pt idx="15">
                  <c:v>34.914000000000001</c:v>
                </c:pt>
                <c:pt idx="16">
                  <c:v>31.94398</c:v>
                </c:pt>
                <c:pt idx="17">
                  <c:v>30.021989999999999</c:v>
                </c:pt>
                <c:pt idx="18">
                  <c:v>30.193989999999999</c:v>
                </c:pt>
                <c:pt idx="19">
                  <c:v>28.960989999999999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Chg_pos_A!$A$5</c:f>
              <c:strCache>
                <c:ptCount val="1"/>
                <c:pt idx="0">
                  <c:v>1BEB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Chg_pos_A!$B$5:$U$5</c:f>
              <c:numCache>
                <c:formatCode>General</c:formatCode>
                <c:ptCount val="20"/>
                <c:pt idx="0">
                  <c:v>878.78309999999999</c:v>
                </c:pt>
                <c:pt idx="1">
                  <c:v>616.11500000000001</c:v>
                </c:pt>
                <c:pt idx="2">
                  <c:v>415.48779999999999</c:v>
                </c:pt>
                <c:pt idx="3">
                  <c:v>311.27589999999998</c:v>
                </c:pt>
                <c:pt idx="4">
                  <c:v>242.53639999999999</c:v>
                </c:pt>
                <c:pt idx="5">
                  <c:v>202.1309</c:v>
                </c:pt>
                <c:pt idx="6">
                  <c:v>171.71809999999999</c:v>
                </c:pt>
                <c:pt idx="7">
                  <c:v>152.02080000000001</c:v>
                </c:pt>
                <c:pt idx="8">
                  <c:v>135.6771</c:v>
                </c:pt>
                <c:pt idx="9">
                  <c:v>121.729</c:v>
                </c:pt>
                <c:pt idx="10">
                  <c:v>111.988</c:v>
                </c:pt>
                <c:pt idx="11">
                  <c:v>101.705</c:v>
                </c:pt>
                <c:pt idx="12">
                  <c:v>92.876980000000003</c:v>
                </c:pt>
                <c:pt idx="13">
                  <c:v>89.433989999999994</c:v>
                </c:pt>
                <c:pt idx="14">
                  <c:v>83.097040000000007</c:v>
                </c:pt>
                <c:pt idx="15">
                  <c:v>77.888030000000001</c:v>
                </c:pt>
                <c:pt idx="16">
                  <c:v>75.226029999999994</c:v>
                </c:pt>
                <c:pt idx="17">
                  <c:v>71.125050000000002</c:v>
                </c:pt>
                <c:pt idx="18">
                  <c:v>69.292010000000005</c:v>
                </c:pt>
                <c:pt idx="19">
                  <c:v>68.760999999999996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Chg_pos_A!$A$6</c:f>
              <c:strCache>
                <c:ptCount val="1"/>
                <c:pt idx="0">
                  <c:v>1LYZ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Chg_pos_A!$B$6:$U$6</c:f>
              <c:numCache>
                <c:formatCode>General</c:formatCode>
                <c:ptCount val="20"/>
                <c:pt idx="0">
                  <c:v>468.54730000000001</c:v>
                </c:pt>
                <c:pt idx="1">
                  <c:v>309.1773</c:v>
                </c:pt>
                <c:pt idx="2">
                  <c:v>197.34200000000001</c:v>
                </c:pt>
                <c:pt idx="3">
                  <c:v>143.82689999999999</c:v>
                </c:pt>
                <c:pt idx="4">
                  <c:v>110.5017</c:v>
                </c:pt>
                <c:pt idx="5">
                  <c:v>92.993740000000003</c:v>
                </c:pt>
                <c:pt idx="6">
                  <c:v>80.595979999999997</c:v>
                </c:pt>
                <c:pt idx="7">
                  <c:v>68.989000000000004</c:v>
                </c:pt>
                <c:pt idx="8">
                  <c:v>61.564030000000002</c:v>
                </c:pt>
                <c:pt idx="9">
                  <c:v>55.661059999999999</c:v>
                </c:pt>
                <c:pt idx="10">
                  <c:v>50.089979999999997</c:v>
                </c:pt>
                <c:pt idx="11">
                  <c:v>46.21799</c:v>
                </c:pt>
                <c:pt idx="12">
                  <c:v>42.598030000000001</c:v>
                </c:pt>
                <c:pt idx="13">
                  <c:v>39.940010000000001</c:v>
                </c:pt>
                <c:pt idx="14">
                  <c:v>37.79298</c:v>
                </c:pt>
                <c:pt idx="15">
                  <c:v>35.399990000000003</c:v>
                </c:pt>
                <c:pt idx="16">
                  <c:v>33.960979999999999</c:v>
                </c:pt>
                <c:pt idx="17">
                  <c:v>32.311990000000002</c:v>
                </c:pt>
                <c:pt idx="18">
                  <c:v>31.126999999999999</c:v>
                </c:pt>
                <c:pt idx="19">
                  <c:v>29.703009999999999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Chg_pos_A!$A$7</c:f>
              <c:strCache>
                <c:ptCount val="1"/>
                <c:pt idx="0">
                  <c:v>135L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Chg_pos_A!$B$7:$U$7</c:f>
              <c:numCache>
                <c:formatCode>General</c:formatCode>
                <c:ptCount val="20"/>
                <c:pt idx="0">
                  <c:v>432.48039999999997</c:v>
                </c:pt>
                <c:pt idx="1">
                  <c:v>268.26859999999999</c:v>
                </c:pt>
                <c:pt idx="2">
                  <c:v>167.9203</c:v>
                </c:pt>
                <c:pt idx="3">
                  <c:v>123.6709</c:v>
                </c:pt>
                <c:pt idx="4">
                  <c:v>96.848849999999999</c:v>
                </c:pt>
                <c:pt idx="5">
                  <c:v>80.404849999999996</c:v>
                </c:pt>
                <c:pt idx="6">
                  <c:v>66.900999999999996</c:v>
                </c:pt>
                <c:pt idx="7">
                  <c:v>58.211010000000002</c:v>
                </c:pt>
                <c:pt idx="8">
                  <c:v>51.326039999999999</c:v>
                </c:pt>
                <c:pt idx="9">
                  <c:v>44.535029999999999</c:v>
                </c:pt>
                <c:pt idx="10">
                  <c:v>41.604990000000001</c:v>
                </c:pt>
                <c:pt idx="11">
                  <c:v>36.364019999999996</c:v>
                </c:pt>
                <c:pt idx="12">
                  <c:v>32.775039999999997</c:v>
                </c:pt>
                <c:pt idx="13">
                  <c:v>30.37501</c:v>
                </c:pt>
                <c:pt idx="14">
                  <c:v>27.51098</c:v>
                </c:pt>
                <c:pt idx="15">
                  <c:v>25.117979999999999</c:v>
                </c:pt>
                <c:pt idx="16">
                  <c:v>22.99898</c:v>
                </c:pt>
                <c:pt idx="17">
                  <c:v>22.270990000000001</c:v>
                </c:pt>
                <c:pt idx="18">
                  <c:v>22.024000000000001</c:v>
                </c:pt>
                <c:pt idx="19">
                  <c:v>21.52901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Chg_pos_A!$A$8</c:f>
              <c:strCache>
                <c:ptCount val="1"/>
                <c:pt idx="0">
                  <c:v>2LYM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Chg_pos_A!$B$8:$U$8</c:f>
              <c:numCache>
                <c:formatCode>General</c:formatCode>
                <c:ptCount val="20"/>
                <c:pt idx="0">
                  <c:v>465.08730000000003</c:v>
                </c:pt>
                <c:pt idx="1">
                  <c:v>301.8947</c:v>
                </c:pt>
                <c:pt idx="2">
                  <c:v>194.15039999999999</c:v>
                </c:pt>
                <c:pt idx="3">
                  <c:v>150.83070000000001</c:v>
                </c:pt>
                <c:pt idx="4">
                  <c:v>118.5936</c:v>
                </c:pt>
                <c:pt idx="5">
                  <c:v>97.072720000000004</c:v>
                </c:pt>
                <c:pt idx="6">
                  <c:v>83.986949999999993</c:v>
                </c:pt>
                <c:pt idx="7">
                  <c:v>72.588999999999999</c:v>
                </c:pt>
                <c:pt idx="8">
                  <c:v>64.96002</c:v>
                </c:pt>
                <c:pt idx="9">
                  <c:v>57.371070000000003</c:v>
                </c:pt>
                <c:pt idx="10">
                  <c:v>52.284970000000001</c:v>
                </c:pt>
                <c:pt idx="11">
                  <c:v>49.323999999999998</c:v>
                </c:pt>
                <c:pt idx="12">
                  <c:v>47.117019999999997</c:v>
                </c:pt>
                <c:pt idx="13">
                  <c:v>43.982010000000002</c:v>
                </c:pt>
                <c:pt idx="14">
                  <c:v>41.315989999999999</c:v>
                </c:pt>
                <c:pt idx="15">
                  <c:v>38.93</c:v>
                </c:pt>
                <c:pt idx="16">
                  <c:v>37.750990000000002</c:v>
                </c:pt>
                <c:pt idx="17">
                  <c:v>35.844999999999999</c:v>
                </c:pt>
                <c:pt idx="18">
                  <c:v>34.412990000000001</c:v>
                </c:pt>
                <c:pt idx="19">
                  <c:v>33.22101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Chg_pos_A!$A$9</c:f>
              <c:strCache>
                <c:ptCount val="1"/>
                <c:pt idx="0">
                  <c:v>2LZT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Chg_pos_A!$B$9:$U$9</c:f>
              <c:numCache>
                <c:formatCode>General</c:formatCode>
                <c:ptCount val="20"/>
                <c:pt idx="0">
                  <c:v>472.36810000000003</c:v>
                </c:pt>
                <c:pt idx="1">
                  <c:v>299.90809999999999</c:v>
                </c:pt>
                <c:pt idx="2">
                  <c:v>191.98849999999999</c:v>
                </c:pt>
                <c:pt idx="3">
                  <c:v>146.94380000000001</c:v>
                </c:pt>
                <c:pt idx="4">
                  <c:v>115.70480000000001</c:v>
                </c:pt>
                <c:pt idx="5">
                  <c:v>93.939750000000004</c:v>
                </c:pt>
                <c:pt idx="6">
                  <c:v>79.634910000000005</c:v>
                </c:pt>
                <c:pt idx="7">
                  <c:v>69.270030000000006</c:v>
                </c:pt>
                <c:pt idx="8">
                  <c:v>61.185029999999998</c:v>
                </c:pt>
                <c:pt idx="9">
                  <c:v>52.905059999999999</c:v>
                </c:pt>
                <c:pt idx="10">
                  <c:v>48.754989999999999</c:v>
                </c:pt>
                <c:pt idx="11">
                  <c:v>45.340020000000003</c:v>
                </c:pt>
                <c:pt idx="12">
                  <c:v>41.722000000000001</c:v>
                </c:pt>
                <c:pt idx="13">
                  <c:v>40.031019999999998</c:v>
                </c:pt>
                <c:pt idx="14">
                  <c:v>38.070990000000002</c:v>
                </c:pt>
                <c:pt idx="15">
                  <c:v>36.136989999999997</c:v>
                </c:pt>
                <c:pt idx="16">
                  <c:v>33.999980000000001</c:v>
                </c:pt>
                <c:pt idx="17">
                  <c:v>32.09599</c:v>
                </c:pt>
                <c:pt idx="18">
                  <c:v>30.678999999999998</c:v>
                </c:pt>
                <c:pt idx="19">
                  <c:v>29.469010000000001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Chg_pos_A!$A$10</c:f>
              <c:strCache>
                <c:ptCount val="1"/>
                <c:pt idx="0">
                  <c:v>1L35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Chg_pos_A!$B$10:$U$10</c:f>
              <c:numCache>
                <c:formatCode>General</c:formatCode>
                <c:ptCount val="20"/>
                <c:pt idx="0">
                  <c:v>513.69600000000003</c:v>
                </c:pt>
                <c:pt idx="1">
                  <c:v>321.238</c:v>
                </c:pt>
                <c:pt idx="2">
                  <c:v>197.88419999999999</c:v>
                </c:pt>
                <c:pt idx="3">
                  <c:v>141.44489999999999</c:v>
                </c:pt>
                <c:pt idx="4">
                  <c:v>109.1977</c:v>
                </c:pt>
                <c:pt idx="5">
                  <c:v>89.396749999999997</c:v>
                </c:pt>
                <c:pt idx="6">
                  <c:v>76.334990000000005</c:v>
                </c:pt>
                <c:pt idx="7">
                  <c:v>66.895979999999994</c:v>
                </c:pt>
                <c:pt idx="8">
                  <c:v>60.206040000000002</c:v>
                </c:pt>
                <c:pt idx="9">
                  <c:v>54.273049999999998</c:v>
                </c:pt>
                <c:pt idx="10">
                  <c:v>48.481029999999997</c:v>
                </c:pt>
                <c:pt idx="11">
                  <c:v>44.64902</c:v>
                </c:pt>
                <c:pt idx="12">
                  <c:v>40.559019999999997</c:v>
                </c:pt>
                <c:pt idx="13">
                  <c:v>37.660020000000003</c:v>
                </c:pt>
                <c:pt idx="14">
                  <c:v>35.498980000000003</c:v>
                </c:pt>
                <c:pt idx="15">
                  <c:v>34.289990000000003</c:v>
                </c:pt>
                <c:pt idx="16">
                  <c:v>32.845970000000001</c:v>
                </c:pt>
                <c:pt idx="17">
                  <c:v>31.645980000000002</c:v>
                </c:pt>
                <c:pt idx="18">
                  <c:v>29.973990000000001</c:v>
                </c:pt>
                <c:pt idx="19">
                  <c:v>27.390999999999998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Chg_pos_A!$A$11</c:f>
              <c:strCache>
                <c:ptCount val="1"/>
                <c:pt idx="0">
                  <c:v>1LYD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Chg_pos_A!$B$11:$U$11</c:f>
              <c:numCache>
                <c:formatCode>General</c:formatCode>
                <c:ptCount val="20"/>
                <c:pt idx="0">
                  <c:v>493.53120000000001</c:v>
                </c:pt>
                <c:pt idx="1">
                  <c:v>311.93169999999998</c:v>
                </c:pt>
                <c:pt idx="2">
                  <c:v>192.7046</c:v>
                </c:pt>
                <c:pt idx="3">
                  <c:v>140.21190000000001</c:v>
                </c:pt>
                <c:pt idx="4">
                  <c:v>112.58880000000001</c:v>
                </c:pt>
                <c:pt idx="5">
                  <c:v>91.762770000000003</c:v>
                </c:pt>
                <c:pt idx="6">
                  <c:v>77.956980000000001</c:v>
                </c:pt>
                <c:pt idx="7">
                  <c:v>69.637990000000002</c:v>
                </c:pt>
                <c:pt idx="8">
                  <c:v>60.545990000000003</c:v>
                </c:pt>
                <c:pt idx="9">
                  <c:v>54.878050000000002</c:v>
                </c:pt>
                <c:pt idx="10">
                  <c:v>49.565019999999997</c:v>
                </c:pt>
                <c:pt idx="11">
                  <c:v>45.442019999999999</c:v>
                </c:pt>
                <c:pt idx="12">
                  <c:v>41.825029999999998</c:v>
                </c:pt>
                <c:pt idx="13">
                  <c:v>38.66901</c:v>
                </c:pt>
                <c:pt idx="14">
                  <c:v>36.267980000000001</c:v>
                </c:pt>
                <c:pt idx="15">
                  <c:v>34.587989999999998</c:v>
                </c:pt>
                <c:pt idx="16">
                  <c:v>33.375979999999998</c:v>
                </c:pt>
                <c:pt idx="17">
                  <c:v>32.170990000000003</c:v>
                </c:pt>
                <c:pt idx="18">
                  <c:v>31.218990000000002</c:v>
                </c:pt>
                <c:pt idx="19">
                  <c:v>29.787009999999999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Chg_pos_A!$A$12</c:f>
              <c:strCache>
                <c:ptCount val="1"/>
                <c:pt idx="0">
                  <c:v>8RAT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Chg_pos_A!$B$12:$U$12</c:f>
              <c:numCache>
                <c:formatCode>General</c:formatCode>
                <c:ptCount val="20"/>
                <c:pt idx="0">
                  <c:v>372.89769999999999</c:v>
                </c:pt>
                <c:pt idx="1">
                  <c:v>233.45740000000001</c:v>
                </c:pt>
                <c:pt idx="2">
                  <c:v>143.12209999999999</c:v>
                </c:pt>
                <c:pt idx="3">
                  <c:v>99.304029999999997</c:v>
                </c:pt>
                <c:pt idx="4">
                  <c:v>72.678039999999996</c:v>
                </c:pt>
                <c:pt idx="5">
                  <c:v>56.376019999999997</c:v>
                </c:pt>
                <c:pt idx="6">
                  <c:v>47.142029999999998</c:v>
                </c:pt>
                <c:pt idx="7">
                  <c:v>39.692019999999999</c:v>
                </c:pt>
                <c:pt idx="8">
                  <c:v>33.084009999999999</c:v>
                </c:pt>
                <c:pt idx="9">
                  <c:v>31.072990000000001</c:v>
                </c:pt>
                <c:pt idx="10">
                  <c:v>27.672000000000001</c:v>
                </c:pt>
                <c:pt idx="11">
                  <c:v>26.44801</c:v>
                </c:pt>
                <c:pt idx="12">
                  <c:v>24.04402</c:v>
                </c:pt>
                <c:pt idx="13">
                  <c:v>21.67801</c:v>
                </c:pt>
                <c:pt idx="14">
                  <c:v>19.542000000000002</c:v>
                </c:pt>
                <c:pt idx="15">
                  <c:v>17.89199</c:v>
                </c:pt>
                <c:pt idx="16">
                  <c:v>16.697990000000001</c:v>
                </c:pt>
                <c:pt idx="17">
                  <c:v>16.451989999999999</c:v>
                </c:pt>
                <c:pt idx="18">
                  <c:v>15.05599</c:v>
                </c:pt>
                <c:pt idx="19">
                  <c:v>13.656000000000001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Chg_pos_A!$A$13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Chg_pos_A!$B$13:$U$13</c:f>
              <c:numCache>
                <c:formatCode>General</c:formatCode>
                <c:ptCount val="20"/>
                <c:pt idx="0">
                  <c:v>335.4751</c:v>
                </c:pt>
                <c:pt idx="1">
                  <c:v>207.1301</c:v>
                </c:pt>
                <c:pt idx="2">
                  <c:v>124.39709999999999</c:v>
                </c:pt>
                <c:pt idx="3">
                  <c:v>90.582949999999997</c:v>
                </c:pt>
                <c:pt idx="4">
                  <c:v>69.440989999999999</c:v>
                </c:pt>
                <c:pt idx="5">
                  <c:v>55.123959999999997</c:v>
                </c:pt>
                <c:pt idx="6">
                  <c:v>46.36101</c:v>
                </c:pt>
                <c:pt idx="7">
                  <c:v>39.920009999999998</c:v>
                </c:pt>
                <c:pt idx="8">
                  <c:v>34.071019999999997</c:v>
                </c:pt>
                <c:pt idx="9">
                  <c:v>29.721979999999999</c:v>
                </c:pt>
                <c:pt idx="10">
                  <c:v>26.565000000000001</c:v>
                </c:pt>
                <c:pt idx="11">
                  <c:v>24.629010000000001</c:v>
                </c:pt>
                <c:pt idx="12">
                  <c:v>22.946010000000001</c:v>
                </c:pt>
                <c:pt idx="13">
                  <c:v>21.501010000000001</c:v>
                </c:pt>
                <c:pt idx="14">
                  <c:v>19.829999999999998</c:v>
                </c:pt>
                <c:pt idx="15">
                  <c:v>18.873989999999999</c:v>
                </c:pt>
                <c:pt idx="16">
                  <c:v>17.68899</c:v>
                </c:pt>
                <c:pt idx="17">
                  <c:v>16.49999</c:v>
                </c:pt>
                <c:pt idx="18">
                  <c:v>15.335000000000001</c:v>
                </c:pt>
                <c:pt idx="19">
                  <c:v>15.081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Chg_pos_A!$A$14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Chg_pos_A!$B$14:$U$14</c:f>
              <c:numCache>
                <c:formatCode>General</c:formatCode>
                <c:ptCount val="20"/>
                <c:pt idx="0">
                  <c:v>365.77460000000002</c:v>
                </c:pt>
                <c:pt idx="1">
                  <c:v>245.07239999999999</c:v>
                </c:pt>
                <c:pt idx="2">
                  <c:v>155.7371</c:v>
                </c:pt>
                <c:pt idx="3">
                  <c:v>114.32210000000001</c:v>
                </c:pt>
                <c:pt idx="4">
                  <c:v>85.122889999999998</c:v>
                </c:pt>
                <c:pt idx="5">
                  <c:v>70.792900000000003</c:v>
                </c:pt>
                <c:pt idx="6">
                  <c:v>58.757980000000003</c:v>
                </c:pt>
                <c:pt idx="7">
                  <c:v>49.898989999999998</c:v>
                </c:pt>
                <c:pt idx="8">
                  <c:v>43.329030000000003</c:v>
                </c:pt>
                <c:pt idx="9">
                  <c:v>37.96799</c:v>
                </c:pt>
                <c:pt idx="10">
                  <c:v>34.794989999999999</c:v>
                </c:pt>
                <c:pt idx="11">
                  <c:v>32.827019999999997</c:v>
                </c:pt>
                <c:pt idx="12">
                  <c:v>31.34102</c:v>
                </c:pt>
                <c:pt idx="13">
                  <c:v>29.188020000000002</c:v>
                </c:pt>
                <c:pt idx="14">
                  <c:v>27.282</c:v>
                </c:pt>
                <c:pt idx="15">
                  <c:v>24.919</c:v>
                </c:pt>
                <c:pt idx="16">
                  <c:v>23.037980000000001</c:v>
                </c:pt>
                <c:pt idx="17">
                  <c:v>20.918990000000001</c:v>
                </c:pt>
                <c:pt idx="18">
                  <c:v>19.724989999999998</c:v>
                </c:pt>
                <c:pt idx="19">
                  <c:v>19.701000000000001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Chg_pos_A!$A$15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Chg_pos_A!$B$15:$U$15</c:f>
              <c:numCache>
                <c:formatCode>General</c:formatCode>
                <c:ptCount val="20"/>
                <c:pt idx="0">
                  <c:v>1062.796</c:v>
                </c:pt>
                <c:pt idx="1">
                  <c:v>790.38789999999995</c:v>
                </c:pt>
                <c:pt idx="2">
                  <c:v>543.92290000000003</c:v>
                </c:pt>
                <c:pt idx="3">
                  <c:v>403.1234</c:v>
                </c:pt>
                <c:pt idx="4">
                  <c:v>317.93880000000001</c:v>
                </c:pt>
                <c:pt idx="5">
                  <c:v>261.95229999999998</c:v>
                </c:pt>
                <c:pt idx="6">
                  <c:v>220.43819999999999</c:v>
                </c:pt>
                <c:pt idx="7">
                  <c:v>193.38229999999999</c:v>
                </c:pt>
                <c:pt idx="8">
                  <c:v>170.81630000000001</c:v>
                </c:pt>
                <c:pt idx="9">
                  <c:v>151.38489999999999</c:v>
                </c:pt>
                <c:pt idx="10">
                  <c:v>139.27500000000001</c:v>
                </c:pt>
                <c:pt idx="11">
                  <c:v>129.7679</c:v>
                </c:pt>
                <c:pt idx="12">
                  <c:v>119.90900000000001</c:v>
                </c:pt>
                <c:pt idx="13">
                  <c:v>107.97110000000001</c:v>
                </c:pt>
                <c:pt idx="14">
                  <c:v>102.45910000000001</c:v>
                </c:pt>
                <c:pt idx="15">
                  <c:v>94.799109999999999</c:v>
                </c:pt>
                <c:pt idx="16">
                  <c:v>86.377110000000002</c:v>
                </c:pt>
                <c:pt idx="17">
                  <c:v>82.471080000000001</c:v>
                </c:pt>
                <c:pt idx="18">
                  <c:v>80.682090000000002</c:v>
                </c:pt>
                <c:pt idx="19">
                  <c:v>80.179019999999994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Chg_pos_A!$A$16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Chg_pos_A!$B$16:$U$16</c:f>
              <c:numCache>
                <c:formatCode>General</c:formatCode>
                <c:ptCount val="20"/>
                <c:pt idx="0">
                  <c:v>592.93579999999997</c:v>
                </c:pt>
                <c:pt idx="1">
                  <c:v>370.95080000000002</c:v>
                </c:pt>
                <c:pt idx="2">
                  <c:v>242.23419999999999</c:v>
                </c:pt>
                <c:pt idx="3">
                  <c:v>181.3716</c:v>
                </c:pt>
                <c:pt idx="4">
                  <c:v>140.10579999999999</c:v>
                </c:pt>
                <c:pt idx="5">
                  <c:v>114.3175</c:v>
                </c:pt>
                <c:pt idx="6">
                  <c:v>97.971810000000005</c:v>
                </c:pt>
                <c:pt idx="7">
                  <c:v>84.545929999999998</c:v>
                </c:pt>
                <c:pt idx="8">
                  <c:v>75.645020000000002</c:v>
                </c:pt>
                <c:pt idx="9">
                  <c:v>67.067089999999993</c:v>
                </c:pt>
                <c:pt idx="10">
                  <c:v>60.506050000000002</c:v>
                </c:pt>
                <c:pt idx="11">
                  <c:v>57.32403</c:v>
                </c:pt>
                <c:pt idx="12">
                  <c:v>52.747990000000001</c:v>
                </c:pt>
                <c:pt idx="13">
                  <c:v>48.213000000000001</c:v>
                </c:pt>
                <c:pt idx="14">
                  <c:v>43.713999999999999</c:v>
                </c:pt>
                <c:pt idx="15">
                  <c:v>41.808</c:v>
                </c:pt>
                <c:pt idx="16">
                  <c:v>39.622970000000002</c:v>
                </c:pt>
                <c:pt idx="17">
                  <c:v>36.999980000000001</c:v>
                </c:pt>
                <c:pt idx="18">
                  <c:v>35.815989999999999</c:v>
                </c:pt>
                <c:pt idx="19">
                  <c:v>33.924999999999997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Chg_pos_A!$A$17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Chg_pos_A!$B$17:$U$17</c:f>
              <c:numCache>
                <c:formatCode>General</c:formatCode>
                <c:ptCount val="20"/>
                <c:pt idx="0">
                  <c:v>608.64869999999996</c:v>
                </c:pt>
                <c:pt idx="1">
                  <c:v>380.51920000000001</c:v>
                </c:pt>
                <c:pt idx="2">
                  <c:v>241.1645</c:v>
                </c:pt>
                <c:pt idx="3">
                  <c:v>173.0608</c:v>
                </c:pt>
                <c:pt idx="4">
                  <c:v>138.73670000000001</c:v>
                </c:pt>
                <c:pt idx="5">
                  <c:v>110.7055</c:v>
                </c:pt>
                <c:pt idx="6">
                  <c:v>91.668869999999998</c:v>
                </c:pt>
                <c:pt idx="7">
                  <c:v>80.97193</c:v>
                </c:pt>
                <c:pt idx="8">
                  <c:v>69.763009999999994</c:v>
                </c:pt>
                <c:pt idx="9">
                  <c:v>62.891069999999999</c:v>
                </c:pt>
                <c:pt idx="10">
                  <c:v>55.161059999999999</c:v>
                </c:pt>
                <c:pt idx="11">
                  <c:v>49.43103</c:v>
                </c:pt>
                <c:pt idx="12">
                  <c:v>46.747010000000003</c:v>
                </c:pt>
                <c:pt idx="13">
                  <c:v>45.015009999999997</c:v>
                </c:pt>
                <c:pt idx="14">
                  <c:v>41.408990000000003</c:v>
                </c:pt>
                <c:pt idx="15">
                  <c:v>38.797989999999999</c:v>
                </c:pt>
                <c:pt idx="16">
                  <c:v>37.099980000000002</c:v>
                </c:pt>
                <c:pt idx="17">
                  <c:v>34.719990000000003</c:v>
                </c:pt>
                <c:pt idx="18">
                  <c:v>33.067990000000002</c:v>
                </c:pt>
                <c:pt idx="19">
                  <c:v>31.640999999999998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Chg_pos_A!$A$18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Chg_pos_A!$B$18:$U$18</c:f>
              <c:numCache>
                <c:formatCode>General</c:formatCode>
                <c:ptCount val="20"/>
                <c:pt idx="0">
                  <c:v>712.65470000000005</c:v>
                </c:pt>
                <c:pt idx="1">
                  <c:v>461.67619999999999</c:v>
                </c:pt>
                <c:pt idx="2">
                  <c:v>299.26799999999997</c:v>
                </c:pt>
                <c:pt idx="3">
                  <c:v>221.04320000000001</c:v>
                </c:pt>
                <c:pt idx="4">
                  <c:v>173.0008</c:v>
                </c:pt>
                <c:pt idx="5">
                  <c:v>139.58439999999999</c:v>
                </c:pt>
                <c:pt idx="6">
                  <c:v>119.33669999999999</c:v>
                </c:pt>
                <c:pt idx="7">
                  <c:v>102.2159</c:v>
                </c:pt>
                <c:pt idx="8">
                  <c:v>90.875060000000005</c:v>
                </c:pt>
                <c:pt idx="9">
                  <c:v>82.704160000000002</c:v>
                </c:pt>
                <c:pt idx="10">
                  <c:v>73.260080000000002</c:v>
                </c:pt>
                <c:pt idx="11">
                  <c:v>66.548990000000003</c:v>
                </c:pt>
                <c:pt idx="12">
                  <c:v>63.593969999999999</c:v>
                </c:pt>
                <c:pt idx="13">
                  <c:v>57.189979999999998</c:v>
                </c:pt>
                <c:pt idx="14">
                  <c:v>51.964959999999998</c:v>
                </c:pt>
                <c:pt idx="15">
                  <c:v>50.040990000000001</c:v>
                </c:pt>
                <c:pt idx="16">
                  <c:v>47.147970000000001</c:v>
                </c:pt>
                <c:pt idx="17">
                  <c:v>44.545000000000002</c:v>
                </c:pt>
                <c:pt idx="18">
                  <c:v>43.091000000000001</c:v>
                </c:pt>
                <c:pt idx="19">
                  <c:v>40.964010000000002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Chg_pos_A!$A$19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Chg_pos_A!$B$19:$U$19</c:f>
              <c:numCache>
                <c:formatCode>General</c:formatCode>
                <c:ptCount val="20"/>
                <c:pt idx="0">
                  <c:v>1500.6780000000001</c:v>
                </c:pt>
                <c:pt idx="1">
                  <c:v>1022.472</c:v>
                </c:pt>
                <c:pt idx="2">
                  <c:v>663.31899999999996</c:v>
                </c:pt>
                <c:pt idx="3">
                  <c:v>476.23270000000002</c:v>
                </c:pt>
                <c:pt idx="4">
                  <c:v>365.8922</c:v>
                </c:pt>
                <c:pt idx="5">
                  <c:v>297.69459999999998</c:v>
                </c:pt>
                <c:pt idx="6">
                  <c:v>248.43559999999999</c:v>
                </c:pt>
                <c:pt idx="7">
                  <c:v>212.53530000000001</c:v>
                </c:pt>
                <c:pt idx="8">
                  <c:v>184.89099999999999</c:v>
                </c:pt>
                <c:pt idx="9">
                  <c:v>161.71610000000001</c:v>
                </c:pt>
                <c:pt idx="10">
                  <c:v>144.13800000000001</c:v>
                </c:pt>
                <c:pt idx="11">
                  <c:v>130.7398</c:v>
                </c:pt>
                <c:pt idx="12">
                  <c:v>117.2379</c:v>
                </c:pt>
                <c:pt idx="13">
                  <c:v>109.30289999999999</c:v>
                </c:pt>
                <c:pt idx="14">
                  <c:v>101.258</c:v>
                </c:pt>
                <c:pt idx="15">
                  <c:v>95.399990000000003</c:v>
                </c:pt>
                <c:pt idx="16">
                  <c:v>88.652029999999996</c:v>
                </c:pt>
                <c:pt idx="17">
                  <c:v>83.789969999999997</c:v>
                </c:pt>
                <c:pt idx="18">
                  <c:v>77.21499</c:v>
                </c:pt>
                <c:pt idx="19">
                  <c:v>78.070980000000006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Chg_pos_A!$A$20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Chg_pos_A!$B$20:$U$20</c:f>
              <c:numCache>
                <c:formatCode>General</c:formatCode>
                <c:ptCount val="20"/>
                <c:pt idx="0">
                  <c:v>1517.9570000000001</c:v>
                </c:pt>
                <c:pt idx="1">
                  <c:v>1062.913</c:v>
                </c:pt>
                <c:pt idx="2">
                  <c:v>686.97940000000006</c:v>
                </c:pt>
                <c:pt idx="3">
                  <c:v>482.68779999999998</c:v>
                </c:pt>
                <c:pt idx="4">
                  <c:v>375.07870000000003</c:v>
                </c:pt>
                <c:pt idx="5">
                  <c:v>303.4563</c:v>
                </c:pt>
                <c:pt idx="6">
                  <c:v>252.691</c:v>
                </c:pt>
                <c:pt idx="7">
                  <c:v>218.79169999999999</c:v>
                </c:pt>
                <c:pt idx="8">
                  <c:v>192.0343</c:v>
                </c:pt>
                <c:pt idx="9">
                  <c:v>172.2304</c:v>
                </c:pt>
                <c:pt idx="10">
                  <c:v>154.79490000000001</c:v>
                </c:pt>
                <c:pt idx="11">
                  <c:v>140.96190000000001</c:v>
                </c:pt>
                <c:pt idx="12">
                  <c:v>127.892</c:v>
                </c:pt>
                <c:pt idx="13">
                  <c:v>116.8331</c:v>
                </c:pt>
                <c:pt idx="14">
                  <c:v>106.7071</c:v>
                </c:pt>
                <c:pt idx="15">
                  <c:v>99.345039999999997</c:v>
                </c:pt>
                <c:pt idx="16">
                  <c:v>93.50806</c:v>
                </c:pt>
                <c:pt idx="17">
                  <c:v>88.180080000000004</c:v>
                </c:pt>
                <c:pt idx="18">
                  <c:v>85.008009999999999</c:v>
                </c:pt>
                <c:pt idx="19">
                  <c:v>83.26097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Chg_pos_A!$A$21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Chg_pos_A!$B$21:$U$21</c:f>
              <c:numCache>
                <c:formatCode>General</c:formatCode>
                <c:ptCount val="20"/>
                <c:pt idx="0">
                  <c:v>1523.163</c:v>
                </c:pt>
                <c:pt idx="1">
                  <c:v>1057.0719999999999</c:v>
                </c:pt>
                <c:pt idx="2">
                  <c:v>686.65970000000004</c:v>
                </c:pt>
                <c:pt idx="3">
                  <c:v>481.87099999999998</c:v>
                </c:pt>
                <c:pt idx="4">
                  <c:v>370.673</c:v>
                </c:pt>
                <c:pt idx="5">
                  <c:v>304.7158</c:v>
                </c:pt>
                <c:pt idx="6">
                  <c:v>249.3058</c:v>
                </c:pt>
                <c:pt idx="7">
                  <c:v>214.7868</c:v>
                </c:pt>
                <c:pt idx="8">
                  <c:v>188.3391</c:v>
                </c:pt>
                <c:pt idx="9">
                  <c:v>168.73560000000001</c:v>
                </c:pt>
                <c:pt idx="10">
                  <c:v>151.35390000000001</c:v>
                </c:pt>
                <c:pt idx="11">
                  <c:v>137.80199999999999</c:v>
                </c:pt>
                <c:pt idx="12">
                  <c:v>125.688</c:v>
                </c:pt>
                <c:pt idx="13">
                  <c:v>115.992</c:v>
                </c:pt>
                <c:pt idx="14">
                  <c:v>108.4391</c:v>
                </c:pt>
                <c:pt idx="15">
                  <c:v>101.35509999999999</c:v>
                </c:pt>
                <c:pt idx="16">
                  <c:v>95.785070000000005</c:v>
                </c:pt>
                <c:pt idx="17">
                  <c:v>90.623019999999997</c:v>
                </c:pt>
                <c:pt idx="18">
                  <c:v>85.963949999999997</c:v>
                </c:pt>
                <c:pt idx="19">
                  <c:v>83.400940000000006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Chg_pos_A!$A$22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Chg_pos_A!$B$22:$U$22</c:f>
              <c:numCache>
                <c:formatCode>General</c:formatCode>
                <c:ptCount val="20"/>
                <c:pt idx="0">
                  <c:v>1421.826</c:v>
                </c:pt>
                <c:pt idx="1">
                  <c:v>985.77200000000005</c:v>
                </c:pt>
                <c:pt idx="2">
                  <c:v>653.27719999999999</c:v>
                </c:pt>
                <c:pt idx="3">
                  <c:v>464.15710000000001</c:v>
                </c:pt>
                <c:pt idx="4">
                  <c:v>360.2466</c:v>
                </c:pt>
                <c:pt idx="5">
                  <c:v>295.60399999999998</c:v>
                </c:pt>
                <c:pt idx="6">
                  <c:v>245.3528</c:v>
                </c:pt>
                <c:pt idx="7">
                  <c:v>209.07939999999999</c:v>
                </c:pt>
                <c:pt idx="8">
                  <c:v>183.54669999999999</c:v>
                </c:pt>
                <c:pt idx="9">
                  <c:v>161.16380000000001</c:v>
                </c:pt>
                <c:pt idx="10">
                  <c:v>145.517</c:v>
                </c:pt>
                <c:pt idx="11">
                  <c:v>132.4478</c:v>
                </c:pt>
                <c:pt idx="12">
                  <c:v>121.9679</c:v>
                </c:pt>
                <c:pt idx="13">
                  <c:v>113.708</c:v>
                </c:pt>
                <c:pt idx="14">
                  <c:v>108.218</c:v>
                </c:pt>
                <c:pt idx="15">
                  <c:v>101.822</c:v>
                </c:pt>
                <c:pt idx="16">
                  <c:v>95.75103</c:v>
                </c:pt>
                <c:pt idx="17">
                  <c:v>88.762039999999999</c:v>
                </c:pt>
                <c:pt idx="18">
                  <c:v>85.043940000000006</c:v>
                </c:pt>
                <c:pt idx="19">
                  <c:v>81.723929999999996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Chg_pos_A!$A$23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Chg_pos_A!$B$23:$U$23</c:f>
              <c:numCache>
                <c:formatCode>General</c:formatCode>
                <c:ptCount val="20"/>
                <c:pt idx="0">
                  <c:v>1514.028</c:v>
                </c:pt>
                <c:pt idx="1">
                  <c:v>1062.6510000000001</c:v>
                </c:pt>
                <c:pt idx="2">
                  <c:v>690.59339999999997</c:v>
                </c:pt>
                <c:pt idx="3">
                  <c:v>482.99889999999999</c:v>
                </c:pt>
                <c:pt idx="4">
                  <c:v>372.09379999999999</c:v>
                </c:pt>
                <c:pt idx="5">
                  <c:v>301.41649999999998</c:v>
                </c:pt>
                <c:pt idx="6">
                  <c:v>248.9906</c:v>
                </c:pt>
                <c:pt idx="7">
                  <c:v>214.84200000000001</c:v>
                </c:pt>
                <c:pt idx="8">
                  <c:v>189.9641</c:v>
                </c:pt>
                <c:pt idx="9">
                  <c:v>170.30459999999999</c:v>
                </c:pt>
                <c:pt idx="10">
                  <c:v>154.32980000000001</c:v>
                </c:pt>
                <c:pt idx="11">
                  <c:v>139.3758</c:v>
                </c:pt>
                <c:pt idx="12">
                  <c:v>126.79600000000001</c:v>
                </c:pt>
                <c:pt idx="13">
                  <c:v>116.40009999999999</c:v>
                </c:pt>
                <c:pt idx="14">
                  <c:v>108.592</c:v>
                </c:pt>
                <c:pt idx="15">
                  <c:v>99.905050000000003</c:v>
                </c:pt>
                <c:pt idx="16">
                  <c:v>93.175030000000007</c:v>
                </c:pt>
                <c:pt idx="17">
                  <c:v>88.481039999999993</c:v>
                </c:pt>
                <c:pt idx="18">
                  <c:v>85.570009999999996</c:v>
                </c:pt>
                <c:pt idx="19">
                  <c:v>83.941999999999993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Chg_pos_A!$A$24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Chg_pos_A!$B$24:$U$24</c:f>
              <c:numCache>
                <c:formatCode>General</c:formatCode>
                <c:ptCount val="20"/>
                <c:pt idx="0">
                  <c:v>1430.9670000000001</c:v>
                </c:pt>
                <c:pt idx="1">
                  <c:v>996.07249999999999</c:v>
                </c:pt>
                <c:pt idx="2">
                  <c:v>643.84469999999999</c:v>
                </c:pt>
                <c:pt idx="3">
                  <c:v>451.51209999999998</c:v>
                </c:pt>
                <c:pt idx="4">
                  <c:v>348.53070000000002</c:v>
                </c:pt>
                <c:pt idx="5">
                  <c:v>287.45780000000002</c:v>
                </c:pt>
                <c:pt idx="6">
                  <c:v>238.88800000000001</c:v>
                </c:pt>
                <c:pt idx="7">
                  <c:v>211.13</c:v>
                </c:pt>
                <c:pt idx="8">
                  <c:v>182.28190000000001</c:v>
                </c:pt>
                <c:pt idx="9">
                  <c:v>162.5299</c:v>
                </c:pt>
                <c:pt idx="10">
                  <c:v>146.3879</c:v>
                </c:pt>
                <c:pt idx="11">
                  <c:v>133.3689</c:v>
                </c:pt>
                <c:pt idx="12">
                  <c:v>121.43600000000001</c:v>
                </c:pt>
                <c:pt idx="13">
                  <c:v>113.23699999999999</c:v>
                </c:pt>
                <c:pt idx="14">
                  <c:v>104.65900000000001</c:v>
                </c:pt>
                <c:pt idx="15">
                  <c:v>97.093010000000007</c:v>
                </c:pt>
                <c:pt idx="16">
                  <c:v>90.811019999999999</c:v>
                </c:pt>
                <c:pt idx="17">
                  <c:v>86.049959999999999</c:v>
                </c:pt>
                <c:pt idx="18">
                  <c:v>82.051959999999994</c:v>
                </c:pt>
                <c:pt idx="19">
                  <c:v>79.000960000000006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Chg_pos_A!$A$25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Chg_pos_A!$B$25:$U$25</c:f>
              <c:numCache>
                <c:formatCode>General</c:formatCode>
                <c:ptCount val="20"/>
                <c:pt idx="0">
                  <c:v>1517.694</c:v>
                </c:pt>
                <c:pt idx="1">
                  <c:v>1055.212</c:v>
                </c:pt>
                <c:pt idx="2">
                  <c:v>688.02170000000001</c:v>
                </c:pt>
                <c:pt idx="3">
                  <c:v>480.8526</c:v>
                </c:pt>
                <c:pt idx="4">
                  <c:v>377.45</c:v>
                </c:pt>
                <c:pt idx="5">
                  <c:v>303.83839999999998</c:v>
                </c:pt>
                <c:pt idx="6">
                  <c:v>250.75059999999999</c:v>
                </c:pt>
                <c:pt idx="7">
                  <c:v>214.36500000000001</c:v>
                </c:pt>
                <c:pt idx="8">
                  <c:v>188.56219999999999</c:v>
                </c:pt>
                <c:pt idx="9">
                  <c:v>170.20949999999999</c:v>
                </c:pt>
                <c:pt idx="10">
                  <c:v>153.5608</c:v>
                </c:pt>
                <c:pt idx="11">
                  <c:v>139.51990000000001</c:v>
                </c:pt>
                <c:pt idx="12">
                  <c:v>127.20699999999999</c:v>
                </c:pt>
                <c:pt idx="13">
                  <c:v>117.029</c:v>
                </c:pt>
                <c:pt idx="14">
                  <c:v>108.07599999999999</c:v>
                </c:pt>
                <c:pt idx="15">
                  <c:v>100.33</c:v>
                </c:pt>
                <c:pt idx="16">
                  <c:v>96.134010000000004</c:v>
                </c:pt>
                <c:pt idx="17">
                  <c:v>90.184049999999999</c:v>
                </c:pt>
                <c:pt idx="18">
                  <c:v>87.054029999999997</c:v>
                </c:pt>
                <c:pt idx="19">
                  <c:v>85.417929999999998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Chg_pos_A!$A$26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Chg_pos_A!$B$26:$U$26</c:f>
              <c:numCache>
                <c:formatCode>General</c:formatCode>
                <c:ptCount val="20"/>
                <c:pt idx="0">
                  <c:v>1168.893</c:v>
                </c:pt>
                <c:pt idx="1">
                  <c:v>720.41989999999998</c:v>
                </c:pt>
                <c:pt idx="2">
                  <c:v>462.7901</c:v>
                </c:pt>
                <c:pt idx="3">
                  <c:v>326.59570000000002</c:v>
                </c:pt>
                <c:pt idx="4">
                  <c:v>250.01419999999999</c:v>
                </c:pt>
                <c:pt idx="5">
                  <c:v>205.78440000000001</c:v>
                </c:pt>
                <c:pt idx="6">
                  <c:v>171.3278</c:v>
                </c:pt>
                <c:pt idx="7">
                  <c:v>146.19069999999999</c:v>
                </c:pt>
                <c:pt idx="8">
                  <c:v>129.72710000000001</c:v>
                </c:pt>
                <c:pt idx="9">
                  <c:v>114.5532</c:v>
                </c:pt>
                <c:pt idx="10">
                  <c:v>100.3173</c:v>
                </c:pt>
                <c:pt idx="11">
                  <c:v>94.181179999999998</c:v>
                </c:pt>
                <c:pt idx="12">
                  <c:v>87.416150000000002</c:v>
                </c:pt>
                <c:pt idx="13">
                  <c:v>79.525090000000006</c:v>
                </c:pt>
                <c:pt idx="14">
                  <c:v>74.728059999999999</c:v>
                </c:pt>
                <c:pt idx="15">
                  <c:v>69.983050000000006</c:v>
                </c:pt>
                <c:pt idx="16">
                  <c:v>64.961979999999997</c:v>
                </c:pt>
                <c:pt idx="17">
                  <c:v>60.887990000000002</c:v>
                </c:pt>
                <c:pt idx="18">
                  <c:v>58.037990000000001</c:v>
                </c:pt>
                <c:pt idx="19">
                  <c:v>54.712020000000003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Chg_pos_A!$A$27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Chg_pos_A!$B$27:$U$27</c:f>
              <c:numCache>
                <c:formatCode>General</c:formatCode>
                <c:ptCount val="20"/>
                <c:pt idx="0">
                  <c:v>1452.961</c:v>
                </c:pt>
                <c:pt idx="1">
                  <c:v>1004.538</c:v>
                </c:pt>
                <c:pt idx="2">
                  <c:v>639.71119999999996</c:v>
                </c:pt>
                <c:pt idx="3">
                  <c:v>445.22820000000002</c:v>
                </c:pt>
                <c:pt idx="4">
                  <c:v>341.24869999999999</c:v>
                </c:pt>
                <c:pt idx="5">
                  <c:v>274.64909999999998</c:v>
                </c:pt>
                <c:pt idx="6">
                  <c:v>232.68770000000001</c:v>
                </c:pt>
                <c:pt idx="7">
                  <c:v>198.7473</c:v>
                </c:pt>
                <c:pt idx="8">
                  <c:v>176.10069999999999</c:v>
                </c:pt>
                <c:pt idx="9">
                  <c:v>155.71279999999999</c:v>
                </c:pt>
                <c:pt idx="10">
                  <c:v>139.20699999999999</c:v>
                </c:pt>
                <c:pt idx="11">
                  <c:v>127.553</c:v>
                </c:pt>
                <c:pt idx="12">
                  <c:v>118.843</c:v>
                </c:pt>
                <c:pt idx="13">
                  <c:v>109.774</c:v>
                </c:pt>
                <c:pt idx="14">
                  <c:v>100.9641</c:v>
                </c:pt>
                <c:pt idx="15">
                  <c:v>94.858099999999993</c:v>
                </c:pt>
                <c:pt idx="16">
                  <c:v>88.917100000000005</c:v>
                </c:pt>
                <c:pt idx="17">
                  <c:v>82.600989999999996</c:v>
                </c:pt>
                <c:pt idx="18">
                  <c:v>78.881990000000002</c:v>
                </c:pt>
                <c:pt idx="19">
                  <c:v>78.227959999999996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Chg_pos_A!$A$28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Chg_pos_A!$B$28:$U$28</c:f>
              <c:numCache>
                <c:formatCode>General</c:formatCode>
                <c:ptCount val="20"/>
                <c:pt idx="0">
                  <c:v>1452.617</c:v>
                </c:pt>
                <c:pt idx="1">
                  <c:v>1013.624</c:v>
                </c:pt>
                <c:pt idx="2">
                  <c:v>664.3297</c:v>
                </c:pt>
                <c:pt idx="3">
                  <c:v>467.92090000000002</c:v>
                </c:pt>
                <c:pt idx="4">
                  <c:v>361.13260000000002</c:v>
                </c:pt>
                <c:pt idx="5">
                  <c:v>295.89679999999998</c:v>
                </c:pt>
                <c:pt idx="6">
                  <c:v>246.506</c:v>
                </c:pt>
                <c:pt idx="7">
                  <c:v>213.72890000000001</c:v>
                </c:pt>
                <c:pt idx="8">
                  <c:v>192.8339</c:v>
                </c:pt>
                <c:pt idx="9">
                  <c:v>173.9958</c:v>
                </c:pt>
                <c:pt idx="10">
                  <c:v>155.5309</c:v>
                </c:pt>
                <c:pt idx="11">
                  <c:v>140.32079999999999</c:v>
                </c:pt>
                <c:pt idx="12">
                  <c:v>127.679</c:v>
                </c:pt>
                <c:pt idx="13">
                  <c:v>118.304</c:v>
                </c:pt>
                <c:pt idx="14">
                  <c:v>110.244</c:v>
                </c:pt>
                <c:pt idx="15">
                  <c:v>100.1161</c:v>
                </c:pt>
                <c:pt idx="16">
                  <c:v>94.383099999999999</c:v>
                </c:pt>
                <c:pt idx="17">
                  <c:v>89.700959999999995</c:v>
                </c:pt>
                <c:pt idx="18">
                  <c:v>85.965959999999995</c:v>
                </c:pt>
                <c:pt idx="19">
                  <c:v>81.397909999999996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Chg_pos_A!$A$29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Chg_pos_A!$B$29:$U$29</c:f>
              <c:numCache>
                <c:formatCode>General</c:formatCode>
                <c:ptCount val="20"/>
                <c:pt idx="0">
                  <c:v>1628.3430000000001</c:v>
                </c:pt>
                <c:pt idx="1">
                  <c:v>1123.8620000000001</c:v>
                </c:pt>
                <c:pt idx="2">
                  <c:v>744.10329999999999</c:v>
                </c:pt>
                <c:pt idx="3">
                  <c:v>524.69500000000005</c:v>
                </c:pt>
                <c:pt idx="4">
                  <c:v>403.18290000000002</c:v>
                </c:pt>
                <c:pt idx="5">
                  <c:v>324.97070000000002</c:v>
                </c:pt>
                <c:pt idx="6">
                  <c:v>267.53370000000001</c:v>
                </c:pt>
                <c:pt idx="7">
                  <c:v>226.87299999999999</c:v>
                </c:pt>
                <c:pt idx="8">
                  <c:v>196.00710000000001</c:v>
                </c:pt>
                <c:pt idx="9">
                  <c:v>173.035</c:v>
                </c:pt>
                <c:pt idx="10">
                  <c:v>153.79589999999999</c:v>
                </c:pt>
                <c:pt idx="11">
                  <c:v>137.83789999999999</c:v>
                </c:pt>
                <c:pt idx="12">
                  <c:v>123.3389</c:v>
                </c:pt>
                <c:pt idx="13">
                  <c:v>112.158</c:v>
                </c:pt>
                <c:pt idx="14">
                  <c:v>102.1071</c:v>
                </c:pt>
                <c:pt idx="15">
                  <c:v>95.777109999999993</c:v>
                </c:pt>
                <c:pt idx="16">
                  <c:v>91.346130000000002</c:v>
                </c:pt>
                <c:pt idx="17">
                  <c:v>87.696020000000004</c:v>
                </c:pt>
                <c:pt idx="18">
                  <c:v>85.616010000000003</c:v>
                </c:pt>
                <c:pt idx="19">
                  <c:v>84.651949999999999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Chg_pos_A!$A$30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Chg_pos_A!$B$30:$U$30</c:f>
              <c:numCache>
                <c:formatCode>General</c:formatCode>
                <c:ptCount val="20"/>
                <c:pt idx="0">
                  <c:v>1416.9670000000001</c:v>
                </c:pt>
                <c:pt idx="1">
                  <c:v>874.91060000000004</c:v>
                </c:pt>
                <c:pt idx="2">
                  <c:v>479.97859999999997</c:v>
                </c:pt>
                <c:pt idx="3">
                  <c:v>316.3383</c:v>
                </c:pt>
                <c:pt idx="4">
                  <c:v>228.93969999999999</c:v>
                </c:pt>
                <c:pt idx="5">
                  <c:v>172.65860000000001</c:v>
                </c:pt>
                <c:pt idx="6">
                  <c:v>138.929</c:v>
                </c:pt>
                <c:pt idx="7">
                  <c:v>113.4909</c:v>
                </c:pt>
                <c:pt idx="8">
                  <c:v>97.262029999999996</c:v>
                </c:pt>
                <c:pt idx="9">
                  <c:v>85.907070000000004</c:v>
                </c:pt>
                <c:pt idx="10">
                  <c:v>76.321020000000004</c:v>
                </c:pt>
                <c:pt idx="11">
                  <c:v>64.827010000000001</c:v>
                </c:pt>
                <c:pt idx="12">
                  <c:v>57.535980000000002</c:v>
                </c:pt>
                <c:pt idx="13">
                  <c:v>50.490009999999998</c:v>
                </c:pt>
                <c:pt idx="14">
                  <c:v>46.502000000000002</c:v>
                </c:pt>
                <c:pt idx="15">
                  <c:v>43.677019999999999</c:v>
                </c:pt>
                <c:pt idx="16">
                  <c:v>40.345010000000002</c:v>
                </c:pt>
                <c:pt idx="17">
                  <c:v>37.488990000000001</c:v>
                </c:pt>
                <c:pt idx="18">
                  <c:v>35.82199</c:v>
                </c:pt>
                <c:pt idx="19">
                  <c:v>34.237000000000002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Chg_pos_A!$A$31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Chg_pos_A!$B$31:$U$31</c:f>
              <c:numCache>
                <c:formatCode>General</c:formatCode>
                <c:ptCount val="20"/>
                <c:pt idx="0">
                  <c:v>1557.587</c:v>
                </c:pt>
                <c:pt idx="1">
                  <c:v>928.39520000000005</c:v>
                </c:pt>
                <c:pt idx="2">
                  <c:v>525.01769999999999</c:v>
                </c:pt>
                <c:pt idx="3">
                  <c:v>349.48599999999999</c:v>
                </c:pt>
                <c:pt idx="4">
                  <c:v>257.16750000000002</c:v>
                </c:pt>
                <c:pt idx="5">
                  <c:v>204.50280000000001</c:v>
                </c:pt>
                <c:pt idx="6">
                  <c:v>172.7182</c:v>
                </c:pt>
                <c:pt idx="7">
                  <c:v>146.81290000000001</c:v>
                </c:pt>
                <c:pt idx="8">
                  <c:v>126.0429</c:v>
                </c:pt>
                <c:pt idx="9">
                  <c:v>112.04900000000001</c:v>
                </c:pt>
                <c:pt idx="10">
                  <c:v>101.411</c:v>
                </c:pt>
                <c:pt idx="11">
                  <c:v>93.072019999999995</c:v>
                </c:pt>
                <c:pt idx="12">
                  <c:v>84.287049999999994</c:v>
                </c:pt>
                <c:pt idx="13">
                  <c:v>78.337069999999997</c:v>
                </c:pt>
                <c:pt idx="14">
                  <c:v>72.585080000000005</c:v>
                </c:pt>
                <c:pt idx="15">
                  <c:v>66.078029999999998</c:v>
                </c:pt>
                <c:pt idx="16">
                  <c:v>61.914029999999997</c:v>
                </c:pt>
                <c:pt idx="17">
                  <c:v>58.014049999999997</c:v>
                </c:pt>
                <c:pt idx="18">
                  <c:v>55.356029999999997</c:v>
                </c:pt>
                <c:pt idx="19">
                  <c:v>53.438000000000002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Chg_pos_A!$A$32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Chg_pos_A!$B$32:$U$32</c:f>
              <c:numCache>
                <c:formatCode>General</c:formatCode>
                <c:ptCount val="20"/>
                <c:pt idx="0">
                  <c:v>1295.33</c:v>
                </c:pt>
                <c:pt idx="1">
                  <c:v>750.85209999999995</c:v>
                </c:pt>
                <c:pt idx="2">
                  <c:v>419.20549999999997</c:v>
                </c:pt>
                <c:pt idx="3">
                  <c:v>278.40559999999999</c:v>
                </c:pt>
                <c:pt idx="4">
                  <c:v>212.95689999999999</c:v>
                </c:pt>
                <c:pt idx="5">
                  <c:v>162.52610000000001</c:v>
                </c:pt>
                <c:pt idx="6">
                  <c:v>135.1396</c:v>
                </c:pt>
                <c:pt idx="7">
                  <c:v>114.6099</c:v>
                </c:pt>
                <c:pt idx="8">
                  <c:v>95.827029999999993</c:v>
                </c:pt>
                <c:pt idx="9">
                  <c:v>82.4251</c:v>
                </c:pt>
                <c:pt idx="10">
                  <c:v>74.589160000000007</c:v>
                </c:pt>
                <c:pt idx="11">
                  <c:v>68.546040000000005</c:v>
                </c:pt>
                <c:pt idx="12">
                  <c:v>63.245989999999999</c:v>
                </c:pt>
                <c:pt idx="13">
                  <c:v>59.590989999999998</c:v>
                </c:pt>
                <c:pt idx="14">
                  <c:v>54.375999999999998</c:v>
                </c:pt>
                <c:pt idx="15">
                  <c:v>51.997010000000003</c:v>
                </c:pt>
                <c:pt idx="16">
                  <c:v>49.83099</c:v>
                </c:pt>
                <c:pt idx="17">
                  <c:v>45.09301</c:v>
                </c:pt>
                <c:pt idx="18">
                  <c:v>41.590989999999998</c:v>
                </c:pt>
                <c:pt idx="19">
                  <c:v>39.900010000000002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Chg_pos_A!$A$33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Chg_pos_A!$B$33:$U$33</c:f>
              <c:numCache>
                <c:formatCode>General</c:formatCode>
                <c:ptCount val="20"/>
                <c:pt idx="0">
                  <c:v>1246.5170000000001</c:v>
                </c:pt>
                <c:pt idx="1">
                  <c:v>698.86509999999998</c:v>
                </c:pt>
                <c:pt idx="2">
                  <c:v>379.11869999999999</c:v>
                </c:pt>
                <c:pt idx="3">
                  <c:v>256.67439999999999</c:v>
                </c:pt>
                <c:pt idx="4">
                  <c:v>186.28899999999999</c:v>
                </c:pt>
                <c:pt idx="5">
                  <c:v>147.39930000000001</c:v>
                </c:pt>
                <c:pt idx="6">
                  <c:v>118.1066</c:v>
                </c:pt>
                <c:pt idx="7">
                  <c:v>101.10290000000001</c:v>
                </c:pt>
                <c:pt idx="8">
                  <c:v>88.035039999999995</c:v>
                </c:pt>
                <c:pt idx="9">
                  <c:v>78.426079999999999</c:v>
                </c:pt>
                <c:pt idx="10">
                  <c:v>71.345119999999994</c:v>
                </c:pt>
                <c:pt idx="11">
                  <c:v>62.708100000000002</c:v>
                </c:pt>
                <c:pt idx="12">
                  <c:v>58.540970000000002</c:v>
                </c:pt>
                <c:pt idx="13">
                  <c:v>53.74597</c:v>
                </c:pt>
                <c:pt idx="14">
                  <c:v>49.399990000000003</c:v>
                </c:pt>
                <c:pt idx="15">
                  <c:v>45.623019999999997</c:v>
                </c:pt>
                <c:pt idx="16">
                  <c:v>42.973979999999997</c:v>
                </c:pt>
                <c:pt idx="17">
                  <c:v>40.84198</c:v>
                </c:pt>
                <c:pt idx="18">
                  <c:v>38.464970000000001</c:v>
                </c:pt>
                <c:pt idx="19">
                  <c:v>37.027979999999999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Chg_pos_A!$A$34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Chg_pos_A!$B$34:$U$34</c:f>
              <c:numCache>
                <c:formatCode>General</c:formatCode>
                <c:ptCount val="20"/>
                <c:pt idx="0">
                  <c:v>1230.5909999999999</c:v>
                </c:pt>
                <c:pt idx="1">
                  <c:v>698.19100000000003</c:v>
                </c:pt>
                <c:pt idx="2">
                  <c:v>384.14350000000002</c:v>
                </c:pt>
                <c:pt idx="3">
                  <c:v>255.13929999999999</c:v>
                </c:pt>
                <c:pt idx="4">
                  <c:v>186.5351</c:v>
                </c:pt>
                <c:pt idx="5">
                  <c:v>146.40819999999999</c:v>
                </c:pt>
                <c:pt idx="6">
                  <c:v>120.2056</c:v>
                </c:pt>
                <c:pt idx="7">
                  <c:v>98.484960000000001</c:v>
                </c:pt>
                <c:pt idx="8">
                  <c:v>84.426029999999997</c:v>
                </c:pt>
                <c:pt idx="9">
                  <c:v>76.516090000000005</c:v>
                </c:pt>
                <c:pt idx="10">
                  <c:v>69.156109999999998</c:v>
                </c:pt>
                <c:pt idx="11">
                  <c:v>61.282110000000003</c:v>
                </c:pt>
                <c:pt idx="12">
                  <c:v>57.318980000000003</c:v>
                </c:pt>
                <c:pt idx="13">
                  <c:v>53.241970000000002</c:v>
                </c:pt>
                <c:pt idx="14">
                  <c:v>50.753999999999998</c:v>
                </c:pt>
                <c:pt idx="15">
                  <c:v>47.414999999999999</c:v>
                </c:pt>
                <c:pt idx="16">
                  <c:v>43.607979999999998</c:v>
                </c:pt>
                <c:pt idx="17">
                  <c:v>40.29898</c:v>
                </c:pt>
                <c:pt idx="18">
                  <c:v>37.465969999999999</c:v>
                </c:pt>
                <c:pt idx="19">
                  <c:v>36.03998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Chg_pos_A!$A$35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Chg_pos_A!$B$35:$U$35</c:f>
              <c:numCache>
                <c:formatCode>General</c:formatCode>
                <c:ptCount val="20"/>
                <c:pt idx="0">
                  <c:v>4285.7579999999998</c:v>
                </c:pt>
                <c:pt idx="1">
                  <c:v>2917.8760000000002</c:v>
                </c:pt>
                <c:pt idx="2">
                  <c:v>1884.0229999999999</c:v>
                </c:pt>
                <c:pt idx="3">
                  <c:v>1365.3879999999999</c:v>
                </c:pt>
                <c:pt idx="4">
                  <c:v>1052.3510000000001</c:v>
                </c:pt>
                <c:pt idx="5">
                  <c:v>841.63549999999998</c:v>
                </c:pt>
                <c:pt idx="6">
                  <c:v>710.45839999999998</c:v>
                </c:pt>
                <c:pt idx="7">
                  <c:v>601.90899999999999</c:v>
                </c:pt>
                <c:pt idx="8">
                  <c:v>515.49189999999999</c:v>
                </c:pt>
                <c:pt idx="9">
                  <c:v>450.51479999999998</c:v>
                </c:pt>
                <c:pt idx="10">
                  <c:v>400.21170000000001</c:v>
                </c:pt>
                <c:pt idx="11">
                  <c:v>357.62560000000002</c:v>
                </c:pt>
                <c:pt idx="12">
                  <c:v>319.81020000000001</c:v>
                </c:pt>
                <c:pt idx="13">
                  <c:v>288.20909999999998</c:v>
                </c:pt>
                <c:pt idx="14">
                  <c:v>267.59859999999998</c:v>
                </c:pt>
                <c:pt idx="15">
                  <c:v>248.15649999999999</c:v>
                </c:pt>
                <c:pt idx="16">
                  <c:v>223.61490000000001</c:v>
                </c:pt>
                <c:pt idx="17">
                  <c:v>208.8553</c:v>
                </c:pt>
                <c:pt idx="18">
                  <c:v>197.68899999999999</c:v>
                </c:pt>
                <c:pt idx="19">
                  <c:v>197.94370000000001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Chg_pos_A!$A$36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Chg_pos_A!$B$36:$U$36</c:f>
              <c:numCache>
                <c:formatCode>General</c:formatCode>
                <c:ptCount val="20"/>
                <c:pt idx="0">
                  <c:v>4472.6679999999997</c:v>
                </c:pt>
                <c:pt idx="1">
                  <c:v>3028.038</c:v>
                </c:pt>
                <c:pt idx="2">
                  <c:v>1926.6679999999999</c:v>
                </c:pt>
                <c:pt idx="3">
                  <c:v>1370.6420000000001</c:v>
                </c:pt>
                <c:pt idx="4">
                  <c:v>1047.258</c:v>
                </c:pt>
                <c:pt idx="5">
                  <c:v>842.16869999999994</c:v>
                </c:pt>
                <c:pt idx="6">
                  <c:v>699.0163</c:v>
                </c:pt>
                <c:pt idx="7">
                  <c:v>590.53970000000004</c:v>
                </c:pt>
                <c:pt idx="8">
                  <c:v>498.38990000000001</c:v>
                </c:pt>
                <c:pt idx="9">
                  <c:v>436.20909999999998</c:v>
                </c:pt>
                <c:pt idx="10">
                  <c:v>385.61869999999999</c:v>
                </c:pt>
                <c:pt idx="11">
                  <c:v>345.45299999999997</c:v>
                </c:pt>
                <c:pt idx="12">
                  <c:v>312.96519999999998</c:v>
                </c:pt>
                <c:pt idx="13">
                  <c:v>282.88740000000001</c:v>
                </c:pt>
                <c:pt idx="14">
                  <c:v>255.34630000000001</c:v>
                </c:pt>
                <c:pt idx="15">
                  <c:v>237.19980000000001</c:v>
                </c:pt>
                <c:pt idx="16">
                  <c:v>205.2287</c:v>
                </c:pt>
                <c:pt idx="17">
                  <c:v>191.30609999999999</c:v>
                </c:pt>
                <c:pt idx="18">
                  <c:v>187.5539</c:v>
                </c:pt>
                <c:pt idx="19">
                  <c:v>176.51660000000001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Chg_pos_A!$A$37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Chg_pos_A!$B$2:$U$2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Chg_pos_A!$B$37:$U$37</c:f>
              <c:numCache>
                <c:formatCode>General</c:formatCode>
                <c:ptCount val="20"/>
                <c:pt idx="0">
                  <c:v>5178.665</c:v>
                </c:pt>
                <c:pt idx="1">
                  <c:v>3675.1619999999998</c:v>
                </c:pt>
                <c:pt idx="2">
                  <c:v>2442.0479999999998</c:v>
                </c:pt>
                <c:pt idx="3">
                  <c:v>1800.396</c:v>
                </c:pt>
                <c:pt idx="4">
                  <c:v>1407.3030000000001</c:v>
                </c:pt>
                <c:pt idx="5">
                  <c:v>1146.8019999999999</c:v>
                </c:pt>
                <c:pt idx="6">
                  <c:v>957.19069999999999</c:v>
                </c:pt>
                <c:pt idx="7">
                  <c:v>815.77970000000005</c:v>
                </c:pt>
                <c:pt idx="8">
                  <c:v>702.22119999999995</c:v>
                </c:pt>
                <c:pt idx="9">
                  <c:v>625.28880000000004</c:v>
                </c:pt>
                <c:pt idx="10">
                  <c:v>556.80020000000002</c:v>
                </c:pt>
                <c:pt idx="11">
                  <c:v>499.30799999999999</c:v>
                </c:pt>
                <c:pt idx="12">
                  <c:v>449.98840000000001</c:v>
                </c:pt>
                <c:pt idx="13">
                  <c:v>409.15370000000001</c:v>
                </c:pt>
                <c:pt idx="14">
                  <c:v>380.62720000000002</c:v>
                </c:pt>
                <c:pt idx="15">
                  <c:v>353.50979999999998</c:v>
                </c:pt>
                <c:pt idx="16">
                  <c:v>322.33769999999998</c:v>
                </c:pt>
                <c:pt idx="17">
                  <c:v>298.59160000000003</c:v>
                </c:pt>
                <c:pt idx="18">
                  <c:v>305.96899999999999</c:v>
                </c:pt>
                <c:pt idx="19">
                  <c:v>292.92360000000002</c:v>
                </c:pt>
              </c:numCache>
            </c:numRef>
          </c:yVal>
          <c:smooth val="1"/>
        </c:ser>
        <c:axId val="97333248"/>
        <c:axId val="97335168"/>
      </c:scatterChart>
      <c:valAx>
        <c:axId val="9733324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335168"/>
        <c:crosses val="autoZero"/>
        <c:crossBetween val="midCat"/>
      </c:valAx>
      <c:valAx>
        <c:axId val="97335168"/>
        <c:scaling>
          <c:orientation val="minMax"/>
        </c:scaling>
        <c:axPos val="l"/>
        <c:numFmt formatCode="General" sourceLinked="1"/>
        <c:tickLblPos val="nextTo"/>
        <c:crossAx val="97333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946348577103754"/>
          <c:y val="2.2215441644654305E-2"/>
          <c:w val="0.31178839473165909"/>
          <c:h val="0.83985172389880414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'!$B$3:$U$3</c:f>
              <c:numCache>
                <c:formatCode>General</c:formatCode>
                <c:ptCount val="20"/>
                <c:pt idx="0">
                  <c:v>1.1998626965463898E-2</c:v>
                </c:pt>
                <c:pt idx="1">
                  <c:v>1.2891618565599609E-2</c:v>
                </c:pt>
                <c:pt idx="2">
                  <c:v>1.3414099056980168E-2</c:v>
                </c:pt>
                <c:pt idx="3">
                  <c:v>1.3756650403234755E-2</c:v>
                </c:pt>
                <c:pt idx="4">
                  <c:v>1.3610619983715249E-2</c:v>
                </c:pt>
                <c:pt idx="5">
                  <c:v>1.3369453765846383E-2</c:v>
                </c:pt>
                <c:pt idx="6">
                  <c:v>1.3432853494326861E-2</c:v>
                </c:pt>
                <c:pt idx="7">
                  <c:v>1.3406187420034146E-2</c:v>
                </c:pt>
                <c:pt idx="8">
                  <c:v>1.322082517563015E-2</c:v>
                </c:pt>
                <c:pt idx="9">
                  <c:v>1.2886957200625285E-2</c:v>
                </c:pt>
                <c:pt idx="10">
                  <c:v>1.2556870764035378E-2</c:v>
                </c:pt>
                <c:pt idx="11">
                  <c:v>1.2436668450950917E-2</c:v>
                </c:pt>
                <c:pt idx="12">
                  <c:v>1.2445516024541647E-2</c:v>
                </c:pt>
                <c:pt idx="13">
                  <c:v>1.2295122932105201E-2</c:v>
                </c:pt>
                <c:pt idx="14">
                  <c:v>1.2220777840982817E-2</c:v>
                </c:pt>
                <c:pt idx="15">
                  <c:v>1.2235723082771688E-2</c:v>
                </c:pt>
                <c:pt idx="16">
                  <c:v>1.2205872168754803E-2</c:v>
                </c:pt>
                <c:pt idx="17">
                  <c:v>1.2459059567796459E-2</c:v>
                </c:pt>
                <c:pt idx="18">
                  <c:v>1.2261567900193008E-2</c:v>
                </c:pt>
                <c:pt idx="19">
                  <c:v>1.1804655487998148E-2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'!$B$21:$U$21</c:f>
              <c:numCache>
                <c:formatCode>General</c:formatCode>
                <c:ptCount val="20"/>
                <c:pt idx="0">
                  <c:v>1.1977378652186274E-2</c:v>
                </c:pt>
                <c:pt idx="1">
                  <c:v>1.3491711066039023E-2</c:v>
                </c:pt>
                <c:pt idx="2">
                  <c:v>1.4578997427692347E-2</c:v>
                </c:pt>
                <c:pt idx="3">
                  <c:v>1.4890877434002046E-2</c:v>
                </c:pt>
                <c:pt idx="4">
                  <c:v>1.5094174649893573E-2</c:v>
                </c:pt>
                <c:pt idx="5">
                  <c:v>1.5251749334954079E-2</c:v>
                </c:pt>
                <c:pt idx="6">
                  <c:v>1.5359642655726421E-2</c:v>
                </c:pt>
                <c:pt idx="7">
                  <c:v>1.560136377095799E-2</c:v>
                </c:pt>
                <c:pt idx="8">
                  <c:v>1.5667394608979229E-2</c:v>
                </c:pt>
                <c:pt idx="9">
                  <c:v>1.5828521070835079E-2</c:v>
                </c:pt>
                <c:pt idx="10">
                  <c:v>1.6057828704777344E-2</c:v>
                </c:pt>
                <c:pt idx="11">
                  <c:v>1.6056914993976865E-2</c:v>
                </c:pt>
                <c:pt idx="12">
                  <c:v>1.6046241486856343E-2</c:v>
                </c:pt>
                <c:pt idx="13">
                  <c:v>1.6433047106697012E-2</c:v>
                </c:pt>
                <c:pt idx="14">
                  <c:v>1.6648358387334458E-2</c:v>
                </c:pt>
                <c:pt idx="15">
                  <c:v>1.6668426157144537E-2</c:v>
                </c:pt>
                <c:pt idx="16">
                  <c:v>1.6697341245352746E-2</c:v>
                </c:pt>
                <c:pt idx="17">
                  <c:v>1.6739356070896778E-2</c:v>
                </c:pt>
                <c:pt idx="18">
                  <c:v>1.6567177287688618E-2</c:v>
                </c:pt>
                <c:pt idx="19">
                  <c:v>1.6469094952646816E-2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'!$B$37:$U$37</c:f>
              <c:numCache>
                <c:formatCode>General</c:formatCode>
                <c:ptCount val="20"/>
                <c:pt idx="0">
                  <c:v>8.1091922339058438E-3</c:v>
                </c:pt>
                <c:pt idx="1">
                  <c:v>8.815439972442031E-3</c:v>
                </c:pt>
                <c:pt idx="2">
                  <c:v>9.7332853408286825E-3</c:v>
                </c:pt>
                <c:pt idx="3">
                  <c:v>1.0189430547501771E-2</c:v>
                </c:pt>
                <c:pt idx="4">
                  <c:v>1.0561058990139293E-2</c:v>
                </c:pt>
                <c:pt idx="5">
                  <c:v>1.0830762415831157E-2</c:v>
                </c:pt>
                <c:pt idx="6">
                  <c:v>1.088363060777753E-2</c:v>
                </c:pt>
                <c:pt idx="7">
                  <c:v>1.0961975396053616E-2</c:v>
                </c:pt>
                <c:pt idx="8">
                  <c:v>1.0909138032289541E-2</c:v>
                </c:pt>
                <c:pt idx="9">
                  <c:v>1.0705741091156597E-2</c:v>
                </c:pt>
                <c:pt idx="10">
                  <c:v>1.0725475673320519E-2</c:v>
                </c:pt>
                <c:pt idx="11">
                  <c:v>1.0505944226809904E-2</c:v>
                </c:pt>
                <c:pt idx="12">
                  <c:v>1.0449540477043408E-2</c:v>
                </c:pt>
                <c:pt idx="13">
                  <c:v>1.0363802160410624E-2</c:v>
                </c:pt>
                <c:pt idx="14">
                  <c:v>1.0332882148201704E-2</c:v>
                </c:pt>
                <c:pt idx="15">
                  <c:v>1.0151384770662653E-2</c:v>
                </c:pt>
                <c:pt idx="16">
                  <c:v>1.0175604653132414E-2</c:v>
                </c:pt>
                <c:pt idx="17">
                  <c:v>1.0298839619064968E-2</c:v>
                </c:pt>
                <c:pt idx="18">
                  <c:v>9.9046994957005443E-3</c:v>
                </c:pt>
                <c:pt idx="19">
                  <c:v>9.8145659823926784E-3</c:v>
                </c:pt>
              </c:numCache>
            </c:numRef>
          </c:yVal>
          <c:smooth val="1"/>
        </c:ser>
        <c:axId val="85025152"/>
        <c:axId val="85027072"/>
      </c:scatterChart>
      <c:valAx>
        <c:axId val="85025152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27072"/>
        <c:crosses val="autoZero"/>
        <c:crossBetween val="midCat"/>
      </c:valAx>
      <c:valAx>
        <c:axId val="85027072"/>
        <c:scaling>
          <c:orientation val="minMax"/>
        </c:scaling>
        <c:axPos val="l"/>
        <c:numFmt formatCode="General" sourceLinked="1"/>
        <c:tickLblPos val="nextTo"/>
        <c:crossAx val="850251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AA_pho_A!$A$3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AA_pho_A!$B$3:$U$3</c:f>
              <c:numCache>
                <c:formatCode>General</c:formatCode>
                <c:ptCount val="20"/>
                <c:pt idx="0">
                  <c:v>562.1078</c:v>
                </c:pt>
                <c:pt idx="1">
                  <c:v>351.8938</c:v>
                </c:pt>
                <c:pt idx="2">
                  <c:v>197.76599999999999</c:v>
                </c:pt>
                <c:pt idx="3">
                  <c:v>132.09059999999999</c:v>
                </c:pt>
                <c:pt idx="4">
                  <c:v>95.020939999999996</c:v>
                </c:pt>
                <c:pt idx="5">
                  <c:v>71.418980000000005</c:v>
                </c:pt>
                <c:pt idx="6">
                  <c:v>59.022030000000001</c:v>
                </c:pt>
                <c:pt idx="7">
                  <c:v>47.295020000000001</c:v>
                </c:pt>
                <c:pt idx="8">
                  <c:v>40.357979999999998</c:v>
                </c:pt>
                <c:pt idx="9">
                  <c:v>36.152009999999997</c:v>
                </c:pt>
                <c:pt idx="10">
                  <c:v>32.717030000000001</c:v>
                </c:pt>
                <c:pt idx="11">
                  <c:v>29.006019999999999</c:v>
                </c:pt>
                <c:pt idx="12">
                  <c:v>25.850999999999999</c:v>
                </c:pt>
                <c:pt idx="13">
                  <c:v>22.032990000000002</c:v>
                </c:pt>
                <c:pt idx="14">
                  <c:v>20.58399</c:v>
                </c:pt>
                <c:pt idx="15">
                  <c:v>17.696999999999999</c:v>
                </c:pt>
                <c:pt idx="16">
                  <c:v>16.471</c:v>
                </c:pt>
                <c:pt idx="17">
                  <c:v>14.795999999999999</c:v>
                </c:pt>
                <c:pt idx="18">
                  <c:v>14.531000000000001</c:v>
                </c:pt>
                <c:pt idx="19">
                  <c:v>13.589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AA_pho_A!$A$4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AA_pho_A!$B$4:$U$4</c:f>
              <c:numCache>
                <c:formatCode>General</c:formatCode>
                <c:ptCount val="20"/>
                <c:pt idx="0">
                  <c:v>741.99059999999997</c:v>
                </c:pt>
                <c:pt idx="1">
                  <c:v>453.81299999999999</c:v>
                </c:pt>
                <c:pt idx="2">
                  <c:v>246.8817</c:v>
                </c:pt>
                <c:pt idx="3">
                  <c:v>164.21690000000001</c:v>
                </c:pt>
                <c:pt idx="4">
                  <c:v>125.782</c:v>
                </c:pt>
                <c:pt idx="5">
                  <c:v>97.210909999999998</c:v>
                </c:pt>
                <c:pt idx="6">
                  <c:v>83.552030000000002</c:v>
                </c:pt>
                <c:pt idx="7">
                  <c:v>74.169110000000003</c:v>
                </c:pt>
                <c:pt idx="8">
                  <c:v>65.485979999999998</c:v>
                </c:pt>
                <c:pt idx="9">
                  <c:v>59.049959999999999</c:v>
                </c:pt>
                <c:pt idx="10">
                  <c:v>54.862960000000001</c:v>
                </c:pt>
                <c:pt idx="11">
                  <c:v>48.925989999999999</c:v>
                </c:pt>
                <c:pt idx="12">
                  <c:v>44.481009999999998</c:v>
                </c:pt>
                <c:pt idx="13">
                  <c:v>41.811999999999998</c:v>
                </c:pt>
                <c:pt idx="14">
                  <c:v>38.704979999999999</c:v>
                </c:pt>
                <c:pt idx="15">
                  <c:v>35.782020000000003</c:v>
                </c:pt>
                <c:pt idx="16">
                  <c:v>33.373019999999997</c:v>
                </c:pt>
                <c:pt idx="17">
                  <c:v>31.46902</c:v>
                </c:pt>
                <c:pt idx="18">
                  <c:v>29.274010000000001</c:v>
                </c:pt>
                <c:pt idx="19">
                  <c:v>28.10201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AA_pho_A!$A$5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AA_pho_A!$B$5:$U$5</c:f>
              <c:numCache>
                <c:formatCode>General</c:formatCode>
                <c:ptCount val="20"/>
                <c:pt idx="0">
                  <c:v>794.33010000000002</c:v>
                </c:pt>
                <c:pt idx="1">
                  <c:v>400.0111</c:v>
                </c:pt>
                <c:pt idx="2">
                  <c:v>195.54990000000001</c:v>
                </c:pt>
                <c:pt idx="3">
                  <c:v>118.7957</c:v>
                </c:pt>
                <c:pt idx="4">
                  <c:v>82.653949999999995</c:v>
                </c:pt>
                <c:pt idx="5">
                  <c:v>62.879040000000003</c:v>
                </c:pt>
                <c:pt idx="6">
                  <c:v>48.628039999999999</c:v>
                </c:pt>
                <c:pt idx="7">
                  <c:v>37.722999999999999</c:v>
                </c:pt>
                <c:pt idx="8">
                  <c:v>31.549009999999999</c:v>
                </c:pt>
                <c:pt idx="9">
                  <c:v>27.89002</c:v>
                </c:pt>
                <c:pt idx="10">
                  <c:v>25.664010000000001</c:v>
                </c:pt>
                <c:pt idx="11">
                  <c:v>22.520009999999999</c:v>
                </c:pt>
                <c:pt idx="12">
                  <c:v>20.516999999999999</c:v>
                </c:pt>
                <c:pt idx="13">
                  <c:v>18.577999999999999</c:v>
                </c:pt>
                <c:pt idx="14">
                  <c:v>17.352</c:v>
                </c:pt>
                <c:pt idx="15">
                  <c:v>14.731999999999999</c:v>
                </c:pt>
                <c:pt idx="16">
                  <c:v>14.003</c:v>
                </c:pt>
                <c:pt idx="17">
                  <c:v>13.044</c:v>
                </c:pt>
                <c:pt idx="18">
                  <c:v>12.568</c:v>
                </c:pt>
                <c:pt idx="19">
                  <c:v>12.09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AA_pho_A!$A$6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AA_pho_A!$B$6:$U$6</c:f>
              <c:numCache>
                <c:formatCode>General</c:formatCode>
                <c:ptCount val="20"/>
                <c:pt idx="0">
                  <c:v>380.4828</c:v>
                </c:pt>
                <c:pt idx="1">
                  <c:v>146.26300000000001</c:v>
                </c:pt>
                <c:pt idx="2">
                  <c:v>75.936959999999999</c:v>
                </c:pt>
                <c:pt idx="3">
                  <c:v>45.794989999999999</c:v>
                </c:pt>
                <c:pt idx="4">
                  <c:v>30.42201</c:v>
                </c:pt>
                <c:pt idx="5">
                  <c:v>21.21199</c:v>
                </c:pt>
                <c:pt idx="6">
                  <c:v>15.805</c:v>
                </c:pt>
                <c:pt idx="7">
                  <c:v>12.641999999999999</c:v>
                </c:pt>
                <c:pt idx="8">
                  <c:v>10.454000000000001</c:v>
                </c:pt>
                <c:pt idx="9">
                  <c:v>8.9799989999999994</c:v>
                </c:pt>
                <c:pt idx="10">
                  <c:v>7.5529999999999999</c:v>
                </c:pt>
                <c:pt idx="11">
                  <c:v>6.1260000000000003</c:v>
                </c:pt>
                <c:pt idx="12">
                  <c:v>5.8789999999999996</c:v>
                </c:pt>
                <c:pt idx="13">
                  <c:v>4.9409999999999998</c:v>
                </c:pt>
                <c:pt idx="14">
                  <c:v>4.2110000000000003</c:v>
                </c:pt>
                <c:pt idx="15">
                  <c:v>3.9569999999999999</c:v>
                </c:pt>
                <c:pt idx="16">
                  <c:v>3.7210000000000001</c:v>
                </c:pt>
                <c:pt idx="17">
                  <c:v>3.4889999999999999</c:v>
                </c:pt>
                <c:pt idx="18">
                  <c:v>3.0249999999999999</c:v>
                </c:pt>
                <c:pt idx="19">
                  <c:v>2.7770000000000001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AA_pho_A!$A$7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AA_pho_A!$B$7:$U$7</c:f>
              <c:numCache>
                <c:formatCode>General</c:formatCode>
                <c:ptCount val="20"/>
                <c:pt idx="0">
                  <c:v>338.20080000000002</c:v>
                </c:pt>
                <c:pt idx="1">
                  <c:v>132.9931</c:v>
                </c:pt>
                <c:pt idx="2">
                  <c:v>64.665019999999998</c:v>
                </c:pt>
                <c:pt idx="3">
                  <c:v>37.60801</c:v>
                </c:pt>
                <c:pt idx="4">
                  <c:v>22.69501</c:v>
                </c:pt>
                <c:pt idx="5">
                  <c:v>16.413</c:v>
                </c:pt>
                <c:pt idx="6">
                  <c:v>12.201000000000001</c:v>
                </c:pt>
                <c:pt idx="7">
                  <c:v>9.5289990000000007</c:v>
                </c:pt>
                <c:pt idx="8">
                  <c:v>8.2959999999999994</c:v>
                </c:pt>
                <c:pt idx="9">
                  <c:v>6.617</c:v>
                </c:pt>
                <c:pt idx="10">
                  <c:v>5.4219999999999997</c:v>
                </c:pt>
                <c:pt idx="11">
                  <c:v>4.2309989999999997</c:v>
                </c:pt>
                <c:pt idx="12">
                  <c:v>3.5129999999999999</c:v>
                </c:pt>
                <c:pt idx="13">
                  <c:v>3.274</c:v>
                </c:pt>
                <c:pt idx="14">
                  <c:v>3.2679999999999998</c:v>
                </c:pt>
                <c:pt idx="15">
                  <c:v>3.036</c:v>
                </c:pt>
                <c:pt idx="16">
                  <c:v>2.7839999999999998</c:v>
                </c:pt>
                <c:pt idx="17">
                  <c:v>2.5510000000000002</c:v>
                </c:pt>
                <c:pt idx="18">
                  <c:v>2.5510000000000002</c:v>
                </c:pt>
                <c:pt idx="19">
                  <c:v>2.5470000000000002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AA_pho_A!$A$8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AA_pho_A!$B$8:$U$8</c:f>
              <c:numCache>
                <c:formatCode>General</c:formatCode>
                <c:ptCount val="20"/>
                <c:pt idx="0">
                  <c:v>345.07119999999998</c:v>
                </c:pt>
                <c:pt idx="1">
                  <c:v>137.31010000000001</c:v>
                </c:pt>
                <c:pt idx="2">
                  <c:v>62.07499</c:v>
                </c:pt>
                <c:pt idx="3">
                  <c:v>34.579990000000002</c:v>
                </c:pt>
                <c:pt idx="4">
                  <c:v>22.64301</c:v>
                </c:pt>
                <c:pt idx="5">
                  <c:v>15.414</c:v>
                </c:pt>
                <c:pt idx="6">
                  <c:v>11.715</c:v>
                </c:pt>
                <c:pt idx="7">
                  <c:v>9.0229999999999997</c:v>
                </c:pt>
                <c:pt idx="8">
                  <c:v>7.32</c:v>
                </c:pt>
                <c:pt idx="9">
                  <c:v>6.1139999999999999</c:v>
                </c:pt>
                <c:pt idx="10">
                  <c:v>4.4589999999999996</c:v>
                </c:pt>
                <c:pt idx="11">
                  <c:v>4.2109990000000002</c:v>
                </c:pt>
                <c:pt idx="12">
                  <c:v>3.9549989999999999</c:v>
                </c:pt>
                <c:pt idx="13">
                  <c:v>3.4830000000000001</c:v>
                </c:pt>
                <c:pt idx="14">
                  <c:v>3.2469999999999999</c:v>
                </c:pt>
                <c:pt idx="15">
                  <c:v>2.3180000000000001</c:v>
                </c:pt>
                <c:pt idx="16">
                  <c:v>2.3140000000000001</c:v>
                </c:pt>
                <c:pt idx="17">
                  <c:v>2.3109999999999999</c:v>
                </c:pt>
                <c:pt idx="18">
                  <c:v>2.3079999999999998</c:v>
                </c:pt>
                <c:pt idx="19">
                  <c:v>2.306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AA_pho_A!$A$9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AA_pho_A!$B$9:$U$9</c:f>
              <c:numCache>
                <c:formatCode>General</c:formatCode>
                <c:ptCount val="20"/>
                <c:pt idx="0">
                  <c:v>340.06459999999998</c:v>
                </c:pt>
                <c:pt idx="1">
                  <c:v>132.3921</c:v>
                </c:pt>
                <c:pt idx="2">
                  <c:v>59.849989999999998</c:v>
                </c:pt>
                <c:pt idx="3">
                  <c:v>34.827010000000001</c:v>
                </c:pt>
                <c:pt idx="4">
                  <c:v>23.384</c:v>
                </c:pt>
                <c:pt idx="5">
                  <c:v>16.137</c:v>
                </c:pt>
                <c:pt idx="6">
                  <c:v>11.722</c:v>
                </c:pt>
                <c:pt idx="7">
                  <c:v>9.5259999999999998</c:v>
                </c:pt>
                <c:pt idx="8">
                  <c:v>8.2890010000000007</c:v>
                </c:pt>
                <c:pt idx="9">
                  <c:v>7.0809990000000003</c:v>
                </c:pt>
                <c:pt idx="10">
                  <c:v>5.8819999999999997</c:v>
                </c:pt>
                <c:pt idx="11">
                  <c:v>5.1589999999999998</c:v>
                </c:pt>
                <c:pt idx="12">
                  <c:v>4.915</c:v>
                </c:pt>
                <c:pt idx="13">
                  <c:v>4.9050010000000004</c:v>
                </c:pt>
                <c:pt idx="14">
                  <c:v>4.43</c:v>
                </c:pt>
                <c:pt idx="15">
                  <c:v>3.95</c:v>
                </c:pt>
                <c:pt idx="16">
                  <c:v>3.4860000000000002</c:v>
                </c:pt>
                <c:pt idx="17">
                  <c:v>3.25</c:v>
                </c:pt>
                <c:pt idx="18">
                  <c:v>3.0190000000000001</c:v>
                </c:pt>
                <c:pt idx="19">
                  <c:v>3.0169999999999999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AA_pho_A!$A$10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AA_pho_A!$B$10:$U$10</c:f>
              <c:numCache>
                <c:formatCode>General</c:formatCode>
                <c:ptCount val="20"/>
                <c:pt idx="0">
                  <c:v>522.11329999999998</c:v>
                </c:pt>
                <c:pt idx="1">
                  <c:v>206.85130000000001</c:v>
                </c:pt>
                <c:pt idx="2">
                  <c:v>99.111009999999993</c:v>
                </c:pt>
                <c:pt idx="3">
                  <c:v>54.511029999999998</c:v>
                </c:pt>
                <c:pt idx="4">
                  <c:v>35.551020000000001</c:v>
                </c:pt>
                <c:pt idx="5">
                  <c:v>24.79701</c:v>
                </c:pt>
                <c:pt idx="6">
                  <c:v>19.047000000000001</c:v>
                </c:pt>
                <c:pt idx="7">
                  <c:v>15.096</c:v>
                </c:pt>
                <c:pt idx="8">
                  <c:v>12.412000000000001</c:v>
                </c:pt>
                <c:pt idx="9">
                  <c:v>10.702</c:v>
                </c:pt>
                <c:pt idx="10">
                  <c:v>9.4969999999999999</c:v>
                </c:pt>
                <c:pt idx="11">
                  <c:v>8.2829990000000002</c:v>
                </c:pt>
                <c:pt idx="12">
                  <c:v>7.3209999999999997</c:v>
                </c:pt>
                <c:pt idx="13">
                  <c:v>6.617</c:v>
                </c:pt>
                <c:pt idx="14">
                  <c:v>5.8979990000000004</c:v>
                </c:pt>
                <c:pt idx="15">
                  <c:v>5.1970000000000001</c:v>
                </c:pt>
                <c:pt idx="16">
                  <c:v>4.7160000000000002</c:v>
                </c:pt>
                <c:pt idx="17">
                  <c:v>3.762</c:v>
                </c:pt>
                <c:pt idx="18">
                  <c:v>3.758</c:v>
                </c:pt>
                <c:pt idx="19">
                  <c:v>3.0510000000000002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AA_pho_A!$A$11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AA_pho_A!$B$11:$U$11</c:f>
              <c:numCache>
                <c:formatCode>General</c:formatCode>
                <c:ptCount val="20"/>
                <c:pt idx="0">
                  <c:v>531.21600000000001</c:v>
                </c:pt>
                <c:pt idx="1">
                  <c:v>211.5984</c:v>
                </c:pt>
                <c:pt idx="2">
                  <c:v>99.745930000000001</c:v>
                </c:pt>
                <c:pt idx="3">
                  <c:v>56.965020000000003</c:v>
                </c:pt>
                <c:pt idx="4">
                  <c:v>37.668010000000002</c:v>
                </c:pt>
                <c:pt idx="5">
                  <c:v>26.175000000000001</c:v>
                </c:pt>
                <c:pt idx="6">
                  <c:v>19.276</c:v>
                </c:pt>
                <c:pt idx="7">
                  <c:v>14.093999999999999</c:v>
                </c:pt>
                <c:pt idx="8">
                  <c:v>10.675000000000001</c:v>
                </c:pt>
                <c:pt idx="9">
                  <c:v>9.2130010000000002</c:v>
                </c:pt>
                <c:pt idx="10">
                  <c:v>5.18</c:v>
                </c:pt>
                <c:pt idx="11">
                  <c:v>3.7490000000000001</c:v>
                </c:pt>
                <c:pt idx="12">
                  <c:v>3.274</c:v>
                </c:pt>
                <c:pt idx="13">
                  <c:v>2.323</c:v>
                </c:pt>
                <c:pt idx="14">
                  <c:v>2.3180000000000001</c:v>
                </c:pt>
                <c:pt idx="15">
                  <c:v>2.08</c:v>
                </c:pt>
                <c:pt idx="16">
                  <c:v>1.8420000000000001</c:v>
                </c:pt>
                <c:pt idx="17">
                  <c:v>1.61</c:v>
                </c:pt>
                <c:pt idx="18">
                  <c:v>1.38</c:v>
                </c:pt>
                <c:pt idx="19">
                  <c:v>1.379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AA_pho_A!$A$12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AA_pho_A!$B$12:$U$12</c:f>
              <c:numCache>
                <c:formatCode>General</c:formatCode>
                <c:ptCount val="20"/>
                <c:pt idx="0">
                  <c:v>268.7312</c:v>
                </c:pt>
                <c:pt idx="1">
                  <c:v>121.1649</c:v>
                </c:pt>
                <c:pt idx="2">
                  <c:v>57.79298</c:v>
                </c:pt>
                <c:pt idx="3">
                  <c:v>35.246989999999997</c:v>
                </c:pt>
                <c:pt idx="4">
                  <c:v>25.748999999999999</c:v>
                </c:pt>
                <c:pt idx="5">
                  <c:v>18.507999999999999</c:v>
                </c:pt>
                <c:pt idx="6">
                  <c:v>14.576000000000001</c:v>
                </c:pt>
                <c:pt idx="7">
                  <c:v>12.816000000000001</c:v>
                </c:pt>
                <c:pt idx="8">
                  <c:v>11.579000000000001</c:v>
                </c:pt>
                <c:pt idx="9">
                  <c:v>10.602</c:v>
                </c:pt>
                <c:pt idx="10">
                  <c:v>9.1840019999999996</c:v>
                </c:pt>
                <c:pt idx="11">
                  <c:v>7.7319979999999999</c:v>
                </c:pt>
                <c:pt idx="12">
                  <c:v>7.252999</c:v>
                </c:pt>
                <c:pt idx="13">
                  <c:v>6.7679999999999998</c:v>
                </c:pt>
                <c:pt idx="14">
                  <c:v>6.0569990000000002</c:v>
                </c:pt>
                <c:pt idx="15">
                  <c:v>5.5810000000000004</c:v>
                </c:pt>
                <c:pt idx="16">
                  <c:v>5.5730000000000004</c:v>
                </c:pt>
                <c:pt idx="17">
                  <c:v>4.8660009999999998</c:v>
                </c:pt>
                <c:pt idx="18">
                  <c:v>4.625</c:v>
                </c:pt>
                <c:pt idx="19">
                  <c:v>3.93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AA_pho_A!$A$13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AA_pho_A!$B$13:$U$13</c:f>
              <c:numCache>
                <c:formatCode>General</c:formatCode>
                <c:ptCount val="20"/>
                <c:pt idx="0">
                  <c:v>272.09059999999999</c:v>
                </c:pt>
                <c:pt idx="1">
                  <c:v>110.6589</c:v>
                </c:pt>
                <c:pt idx="2">
                  <c:v>58.994990000000001</c:v>
                </c:pt>
                <c:pt idx="3">
                  <c:v>34.482990000000001</c:v>
                </c:pt>
                <c:pt idx="4">
                  <c:v>24.533000000000001</c:v>
                </c:pt>
                <c:pt idx="5">
                  <c:v>19.475989999999999</c:v>
                </c:pt>
                <c:pt idx="6">
                  <c:v>15.055999999999999</c:v>
                </c:pt>
                <c:pt idx="7">
                  <c:v>12.590999999999999</c:v>
                </c:pt>
                <c:pt idx="8">
                  <c:v>10.647</c:v>
                </c:pt>
                <c:pt idx="9">
                  <c:v>9.4350000000000005</c:v>
                </c:pt>
                <c:pt idx="10">
                  <c:v>8.7020009999999992</c:v>
                </c:pt>
                <c:pt idx="11">
                  <c:v>8.2059979999999992</c:v>
                </c:pt>
                <c:pt idx="12">
                  <c:v>7.4939989999999996</c:v>
                </c:pt>
                <c:pt idx="13">
                  <c:v>6.3199990000000001</c:v>
                </c:pt>
                <c:pt idx="14">
                  <c:v>6.3150000000000004</c:v>
                </c:pt>
                <c:pt idx="15">
                  <c:v>6.0720000000000001</c:v>
                </c:pt>
                <c:pt idx="16">
                  <c:v>5.8159999999999998</c:v>
                </c:pt>
                <c:pt idx="17">
                  <c:v>5.3540010000000002</c:v>
                </c:pt>
                <c:pt idx="18">
                  <c:v>4.8840000000000003</c:v>
                </c:pt>
                <c:pt idx="19">
                  <c:v>4.8769999999999998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AA_pho_A!$A$14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AA_pho_A!$B$14:$U$14</c:f>
              <c:numCache>
                <c:formatCode>General</c:formatCode>
                <c:ptCount val="20"/>
                <c:pt idx="0">
                  <c:v>247.35599999999999</c:v>
                </c:pt>
                <c:pt idx="1">
                  <c:v>102.97799999999999</c:v>
                </c:pt>
                <c:pt idx="2">
                  <c:v>48.281999999999996</c:v>
                </c:pt>
                <c:pt idx="3">
                  <c:v>28.591000000000001</c:v>
                </c:pt>
                <c:pt idx="4">
                  <c:v>18.473009999999999</c:v>
                </c:pt>
                <c:pt idx="5">
                  <c:v>14.688000000000001</c:v>
                </c:pt>
                <c:pt idx="6">
                  <c:v>11.961</c:v>
                </c:pt>
                <c:pt idx="7">
                  <c:v>9.9840009999999992</c:v>
                </c:pt>
                <c:pt idx="8">
                  <c:v>8.7550000000000008</c:v>
                </c:pt>
                <c:pt idx="9">
                  <c:v>7.542001</c:v>
                </c:pt>
                <c:pt idx="10">
                  <c:v>6.3540010000000002</c:v>
                </c:pt>
                <c:pt idx="11">
                  <c:v>4.6829989999999997</c:v>
                </c:pt>
                <c:pt idx="12">
                  <c:v>4.4449990000000001</c:v>
                </c:pt>
                <c:pt idx="13">
                  <c:v>4.1979990000000003</c:v>
                </c:pt>
                <c:pt idx="14">
                  <c:v>3.7170000000000001</c:v>
                </c:pt>
                <c:pt idx="15">
                  <c:v>3.4809999999999999</c:v>
                </c:pt>
                <c:pt idx="16">
                  <c:v>3.242</c:v>
                </c:pt>
                <c:pt idx="17">
                  <c:v>3.24</c:v>
                </c:pt>
                <c:pt idx="18">
                  <c:v>3.2370000000000001</c:v>
                </c:pt>
                <c:pt idx="19">
                  <c:v>3.0030000000000001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AA_pho_A!$A$15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AA_pho_A!$B$15:$U$15</c:f>
              <c:numCache>
                <c:formatCode>General</c:formatCode>
                <c:ptCount val="20"/>
                <c:pt idx="0">
                  <c:v>523.34860000000003</c:v>
                </c:pt>
                <c:pt idx="1">
                  <c:v>319.22699999999998</c:v>
                </c:pt>
                <c:pt idx="2">
                  <c:v>173.30500000000001</c:v>
                </c:pt>
                <c:pt idx="3">
                  <c:v>115.47199999999999</c:v>
                </c:pt>
                <c:pt idx="4">
                  <c:v>85.876930000000002</c:v>
                </c:pt>
                <c:pt idx="5">
                  <c:v>69.362049999999996</c:v>
                </c:pt>
                <c:pt idx="6">
                  <c:v>56.826039999999999</c:v>
                </c:pt>
                <c:pt idx="7">
                  <c:v>49.081989999999998</c:v>
                </c:pt>
                <c:pt idx="8">
                  <c:v>40.998010000000001</c:v>
                </c:pt>
                <c:pt idx="9">
                  <c:v>38.49803</c:v>
                </c:pt>
                <c:pt idx="10">
                  <c:v>33.453989999999997</c:v>
                </c:pt>
                <c:pt idx="11">
                  <c:v>30.509</c:v>
                </c:pt>
                <c:pt idx="12">
                  <c:v>27.145990000000001</c:v>
                </c:pt>
                <c:pt idx="13">
                  <c:v>24.962</c:v>
                </c:pt>
                <c:pt idx="14">
                  <c:v>22.109000000000002</c:v>
                </c:pt>
                <c:pt idx="15">
                  <c:v>19.963999999999999</c:v>
                </c:pt>
                <c:pt idx="16">
                  <c:v>18.761009999999999</c:v>
                </c:pt>
                <c:pt idx="17">
                  <c:v>17.792999999999999</c:v>
                </c:pt>
                <c:pt idx="18">
                  <c:v>17.545999999999999</c:v>
                </c:pt>
                <c:pt idx="19">
                  <c:v>17.297999999999998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AA_pho_A!$A$16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AA_pho_A!$B$16:$U$16</c:f>
              <c:numCache>
                <c:formatCode>General</c:formatCode>
                <c:ptCount val="20"/>
                <c:pt idx="0">
                  <c:v>1025.5920000000001</c:v>
                </c:pt>
                <c:pt idx="1">
                  <c:v>391.16140000000001</c:v>
                </c:pt>
                <c:pt idx="2">
                  <c:v>148.322</c:v>
                </c:pt>
                <c:pt idx="3">
                  <c:v>83.364090000000004</c:v>
                </c:pt>
                <c:pt idx="4">
                  <c:v>55.370010000000001</c:v>
                </c:pt>
                <c:pt idx="5">
                  <c:v>38.933</c:v>
                </c:pt>
                <c:pt idx="6">
                  <c:v>29.03</c:v>
                </c:pt>
                <c:pt idx="7">
                  <c:v>23.877009999999999</c:v>
                </c:pt>
                <c:pt idx="8">
                  <c:v>20.89799</c:v>
                </c:pt>
                <c:pt idx="9">
                  <c:v>17.494009999999999</c:v>
                </c:pt>
                <c:pt idx="10">
                  <c:v>14.833</c:v>
                </c:pt>
                <c:pt idx="11">
                  <c:v>12.222</c:v>
                </c:pt>
                <c:pt idx="12">
                  <c:v>11.029</c:v>
                </c:pt>
                <c:pt idx="13">
                  <c:v>9.8440010000000004</c:v>
                </c:pt>
                <c:pt idx="14">
                  <c:v>8.9110010000000006</c:v>
                </c:pt>
                <c:pt idx="15">
                  <c:v>7.7280009999999999</c:v>
                </c:pt>
                <c:pt idx="16">
                  <c:v>7.2569990000000004</c:v>
                </c:pt>
                <c:pt idx="17">
                  <c:v>7.0139990000000001</c:v>
                </c:pt>
                <c:pt idx="18">
                  <c:v>6.5389999999999997</c:v>
                </c:pt>
                <c:pt idx="19">
                  <c:v>6.0709999999999997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AA_pho_A!$A$17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AA_pho_A!$B$17:$U$17</c:f>
              <c:numCache>
                <c:formatCode>General</c:formatCode>
                <c:ptCount val="20"/>
                <c:pt idx="0">
                  <c:v>1099.3599999999999</c:v>
                </c:pt>
                <c:pt idx="1">
                  <c:v>406.74270000000001</c:v>
                </c:pt>
                <c:pt idx="2">
                  <c:v>151.10910000000001</c:v>
                </c:pt>
                <c:pt idx="3">
                  <c:v>82.90607</c:v>
                </c:pt>
                <c:pt idx="4">
                  <c:v>53.719990000000003</c:v>
                </c:pt>
                <c:pt idx="5">
                  <c:v>39.427010000000003</c:v>
                </c:pt>
                <c:pt idx="6">
                  <c:v>31.642009999999999</c:v>
                </c:pt>
                <c:pt idx="7">
                  <c:v>26.495000000000001</c:v>
                </c:pt>
                <c:pt idx="8">
                  <c:v>20.942</c:v>
                </c:pt>
                <c:pt idx="9">
                  <c:v>19.219000000000001</c:v>
                </c:pt>
                <c:pt idx="10">
                  <c:v>16.805</c:v>
                </c:pt>
                <c:pt idx="11">
                  <c:v>12.993</c:v>
                </c:pt>
                <c:pt idx="12">
                  <c:v>11.807</c:v>
                </c:pt>
                <c:pt idx="13">
                  <c:v>11.305999999999999</c:v>
                </c:pt>
                <c:pt idx="14">
                  <c:v>9.646001</c:v>
                </c:pt>
                <c:pt idx="15">
                  <c:v>9.3940009999999994</c:v>
                </c:pt>
                <c:pt idx="16">
                  <c:v>9.1479999999999997</c:v>
                </c:pt>
                <c:pt idx="17">
                  <c:v>8.2089990000000004</c:v>
                </c:pt>
                <c:pt idx="18">
                  <c:v>7.9669999999999996</c:v>
                </c:pt>
                <c:pt idx="19">
                  <c:v>7.7130000000000001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AA_pho_A!$A$18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AA_pho_A!$B$18:$U$18</c:f>
              <c:numCache>
                <c:formatCode>General</c:formatCode>
                <c:ptCount val="20"/>
                <c:pt idx="0">
                  <c:v>1129.585</c:v>
                </c:pt>
                <c:pt idx="1">
                  <c:v>443.53820000000002</c:v>
                </c:pt>
                <c:pt idx="2">
                  <c:v>172.02209999999999</c:v>
                </c:pt>
                <c:pt idx="3">
                  <c:v>95.846100000000007</c:v>
                </c:pt>
                <c:pt idx="4">
                  <c:v>65.504999999999995</c:v>
                </c:pt>
                <c:pt idx="5">
                  <c:v>48.161000000000001</c:v>
                </c:pt>
                <c:pt idx="6">
                  <c:v>37.494999999999997</c:v>
                </c:pt>
                <c:pt idx="7">
                  <c:v>29.855</c:v>
                </c:pt>
                <c:pt idx="8">
                  <c:v>27.340009999999999</c:v>
                </c:pt>
                <c:pt idx="9">
                  <c:v>24.878990000000002</c:v>
                </c:pt>
                <c:pt idx="10">
                  <c:v>21.245999999999999</c:v>
                </c:pt>
                <c:pt idx="11">
                  <c:v>18.623999999999999</c:v>
                </c:pt>
                <c:pt idx="12">
                  <c:v>16.716000000000001</c:v>
                </c:pt>
                <c:pt idx="13">
                  <c:v>14.339</c:v>
                </c:pt>
                <c:pt idx="14">
                  <c:v>13.146000000000001</c:v>
                </c:pt>
                <c:pt idx="15">
                  <c:v>11.266999999999999</c:v>
                </c:pt>
                <c:pt idx="16">
                  <c:v>11.010999999999999</c:v>
                </c:pt>
                <c:pt idx="17">
                  <c:v>10.303000000000001</c:v>
                </c:pt>
                <c:pt idx="18">
                  <c:v>10.063000000000001</c:v>
                </c:pt>
                <c:pt idx="19">
                  <c:v>9.3589990000000007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AA_pho_A!$A$19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AA_pho_A!$B$19:$U$19</c:f>
              <c:numCache>
                <c:formatCode>General</c:formatCode>
                <c:ptCount val="20"/>
                <c:pt idx="0">
                  <c:v>1665.277</c:v>
                </c:pt>
                <c:pt idx="1">
                  <c:v>818.74450000000002</c:v>
                </c:pt>
                <c:pt idx="2">
                  <c:v>334.11739999999998</c:v>
                </c:pt>
                <c:pt idx="3">
                  <c:v>188.17699999999999</c:v>
                </c:pt>
                <c:pt idx="4">
                  <c:v>120.992</c:v>
                </c:pt>
                <c:pt idx="5">
                  <c:v>85.212990000000005</c:v>
                </c:pt>
                <c:pt idx="6">
                  <c:v>64.50703</c:v>
                </c:pt>
                <c:pt idx="7">
                  <c:v>52.778039999999997</c:v>
                </c:pt>
                <c:pt idx="8">
                  <c:v>42.405990000000003</c:v>
                </c:pt>
                <c:pt idx="9">
                  <c:v>36.487009999999998</c:v>
                </c:pt>
                <c:pt idx="10">
                  <c:v>30.938020000000002</c:v>
                </c:pt>
                <c:pt idx="11">
                  <c:v>27.04401</c:v>
                </c:pt>
                <c:pt idx="12">
                  <c:v>23.574999999999999</c:v>
                </c:pt>
                <c:pt idx="13">
                  <c:v>20.007000000000001</c:v>
                </c:pt>
                <c:pt idx="14">
                  <c:v>18.097999999999999</c:v>
                </c:pt>
                <c:pt idx="15">
                  <c:v>15.462999999999999</c:v>
                </c:pt>
                <c:pt idx="16">
                  <c:v>14.768000000000001</c:v>
                </c:pt>
                <c:pt idx="17">
                  <c:v>13.558999999999999</c:v>
                </c:pt>
                <c:pt idx="18">
                  <c:v>12.106999999999999</c:v>
                </c:pt>
                <c:pt idx="19">
                  <c:v>11.863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AA_pho_A!$A$20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AA_pho_A!$B$20:$U$20</c:f>
              <c:numCache>
                <c:formatCode>General</c:formatCode>
                <c:ptCount val="20"/>
                <c:pt idx="0">
                  <c:v>1647.6959999999999</c:v>
                </c:pt>
                <c:pt idx="1">
                  <c:v>816.0865</c:v>
                </c:pt>
                <c:pt idx="2">
                  <c:v>301.47770000000003</c:v>
                </c:pt>
                <c:pt idx="3">
                  <c:v>155.99690000000001</c:v>
                </c:pt>
                <c:pt idx="4">
                  <c:v>97.351879999999994</c:v>
                </c:pt>
                <c:pt idx="5">
                  <c:v>61.789969999999997</c:v>
                </c:pt>
                <c:pt idx="6">
                  <c:v>50.434010000000001</c:v>
                </c:pt>
                <c:pt idx="7">
                  <c:v>41.407020000000003</c:v>
                </c:pt>
                <c:pt idx="8">
                  <c:v>33.34299</c:v>
                </c:pt>
                <c:pt idx="9">
                  <c:v>28.685009999999998</c:v>
                </c:pt>
                <c:pt idx="10">
                  <c:v>25.975020000000001</c:v>
                </c:pt>
                <c:pt idx="11">
                  <c:v>22.338010000000001</c:v>
                </c:pt>
                <c:pt idx="12">
                  <c:v>21.108000000000001</c:v>
                </c:pt>
                <c:pt idx="13">
                  <c:v>18.699000000000002</c:v>
                </c:pt>
                <c:pt idx="14">
                  <c:v>17.23</c:v>
                </c:pt>
                <c:pt idx="15">
                  <c:v>15.98</c:v>
                </c:pt>
                <c:pt idx="16">
                  <c:v>13.154999999999999</c:v>
                </c:pt>
                <c:pt idx="17">
                  <c:v>12.43</c:v>
                </c:pt>
                <c:pt idx="18">
                  <c:v>11.936</c:v>
                </c:pt>
                <c:pt idx="19">
                  <c:v>11.209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AA_pho_A!$A$21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AA_pho_A!$B$21:$U$21</c:f>
              <c:numCache>
                <c:formatCode>General</c:formatCode>
                <c:ptCount val="20"/>
                <c:pt idx="0">
                  <c:v>1665.616</c:v>
                </c:pt>
                <c:pt idx="1">
                  <c:v>826.76080000000002</c:v>
                </c:pt>
                <c:pt idx="2">
                  <c:v>309.84550000000002</c:v>
                </c:pt>
                <c:pt idx="3">
                  <c:v>157.4769</c:v>
                </c:pt>
                <c:pt idx="4">
                  <c:v>97.272869999999998</c:v>
                </c:pt>
                <c:pt idx="5">
                  <c:v>66.142970000000005</c:v>
                </c:pt>
                <c:pt idx="6">
                  <c:v>49.889020000000002</c:v>
                </c:pt>
                <c:pt idx="7">
                  <c:v>41.863030000000002</c:v>
                </c:pt>
                <c:pt idx="8">
                  <c:v>34.482990000000001</c:v>
                </c:pt>
                <c:pt idx="9">
                  <c:v>30.821020000000001</c:v>
                </c:pt>
                <c:pt idx="10">
                  <c:v>27.154019999999999</c:v>
                </c:pt>
                <c:pt idx="11">
                  <c:v>24.19501</c:v>
                </c:pt>
                <c:pt idx="12">
                  <c:v>21.077999999999999</c:v>
                </c:pt>
                <c:pt idx="13">
                  <c:v>18.922989999999999</c:v>
                </c:pt>
                <c:pt idx="14">
                  <c:v>17.236999999999998</c:v>
                </c:pt>
                <c:pt idx="15">
                  <c:v>15.263</c:v>
                </c:pt>
                <c:pt idx="16">
                  <c:v>14.31</c:v>
                </c:pt>
                <c:pt idx="17">
                  <c:v>12.89</c:v>
                </c:pt>
                <c:pt idx="18">
                  <c:v>11.922000000000001</c:v>
                </c:pt>
                <c:pt idx="19">
                  <c:v>11.441000000000001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AA_pho_A!$A$22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AA_pho_A!$B$22:$U$22</c:f>
              <c:numCache>
                <c:formatCode>General</c:formatCode>
                <c:ptCount val="20"/>
                <c:pt idx="0">
                  <c:v>1585.2429999999999</c:v>
                </c:pt>
                <c:pt idx="1">
                  <c:v>775.98130000000003</c:v>
                </c:pt>
                <c:pt idx="2">
                  <c:v>299.07010000000002</c:v>
                </c:pt>
                <c:pt idx="3">
                  <c:v>159.58199999999999</c:v>
                </c:pt>
                <c:pt idx="4">
                  <c:v>98.575869999999995</c:v>
                </c:pt>
                <c:pt idx="5">
                  <c:v>67.968950000000007</c:v>
                </c:pt>
                <c:pt idx="6">
                  <c:v>50.799010000000003</c:v>
                </c:pt>
                <c:pt idx="7">
                  <c:v>40.088030000000003</c:v>
                </c:pt>
                <c:pt idx="8">
                  <c:v>31.704989999999999</c:v>
                </c:pt>
                <c:pt idx="9">
                  <c:v>27.985019999999999</c:v>
                </c:pt>
                <c:pt idx="10">
                  <c:v>25.30302</c:v>
                </c:pt>
                <c:pt idx="11">
                  <c:v>23.338010000000001</c:v>
                </c:pt>
                <c:pt idx="12">
                  <c:v>21.582000000000001</c:v>
                </c:pt>
                <c:pt idx="13">
                  <c:v>20.604990000000001</c:v>
                </c:pt>
                <c:pt idx="14">
                  <c:v>17.99699</c:v>
                </c:pt>
                <c:pt idx="15">
                  <c:v>16.064</c:v>
                </c:pt>
                <c:pt idx="16">
                  <c:v>15.125999999999999</c:v>
                </c:pt>
                <c:pt idx="17">
                  <c:v>13.709</c:v>
                </c:pt>
                <c:pt idx="18">
                  <c:v>12.973000000000001</c:v>
                </c:pt>
                <c:pt idx="19">
                  <c:v>12.731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AA_pho_A!$A$23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AA_pho_A!$B$23:$U$23</c:f>
              <c:numCache>
                <c:formatCode>General</c:formatCode>
                <c:ptCount val="20"/>
                <c:pt idx="0">
                  <c:v>1632.999</c:v>
                </c:pt>
                <c:pt idx="1">
                  <c:v>812.79359999999997</c:v>
                </c:pt>
                <c:pt idx="2">
                  <c:v>301.0428</c:v>
                </c:pt>
                <c:pt idx="3">
                  <c:v>153.67590000000001</c:v>
                </c:pt>
                <c:pt idx="4">
                  <c:v>93.059899999999999</c:v>
                </c:pt>
                <c:pt idx="5">
                  <c:v>63.264969999999998</c:v>
                </c:pt>
                <c:pt idx="6">
                  <c:v>49.96801</c:v>
                </c:pt>
                <c:pt idx="7">
                  <c:v>39.243020000000001</c:v>
                </c:pt>
                <c:pt idx="8">
                  <c:v>32.575989999999997</c:v>
                </c:pt>
                <c:pt idx="9">
                  <c:v>27.434010000000001</c:v>
                </c:pt>
                <c:pt idx="10">
                  <c:v>25.685020000000002</c:v>
                </c:pt>
                <c:pt idx="11">
                  <c:v>22.777010000000001</c:v>
                </c:pt>
                <c:pt idx="12">
                  <c:v>20.384</c:v>
                </c:pt>
                <c:pt idx="13">
                  <c:v>19.370989999999999</c:v>
                </c:pt>
                <c:pt idx="14">
                  <c:v>18.158999999999999</c:v>
                </c:pt>
                <c:pt idx="15">
                  <c:v>15.023</c:v>
                </c:pt>
                <c:pt idx="16">
                  <c:v>13.574</c:v>
                </c:pt>
                <c:pt idx="17">
                  <c:v>12.87</c:v>
                </c:pt>
                <c:pt idx="18">
                  <c:v>11.904999999999999</c:v>
                </c:pt>
                <c:pt idx="19">
                  <c:v>10.975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AA_pho_A!$A$24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AA_pho_A!$B$24:$U$24</c:f>
              <c:numCache>
                <c:formatCode>General</c:formatCode>
                <c:ptCount val="20"/>
                <c:pt idx="0">
                  <c:v>1626.01</c:v>
                </c:pt>
                <c:pt idx="1">
                  <c:v>811.52679999999998</c:v>
                </c:pt>
                <c:pt idx="2">
                  <c:v>312.1875</c:v>
                </c:pt>
                <c:pt idx="3">
                  <c:v>174.4228</c:v>
                </c:pt>
                <c:pt idx="4">
                  <c:v>108.8399</c:v>
                </c:pt>
                <c:pt idx="5">
                  <c:v>75.687939999999998</c:v>
                </c:pt>
                <c:pt idx="6">
                  <c:v>56.420029999999997</c:v>
                </c:pt>
                <c:pt idx="7">
                  <c:v>45.701030000000003</c:v>
                </c:pt>
                <c:pt idx="8">
                  <c:v>37.023980000000002</c:v>
                </c:pt>
                <c:pt idx="9">
                  <c:v>31.829029999999999</c:v>
                </c:pt>
                <c:pt idx="10">
                  <c:v>27.23002</c:v>
                </c:pt>
                <c:pt idx="11">
                  <c:v>24.51801</c:v>
                </c:pt>
                <c:pt idx="12">
                  <c:v>21.579000000000001</c:v>
                </c:pt>
                <c:pt idx="13">
                  <c:v>19.42099</c:v>
                </c:pt>
                <c:pt idx="14">
                  <c:v>17.956990000000001</c:v>
                </c:pt>
                <c:pt idx="15">
                  <c:v>16.478999999999999</c:v>
                </c:pt>
                <c:pt idx="16">
                  <c:v>15.271000000000001</c:v>
                </c:pt>
                <c:pt idx="17">
                  <c:v>14.792</c:v>
                </c:pt>
                <c:pt idx="18">
                  <c:v>13.798</c:v>
                </c:pt>
                <c:pt idx="19">
                  <c:v>12.872999999999999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AA_pho_A!$A$25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AA_pho_A!$B$25:$U$25</c:f>
              <c:numCache>
                <c:formatCode>General</c:formatCode>
                <c:ptCount val="20"/>
                <c:pt idx="0">
                  <c:v>1682.1559999999999</c:v>
                </c:pt>
                <c:pt idx="1">
                  <c:v>851.55200000000002</c:v>
                </c:pt>
                <c:pt idx="2">
                  <c:v>327.09230000000002</c:v>
                </c:pt>
                <c:pt idx="3">
                  <c:v>169.45400000000001</c:v>
                </c:pt>
                <c:pt idx="4">
                  <c:v>107.7379</c:v>
                </c:pt>
                <c:pt idx="5">
                  <c:v>74.861930000000001</c:v>
                </c:pt>
                <c:pt idx="6">
                  <c:v>55.921030000000002</c:v>
                </c:pt>
                <c:pt idx="7">
                  <c:v>45.672029999999999</c:v>
                </c:pt>
                <c:pt idx="8">
                  <c:v>37.07199</c:v>
                </c:pt>
                <c:pt idx="9">
                  <c:v>31.22702</c:v>
                </c:pt>
                <c:pt idx="10">
                  <c:v>25.449020000000001</c:v>
                </c:pt>
                <c:pt idx="11">
                  <c:v>23.238009999999999</c:v>
                </c:pt>
                <c:pt idx="12">
                  <c:v>19.395</c:v>
                </c:pt>
                <c:pt idx="13">
                  <c:v>17.695989999999998</c:v>
                </c:pt>
                <c:pt idx="14">
                  <c:v>15.536</c:v>
                </c:pt>
                <c:pt idx="15">
                  <c:v>15.034000000000001</c:v>
                </c:pt>
                <c:pt idx="16">
                  <c:v>14.317</c:v>
                </c:pt>
                <c:pt idx="17">
                  <c:v>12.872</c:v>
                </c:pt>
                <c:pt idx="18">
                  <c:v>12.132999999999999</c:v>
                </c:pt>
                <c:pt idx="19">
                  <c:v>10.728999999999999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AA_pho_A!$A$26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AA_pho_A!$B$26:$U$26</c:f>
              <c:numCache>
                <c:formatCode>General</c:formatCode>
                <c:ptCount val="20"/>
                <c:pt idx="0">
                  <c:v>2006.346</c:v>
                </c:pt>
                <c:pt idx="1">
                  <c:v>696.17690000000005</c:v>
                </c:pt>
                <c:pt idx="2">
                  <c:v>222.37459999999999</c:v>
                </c:pt>
                <c:pt idx="3">
                  <c:v>112.5193</c:v>
                </c:pt>
                <c:pt idx="4">
                  <c:v>61.89199</c:v>
                </c:pt>
                <c:pt idx="5">
                  <c:v>41.385010000000001</c:v>
                </c:pt>
                <c:pt idx="6">
                  <c:v>29.969000000000001</c:v>
                </c:pt>
                <c:pt idx="7">
                  <c:v>21.213999999999999</c:v>
                </c:pt>
                <c:pt idx="8">
                  <c:v>18.975000000000001</c:v>
                </c:pt>
                <c:pt idx="9">
                  <c:v>15.364000000000001</c:v>
                </c:pt>
                <c:pt idx="10">
                  <c:v>13.441000000000001</c:v>
                </c:pt>
                <c:pt idx="11">
                  <c:v>11.768000000000001</c:v>
                </c:pt>
                <c:pt idx="12">
                  <c:v>9.3810009999999995</c:v>
                </c:pt>
                <c:pt idx="13">
                  <c:v>8.89</c:v>
                </c:pt>
                <c:pt idx="14">
                  <c:v>7.7180010000000001</c:v>
                </c:pt>
                <c:pt idx="15">
                  <c:v>7.470002</c:v>
                </c:pt>
                <c:pt idx="16">
                  <c:v>7.2260010000000001</c:v>
                </c:pt>
                <c:pt idx="17">
                  <c:v>6.7510000000000003</c:v>
                </c:pt>
                <c:pt idx="18">
                  <c:v>6.2669990000000002</c:v>
                </c:pt>
                <c:pt idx="19">
                  <c:v>5.7999989999999997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AA_pho_A!$A$27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AA_pho_A!$B$27:$U$27</c:f>
              <c:numCache>
                <c:formatCode>General</c:formatCode>
                <c:ptCount val="20"/>
                <c:pt idx="0">
                  <c:v>1669.8209999999999</c:v>
                </c:pt>
                <c:pt idx="1">
                  <c:v>828.41300000000001</c:v>
                </c:pt>
                <c:pt idx="2">
                  <c:v>316.9991</c:v>
                </c:pt>
                <c:pt idx="3">
                  <c:v>175.4419</c:v>
                </c:pt>
                <c:pt idx="4">
                  <c:v>107.754</c:v>
                </c:pt>
                <c:pt idx="5">
                  <c:v>74.946910000000003</c:v>
                </c:pt>
                <c:pt idx="6">
                  <c:v>57.092059999999996</c:v>
                </c:pt>
                <c:pt idx="7">
                  <c:v>45.16601</c:v>
                </c:pt>
                <c:pt idx="8">
                  <c:v>40.64499</c:v>
                </c:pt>
                <c:pt idx="9">
                  <c:v>32.304029999999997</c:v>
                </c:pt>
                <c:pt idx="10">
                  <c:v>28.639019999999999</c:v>
                </c:pt>
                <c:pt idx="11">
                  <c:v>24.511009999999999</c:v>
                </c:pt>
                <c:pt idx="12">
                  <c:v>22.053989999999999</c:v>
                </c:pt>
                <c:pt idx="13">
                  <c:v>19.882989999999999</c:v>
                </c:pt>
                <c:pt idx="14">
                  <c:v>18.168990000000001</c:v>
                </c:pt>
                <c:pt idx="15">
                  <c:v>17.187000000000001</c:v>
                </c:pt>
                <c:pt idx="16">
                  <c:v>16.233000000000001</c:v>
                </c:pt>
                <c:pt idx="17">
                  <c:v>14.077</c:v>
                </c:pt>
                <c:pt idx="18">
                  <c:v>13.567</c:v>
                </c:pt>
                <c:pt idx="19">
                  <c:v>12.625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AA_pho_A!$A$28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AA_pho_A!$B$28:$U$28</c:f>
              <c:numCache>
                <c:formatCode>General</c:formatCode>
                <c:ptCount val="20"/>
                <c:pt idx="0">
                  <c:v>1628.1990000000001</c:v>
                </c:pt>
                <c:pt idx="1">
                  <c:v>821.31700000000001</c:v>
                </c:pt>
                <c:pt idx="2">
                  <c:v>315.25740000000002</c:v>
                </c:pt>
                <c:pt idx="3">
                  <c:v>172.69980000000001</c:v>
                </c:pt>
                <c:pt idx="4">
                  <c:v>108.07689999999999</c:v>
                </c:pt>
                <c:pt idx="5">
                  <c:v>75.364919999999998</c:v>
                </c:pt>
                <c:pt idx="6">
                  <c:v>56.184040000000003</c:v>
                </c:pt>
                <c:pt idx="7">
                  <c:v>45.459020000000002</c:v>
                </c:pt>
                <c:pt idx="8">
                  <c:v>39.417000000000002</c:v>
                </c:pt>
                <c:pt idx="9">
                  <c:v>31.02403</c:v>
                </c:pt>
                <c:pt idx="10">
                  <c:v>26.917020000000001</c:v>
                </c:pt>
                <c:pt idx="11">
                  <c:v>23.276</c:v>
                </c:pt>
                <c:pt idx="12">
                  <c:v>20.812989999999999</c:v>
                </c:pt>
                <c:pt idx="13">
                  <c:v>18.177990000000001</c:v>
                </c:pt>
                <c:pt idx="14">
                  <c:v>16.26099</c:v>
                </c:pt>
                <c:pt idx="15">
                  <c:v>15.262</c:v>
                </c:pt>
                <c:pt idx="16">
                  <c:v>14.064</c:v>
                </c:pt>
                <c:pt idx="17">
                  <c:v>13.343</c:v>
                </c:pt>
                <c:pt idx="18">
                  <c:v>13.074999999999999</c:v>
                </c:pt>
                <c:pt idx="19">
                  <c:v>12.13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AA_pho_A!$A$29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AA_pho_A!$B$29:$U$29</c:f>
              <c:numCache>
                <c:formatCode>General</c:formatCode>
                <c:ptCount val="20"/>
                <c:pt idx="0">
                  <c:v>1833.711</c:v>
                </c:pt>
                <c:pt idx="1">
                  <c:v>955.99369999999999</c:v>
                </c:pt>
                <c:pt idx="2">
                  <c:v>384.02769999999998</c:v>
                </c:pt>
                <c:pt idx="3">
                  <c:v>212.88399999999999</c:v>
                </c:pt>
                <c:pt idx="4">
                  <c:v>127.455</c:v>
                </c:pt>
                <c:pt idx="5">
                  <c:v>90.192899999999995</c:v>
                </c:pt>
                <c:pt idx="6">
                  <c:v>68.073120000000003</c:v>
                </c:pt>
                <c:pt idx="7">
                  <c:v>51.048009999999998</c:v>
                </c:pt>
                <c:pt idx="8">
                  <c:v>41.271000000000001</c:v>
                </c:pt>
                <c:pt idx="9">
                  <c:v>32.431040000000003</c:v>
                </c:pt>
                <c:pt idx="10">
                  <c:v>27.590019999999999</c:v>
                </c:pt>
                <c:pt idx="11">
                  <c:v>22.758009999999999</c:v>
                </c:pt>
                <c:pt idx="12">
                  <c:v>20.056000000000001</c:v>
                </c:pt>
                <c:pt idx="13">
                  <c:v>17.914999999999999</c:v>
                </c:pt>
                <c:pt idx="14">
                  <c:v>16.943999999999999</c:v>
                </c:pt>
                <c:pt idx="15">
                  <c:v>15.73</c:v>
                </c:pt>
                <c:pt idx="16">
                  <c:v>13.321</c:v>
                </c:pt>
                <c:pt idx="17">
                  <c:v>12.129</c:v>
                </c:pt>
                <c:pt idx="18">
                  <c:v>11.648999999999999</c:v>
                </c:pt>
                <c:pt idx="19">
                  <c:v>10.489000000000001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AA_pho_A!$A$30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AA_pho_A!$B$30:$U$30</c:f>
              <c:numCache>
                <c:formatCode>General</c:formatCode>
                <c:ptCount val="20"/>
                <c:pt idx="0">
                  <c:v>1687.4860000000001</c:v>
                </c:pt>
                <c:pt idx="1">
                  <c:v>760.25149999999996</c:v>
                </c:pt>
                <c:pt idx="2">
                  <c:v>245.61969999999999</c:v>
                </c:pt>
                <c:pt idx="3">
                  <c:v>138.97380000000001</c:v>
                </c:pt>
                <c:pt idx="4">
                  <c:v>91.227940000000004</c:v>
                </c:pt>
                <c:pt idx="5">
                  <c:v>58.363999999999997</c:v>
                </c:pt>
                <c:pt idx="6">
                  <c:v>40.816020000000002</c:v>
                </c:pt>
                <c:pt idx="7">
                  <c:v>30.687989999999999</c:v>
                </c:pt>
                <c:pt idx="8">
                  <c:v>25.812999999999999</c:v>
                </c:pt>
                <c:pt idx="9">
                  <c:v>21.178000000000001</c:v>
                </c:pt>
                <c:pt idx="10">
                  <c:v>17.742010000000001</c:v>
                </c:pt>
                <c:pt idx="11">
                  <c:v>14.818</c:v>
                </c:pt>
                <c:pt idx="12">
                  <c:v>13.366989999999999</c:v>
                </c:pt>
                <c:pt idx="13">
                  <c:v>11.686</c:v>
                </c:pt>
                <c:pt idx="14">
                  <c:v>10.738</c:v>
                </c:pt>
                <c:pt idx="15">
                  <c:v>9.9909999999999997</c:v>
                </c:pt>
                <c:pt idx="16">
                  <c:v>9.7420000000000009</c:v>
                </c:pt>
                <c:pt idx="17">
                  <c:v>9.2490009999999998</c:v>
                </c:pt>
                <c:pt idx="18">
                  <c:v>8.2800010000000004</c:v>
                </c:pt>
                <c:pt idx="19">
                  <c:v>8.0290009999999992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AA_pho_A!$A$31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AA_pho_A!$B$31:$U$31</c:f>
              <c:numCache>
                <c:formatCode>General</c:formatCode>
                <c:ptCount val="20"/>
                <c:pt idx="0">
                  <c:v>1997.5609999999999</c:v>
                </c:pt>
                <c:pt idx="1">
                  <c:v>1040.9079999999999</c:v>
                </c:pt>
                <c:pt idx="2">
                  <c:v>546.30349999999999</c:v>
                </c:pt>
                <c:pt idx="3">
                  <c:v>346.47609999999997</c:v>
                </c:pt>
                <c:pt idx="4">
                  <c:v>237.77199999999999</c:v>
                </c:pt>
                <c:pt idx="5">
                  <c:v>172.62649999999999</c:v>
                </c:pt>
                <c:pt idx="6">
                  <c:v>135.41480000000001</c:v>
                </c:pt>
                <c:pt idx="7">
                  <c:v>113.0391</c:v>
                </c:pt>
                <c:pt idx="8">
                  <c:v>95.240009999999998</c:v>
                </c:pt>
                <c:pt idx="9">
                  <c:v>81.567989999999995</c:v>
                </c:pt>
                <c:pt idx="10">
                  <c:v>69.980919999999998</c:v>
                </c:pt>
                <c:pt idx="11">
                  <c:v>62.393929999999997</c:v>
                </c:pt>
                <c:pt idx="12">
                  <c:v>57.94997</c:v>
                </c:pt>
                <c:pt idx="13">
                  <c:v>53.523000000000003</c:v>
                </c:pt>
                <c:pt idx="14">
                  <c:v>49.648980000000002</c:v>
                </c:pt>
                <c:pt idx="15">
                  <c:v>43.905009999999997</c:v>
                </c:pt>
                <c:pt idx="16">
                  <c:v>40.094029999999997</c:v>
                </c:pt>
                <c:pt idx="17">
                  <c:v>37.422029999999999</c:v>
                </c:pt>
                <c:pt idx="18">
                  <c:v>34.546999999999997</c:v>
                </c:pt>
                <c:pt idx="19">
                  <c:v>32.633009999999999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AA_pho_A!$A$32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AA_pho_A!$B$32:$U$32</c:f>
              <c:numCache>
                <c:formatCode>General</c:formatCode>
                <c:ptCount val="20"/>
                <c:pt idx="0">
                  <c:v>1943.674</c:v>
                </c:pt>
                <c:pt idx="1">
                  <c:v>636.01149999999996</c:v>
                </c:pt>
                <c:pt idx="2">
                  <c:v>175.20910000000001</c:v>
                </c:pt>
                <c:pt idx="3">
                  <c:v>78.602069999999998</c:v>
                </c:pt>
                <c:pt idx="4">
                  <c:v>45.286000000000001</c:v>
                </c:pt>
                <c:pt idx="5">
                  <c:v>30.600999999999999</c:v>
                </c:pt>
                <c:pt idx="6">
                  <c:v>20.704000000000001</c:v>
                </c:pt>
                <c:pt idx="7">
                  <c:v>14.846</c:v>
                </c:pt>
                <c:pt idx="8">
                  <c:v>11.93</c:v>
                </c:pt>
                <c:pt idx="9">
                  <c:v>9.0070010000000007</c:v>
                </c:pt>
                <c:pt idx="10">
                  <c:v>6.8239989999999997</c:v>
                </c:pt>
                <c:pt idx="11">
                  <c:v>5.1740000000000004</c:v>
                </c:pt>
                <c:pt idx="12">
                  <c:v>4.4549989999999999</c:v>
                </c:pt>
                <c:pt idx="13">
                  <c:v>3.7309990000000002</c:v>
                </c:pt>
                <c:pt idx="14">
                  <c:v>2.556</c:v>
                </c:pt>
                <c:pt idx="15">
                  <c:v>2.3220000000000001</c:v>
                </c:pt>
                <c:pt idx="16">
                  <c:v>1.6220000000000001</c:v>
                </c:pt>
                <c:pt idx="17">
                  <c:v>1.619</c:v>
                </c:pt>
                <c:pt idx="18">
                  <c:v>1.619</c:v>
                </c:pt>
                <c:pt idx="19">
                  <c:v>1.389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AA_pho_A!$A$33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AA_pho_A!$B$33:$U$33</c:f>
              <c:numCache>
                <c:formatCode>General</c:formatCode>
                <c:ptCount val="20"/>
                <c:pt idx="0">
                  <c:v>1771.1949999999999</c:v>
                </c:pt>
                <c:pt idx="1">
                  <c:v>539.87249999999995</c:v>
                </c:pt>
                <c:pt idx="2">
                  <c:v>170.6011</c:v>
                </c:pt>
                <c:pt idx="3">
                  <c:v>76.733069999999998</c:v>
                </c:pt>
                <c:pt idx="4">
                  <c:v>50.039990000000003</c:v>
                </c:pt>
                <c:pt idx="5">
                  <c:v>33.296999999999997</c:v>
                </c:pt>
                <c:pt idx="6">
                  <c:v>21.504010000000001</c:v>
                </c:pt>
                <c:pt idx="7">
                  <c:v>13.942</c:v>
                </c:pt>
                <c:pt idx="8">
                  <c:v>10.731999999999999</c:v>
                </c:pt>
                <c:pt idx="9">
                  <c:v>7.8360010000000004</c:v>
                </c:pt>
                <c:pt idx="10">
                  <c:v>6.3839990000000002</c:v>
                </c:pt>
                <c:pt idx="11">
                  <c:v>5.1820009999999996</c:v>
                </c:pt>
                <c:pt idx="12">
                  <c:v>4.4550000000000001</c:v>
                </c:pt>
                <c:pt idx="13">
                  <c:v>3.510999</c:v>
                </c:pt>
                <c:pt idx="14">
                  <c:v>3.036</c:v>
                </c:pt>
                <c:pt idx="15">
                  <c:v>2.5649999999999999</c:v>
                </c:pt>
                <c:pt idx="16">
                  <c:v>2.327</c:v>
                </c:pt>
                <c:pt idx="17">
                  <c:v>2.3239999999999998</c:v>
                </c:pt>
                <c:pt idx="18">
                  <c:v>2.3239999999999998</c:v>
                </c:pt>
                <c:pt idx="19">
                  <c:v>2.323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AA_pho_A!$A$34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AA_pho_A!$B$34:$U$34</c:f>
              <c:numCache>
                <c:formatCode>General</c:formatCode>
                <c:ptCount val="20"/>
                <c:pt idx="0">
                  <c:v>1774.5070000000001</c:v>
                </c:pt>
                <c:pt idx="1">
                  <c:v>528.15049999999997</c:v>
                </c:pt>
                <c:pt idx="2">
                  <c:v>164.5521</c:v>
                </c:pt>
                <c:pt idx="3">
                  <c:v>78.327070000000006</c:v>
                </c:pt>
                <c:pt idx="4">
                  <c:v>46.661000000000001</c:v>
                </c:pt>
                <c:pt idx="5">
                  <c:v>30.20299</c:v>
                </c:pt>
                <c:pt idx="6">
                  <c:v>21.253</c:v>
                </c:pt>
                <c:pt idx="7">
                  <c:v>14.166</c:v>
                </c:pt>
                <c:pt idx="8">
                  <c:v>10.228999999999999</c:v>
                </c:pt>
                <c:pt idx="9">
                  <c:v>7.1319999999999997</c:v>
                </c:pt>
                <c:pt idx="10">
                  <c:v>4.9909999999999997</c:v>
                </c:pt>
                <c:pt idx="11">
                  <c:v>4.2720000000000002</c:v>
                </c:pt>
                <c:pt idx="12">
                  <c:v>3.3059989999999999</c:v>
                </c:pt>
                <c:pt idx="13">
                  <c:v>2.5779999999999998</c:v>
                </c:pt>
                <c:pt idx="14">
                  <c:v>2.569</c:v>
                </c:pt>
                <c:pt idx="15">
                  <c:v>2.3330000000000002</c:v>
                </c:pt>
                <c:pt idx="16">
                  <c:v>2.097</c:v>
                </c:pt>
                <c:pt idx="17">
                  <c:v>1.8640000000000001</c:v>
                </c:pt>
                <c:pt idx="18">
                  <c:v>1.633</c:v>
                </c:pt>
                <c:pt idx="19">
                  <c:v>1.633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AA_pho_A!$A$35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AA_pho_A!$B$35:$U$35</c:f>
              <c:numCache>
                <c:formatCode>General</c:formatCode>
                <c:ptCount val="20"/>
                <c:pt idx="0">
                  <c:v>3886.6930000000002</c:v>
                </c:pt>
                <c:pt idx="1">
                  <c:v>2303.4110000000001</c:v>
                </c:pt>
                <c:pt idx="2">
                  <c:v>1279.7719999999999</c:v>
                </c:pt>
                <c:pt idx="3">
                  <c:v>833.41229999999996</c:v>
                </c:pt>
                <c:pt idx="4">
                  <c:v>594.3596</c:v>
                </c:pt>
                <c:pt idx="5">
                  <c:v>450.78789999999998</c:v>
                </c:pt>
                <c:pt idx="6">
                  <c:v>341.74669999999998</c:v>
                </c:pt>
                <c:pt idx="7">
                  <c:v>269.38760000000002</c:v>
                </c:pt>
                <c:pt idx="8">
                  <c:v>216.93299999999999</c:v>
                </c:pt>
                <c:pt idx="9">
                  <c:v>175.35409999999999</c:v>
                </c:pt>
                <c:pt idx="10">
                  <c:v>150.44489999999999</c:v>
                </c:pt>
                <c:pt idx="11">
                  <c:v>134.30719999999999</c:v>
                </c:pt>
                <c:pt idx="12">
                  <c:v>118.5201</c:v>
                </c:pt>
                <c:pt idx="13">
                  <c:v>108.56100000000001</c:v>
                </c:pt>
                <c:pt idx="14">
                  <c:v>96.55095</c:v>
                </c:pt>
                <c:pt idx="15">
                  <c:v>90.147829999999999</c:v>
                </c:pt>
                <c:pt idx="16">
                  <c:v>83.420869999999994</c:v>
                </c:pt>
                <c:pt idx="17">
                  <c:v>77.146929999999998</c:v>
                </c:pt>
                <c:pt idx="18">
                  <c:v>72.58202</c:v>
                </c:pt>
                <c:pt idx="19">
                  <c:v>66.637010000000004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AA_pho_A!$A$36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AA_pho_A!$B$36:$U$36</c:f>
              <c:numCache>
                <c:formatCode>General</c:formatCode>
                <c:ptCount val="20"/>
                <c:pt idx="0">
                  <c:v>4145.4570000000003</c:v>
                </c:pt>
                <c:pt idx="1">
                  <c:v>2484.6909999999998</c:v>
                </c:pt>
                <c:pt idx="2">
                  <c:v>1360.0070000000001</c:v>
                </c:pt>
                <c:pt idx="3">
                  <c:v>890.76649999999995</c:v>
                </c:pt>
                <c:pt idx="4">
                  <c:v>627.20519999999999</c:v>
                </c:pt>
                <c:pt idx="5">
                  <c:v>468.49189999999999</c:v>
                </c:pt>
                <c:pt idx="6">
                  <c:v>374.13490000000002</c:v>
                </c:pt>
                <c:pt idx="7">
                  <c:v>299.59210000000002</c:v>
                </c:pt>
                <c:pt idx="8">
                  <c:v>246.4357</c:v>
                </c:pt>
                <c:pt idx="9">
                  <c:v>203.321</c:v>
                </c:pt>
                <c:pt idx="10">
                  <c:v>172.8817</c:v>
                </c:pt>
                <c:pt idx="11">
                  <c:v>150.5454</c:v>
                </c:pt>
                <c:pt idx="12">
                  <c:v>130.73689999999999</c:v>
                </c:pt>
                <c:pt idx="13">
                  <c:v>118.3419</c:v>
                </c:pt>
                <c:pt idx="14">
                  <c:v>105.8839</c:v>
                </c:pt>
                <c:pt idx="15">
                  <c:v>97.031840000000003</c:v>
                </c:pt>
                <c:pt idx="16">
                  <c:v>87.26491</c:v>
                </c:pt>
                <c:pt idx="17">
                  <c:v>78.2</c:v>
                </c:pt>
                <c:pt idx="18">
                  <c:v>72.505020000000002</c:v>
                </c:pt>
                <c:pt idx="19">
                  <c:v>68.414050000000003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AA_pho_A!$A$37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AA_pho_A!$B$37:$U$37</c:f>
              <c:numCache>
                <c:formatCode>General</c:formatCode>
                <c:ptCount val="20"/>
                <c:pt idx="0">
                  <c:v>4070.7420000000002</c:v>
                </c:pt>
                <c:pt idx="1">
                  <c:v>2562.5039999999999</c:v>
                </c:pt>
                <c:pt idx="2">
                  <c:v>1470.99</c:v>
                </c:pt>
                <c:pt idx="3">
                  <c:v>1007.052</c:v>
                </c:pt>
                <c:pt idx="4">
                  <c:v>737.16010000000006</c:v>
                </c:pt>
                <c:pt idx="5">
                  <c:v>573.01610000000005</c:v>
                </c:pt>
                <c:pt idx="6">
                  <c:v>452.59120000000001</c:v>
                </c:pt>
                <c:pt idx="7">
                  <c:v>381.22669999999999</c:v>
                </c:pt>
                <c:pt idx="8">
                  <c:v>320.06029999999998</c:v>
                </c:pt>
                <c:pt idx="9">
                  <c:v>272.55029999999999</c:v>
                </c:pt>
                <c:pt idx="10">
                  <c:v>239.5078</c:v>
                </c:pt>
                <c:pt idx="11">
                  <c:v>209.0342</c:v>
                </c:pt>
                <c:pt idx="12">
                  <c:v>186.78049999999999</c:v>
                </c:pt>
                <c:pt idx="13">
                  <c:v>168.7217</c:v>
                </c:pt>
                <c:pt idx="14">
                  <c:v>153.33770000000001</c:v>
                </c:pt>
                <c:pt idx="15">
                  <c:v>139.68870000000001</c:v>
                </c:pt>
                <c:pt idx="16">
                  <c:v>130.9847</c:v>
                </c:pt>
                <c:pt idx="17">
                  <c:v>122.5637</c:v>
                </c:pt>
                <c:pt idx="18">
                  <c:v>112.3368</c:v>
                </c:pt>
                <c:pt idx="19">
                  <c:v>105.4299</c:v>
                </c:pt>
              </c:numCache>
            </c:numRef>
          </c:yVal>
          <c:smooth val="1"/>
        </c:ser>
        <c:ser>
          <c:idx val="35"/>
          <c:order val="35"/>
          <c:tx>
            <c:strRef>
              <c:f>AA_pho_A!$A$38</c:f>
              <c:strCache>
                <c:ptCount val="1"/>
              </c:strCache>
            </c:strRef>
          </c:tx>
          <c:xVal>
            <c:numRef>
              <c:f>AA_pho_A!$B$2:$U$2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AA_pho_A!$B$38:$U$38</c:f>
              <c:numCache>
                <c:formatCode>General</c:formatCode>
                <c:ptCount val="20"/>
              </c:numCache>
            </c:numRef>
          </c:yVal>
          <c:smooth val="1"/>
        </c:ser>
        <c:axId val="91763456"/>
        <c:axId val="91765376"/>
      </c:scatterChart>
      <c:valAx>
        <c:axId val="9176345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65376"/>
        <c:crosses val="autoZero"/>
        <c:crossBetween val="midCat"/>
      </c:valAx>
      <c:valAx>
        <c:axId val="91765376"/>
        <c:scaling>
          <c:orientation val="minMax"/>
        </c:scaling>
        <c:axPos val="l"/>
        <c:numFmt formatCode="General" sourceLinked="1"/>
        <c:tickLblPos val="nextTo"/>
        <c:crossAx val="91763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125174978127729"/>
          <c:y val="1.9676290463692039E-2"/>
          <c:w val="0.33888910761154856"/>
          <c:h val="0.83717191601049867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1956168118390404E-2"/>
          <c:y val="3.5442999792623685E-2"/>
          <c:w val="0.60803325234903249"/>
          <c:h val="0.88458364492147978"/>
        </c:manualLayout>
      </c:layout>
      <c:scatterChart>
        <c:scatterStyle val="smoothMarker"/>
        <c:ser>
          <c:idx val="0"/>
          <c:order val="0"/>
          <c:tx>
            <c:strRef>
              <c:f>'Chg_T_pos_den '!$A$3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'!$B$3:$U$3</c:f>
              <c:numCache>
                <c:formatCode>General</c:formatCode>
                <c:ptCount val="20"/>
                <c:pt idx="0">
                  <c:v>1.1998626965463898E-2</c:v>
                </c:pt>
                <c:pt idx="1">
                  <c:v>1.2891618565599609E-2</c:v>
                </c:pt>
                <c:pt idx="2">
                  <c:v>1.3414099056980168E-2</c:v>
                </c:pt>
                <c:pt idx="3">
                  <c:v>1.3756650403234755E-2</c:v>
                </c:pt>
                <c:pt idx="4">
                  <c:v>1.3610619983715249E-2</c:v>
                </c:pt>
                <c:pt idx="5">
                  <c:v>1.3369453765846383E-2</c:v>
                </c:pt>
                <c:pt idx="6">
                  <c:v>1.3432853494326861E-2</c:v>
                </c:pt>
                <c:pt idx="7">
                  <c:v>1.3406187420034146E-2</c:v>
                </c:pt>
                <c:pt idx="8">
                  <c:v>1.322082517563015E-2</c:v>
                </c:pt>
                <c:pt idx="9">
                  <c:v>1.2886957200625285E-2</c:v>
                </c:pt>
                <c:pt idx="10">
                  <c:v>1.2556870764035378E-2</c:v>
                </c:pt>
                <c:pt idx="11">
                  <c:v>1.2436668450950917E-2</c:v>
                </c:pt>
                <c:pt idx="12">
                  <c:v>1.2445516024541647E-2</c:v>
                </c:pt>
                <c:pt idx="13">
                  <c:v>1.2295122932105201E-2</c:v>
                </c:pt>
                <c:pt idx="14">
                  <c:v>1.2220777840982817E-2</c:v>
                </c:pt>
                <c:pt idx="15">
                  <c:v>1.2235723082771688E-2</c:v>
                </c:pt>
                <c:pt idx="16">
                  <c:v>1.2205872168754803E-2</c:v>
                </c:pt>
                <c:pt idx="17">
                  <c:v>1.2459059567796459E-2</c:v>
                </c:pt>
                <c:pt idx="18">
                  <c:v>1.2261567900193008E-2</c:v>
                </c:pt>
                <c:pt idx="19">
                  <c:v>1.1804655487998148E-2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'Chg_T_pos_den '!$A$4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'!$B$4:$U$4</c:f>
              <c:numCache>
                <c:formatCode>General</c:formatCode>
                <c:ptCount val="20"/>
                <c:pt idx="0">
                  <c:v>9.6067164206848164E-3</c:v>
                </c:pt>
                <c:pt idx="1">
                  <c:v>1.115203824373039E-2</c:v>
                </c:pt>
                <c:pt idx="2">
                  <c:v>1.2649516236930513E-2</c:v>
                </c:pt>
                <c:pt idx="3">
                  <c:v>1.3438188151082218E-2</c:v>
                </c:pt>
                <c:pt idx="4">
                  <c:v>1.4057615143056524E-2</c:v>
                </c:pt>
                <c:pt idx="5">
                  <c:v>1.4266849364438342E-2</c:v>
                </c:pt>
                <c:pt idx="6">
                  <c:v>1.4181788792133249E-2</c:v>
                </c:pt>
                <c:pt idx="7">
                  <c:v>1.4673592795103154E-2</c:v>
                </c:pt>
                <c:pt idx="8">
                  <c:v>1.5227165940821132E-2</c:v>
                </c:pt>
                <c:pt idx="9">
                  <c:v>1.5617490421452824E-2</c:v>
                </c:pt>
                <c:pt idx="10">
                  <c:v>1.505473140646668E-2</c:v>
                </c:pt>
                <c:pt idx="11">
                  <c:v>1.5426893477558323E-2</c:v>
                </c:pt>
                <c:pt idx="12">
                  <c:v>1.567408118732657E-2</c:v>
                </c:pt>
                <c:pt idx="13">
                  <c:v>1.5849077857260828E-2</c:v>
                </c:pt>
                <c:pt idx="14">
                  <c:v>1.606351727612633E-2</c:v>
                </c:pt>
                <c:pt idx="15">
                  <c:v>1.6283525233430716E-2</c:v>
                </c:pt>
                <c:pt idx="16">
                  <c:v>1.6777064097836275E-2</c:v>
                </c:pt>
                <c:pt idx="17">
                  <c:v>1.6789729794727135E-2</c:v>
                </c:pt>
                <c:pt idx="18">
                  <c:v>1.6430544621628344E-2</c:v>
                </c:pt>
                <c:pt idx="19">
                  <c:v>1.6578055515367396E-2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'Chg_T_pos_den '!$A$5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'!$B$5:$U$5</c:f>
              <c:numCache>
                <c:formatCode>General</c:formatCode>
                <c:ptCount val="20"/>
                <c:pt idx="0">
                  <c:v>1.0631716745576924E-2</c:v>
                </c:pt>
                <c:pt idx="1">
                  <c:v>1.1795284971149867E-2</c:v>
                </c:pt>
                <c:pt idx="2">
                  <c:v>1.3008540804326866E-2</c:v>
                </c:pt>
                <c:pt idx="3">
                  <c:v>1.3971084815753484E-2</c:v>
                </c:pt>
                <c:pt idx="4">
                  <c:v>1.4523226204396536E-2</c:v>
                </c:pt>
                <c:pt idx="5">
                  <c:v>1.5092590989304457E-2</c:v>
                </c:pt>
                <c:pt idx="6">
                  <c:v>1.5855096230391556E-2</c:v>
                </c:pt>
                <c:pt idx="7">
                  <c:v>1.6297289581425699E-2</c:v>
                </c:pt>
                <c:pt idx="8">
                  <c:v>1.6379042594513001E-2</c:v>
                </c:pt>
                <c:pt idx="9">
                  <c:v>1.6746198522948518E-2</c:v>
                </c:pt>
                <c:pt idx="10">
                  <c:v>1.6883558952744938E-2</c:v>
                </c:pt>
                <c:pt idx="11">
                  <c:v>1.7284204316405288E-2</c:v>
                </c:pt>
                <c:pt idx="12">
                  <c:v>1.7693458594368595E-2</c:v>
                </c:pt>
                <c:pt idx="13">
                  <c:v>1.7701547252895685E-2</c:v>
                </c:pt>
                <c:pt idx="14">
                  <c:v>1.7922431412719392E-2</c:v>
                </c:pt>
                <c:pt idx="15">
                  <c:v>1.8199998125514278E-2</c:v>
                </c:pt>
                <c:pt idx="16">
                  <c:v>1.8065422301296506E-2</c:v>
                </c:pt>
                <c:pt idx="17">
                  <c:v>1.810470432006726E-2</c:v>
                </c:pt>
                <c:pt idx="18">
                  <c:v>1.8097064870827097E-2</c:v>
                </c:pt>
                <c:pt idx="19">
                  <c:v>1.7956341530809616E-2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'Chg_T_pos_den '!$A$6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'!$B$6:$U$6</c:f>
              <c:numCache>
                <c:formatCode>General</c:formatCode>
                <c:ptCount val="20"/>
                <c:pt idx="0">
                  <c:v>5.7824023316322597E-3</c:v>
                </c:pt>
                <c:pt idx="1">
                  <c:v>6.4116058973281674E-3</c:v>
                </c:pt>
                <c:pt idx="2">
                  <c:v>6.7446108785762775E-3</c:v>
                </c:pt>
                <c:pt idx="3">
                  <c:v>6.7172253590948566E-3</c:v>
                </c:pt>
                <c:pt idx="4">
                  <c:v>7.0650614424936451E-3</c:v>
                </c:pt>
                <c:pt idx="5">
                  <c:v>7.1576656665276609E-3</c:v>
                </c:pt>
                <c:pt idx="6">
                  <c:v>7.0710040376703647E-3</c:v>
                </c:pt>
                <c:pt idx="7">
                  <c:v>7.3080954934844683E-3</c:v>
                </c:pt>
                <c:pt idx="8">
                  <c:v>7.2344646703602737E-3</c:v>
                </c:pt>
                <c:pt idx="9">
                  <c:v>7.2440679354651167E-3</c:v>
                </c:pt>
                <c:pt idx="10">
                  <c:v>7.1217696633139012E-3</c:v>
                </c:pt>
                <c:pt idx="11">
                  <c:v>7.1428831067729256E-3</c:v>
                </c:pt>
                <c:pt idx="12">
                  <c:v>7.1113617225960915E-3</c:v>
                </c:pt>
                <c:pt idx="13">
                  <c:v>6.7558345628856882E-3</c:v>
                </c:pt>
                <c:pt idx="14">
                  <c:v>6.7754170218913669E-3</c:v>
                </c:pt>
                <c:pt idx="15">
                  <c:v>6.9364652362896148E-3</c:v>
                </c:pt>
                <c:pt idx="16">
                  <c:v>6.876530064797895E-3</c:v>
                </c:pt>
                <c:pt idx="17">
                  <c:v>7.0109269036045131E-3</c:v>
                </c:pt>
                <c:pt idx="18">
                  <c:v>7.1885758344845318E-3</c:v>
                </c:pt>
                <c:pt idx="19">
                  <c:v>6.9731821791798199E-3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'Chg_T_pos_den '!$A$7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'!$B$7:$U$7</c:f>
              <c:numCache>
                <c:formatCode>General</c:formatCode>
                <c:ptCount val="20"/>
                <c:pt idx="0">
                  <c:v>6.5458295913525793E-3</c:v>
                </c:pt>
                <c:pt idx="1">
                  <c:v>7.3735502403188451E-3</c:v>
                </c:pt>
                <c:pt idx="2">
                  <c:v>7.999527156633237E-3</c:v>
                </c:pt>
                <c:pt idx="3">
                  <c:v>8.5463112179178756E-3</c:v>
                </c:pt>
                <c:pt idx="4">
                  <c:v>8.783844103466382E-3</c:v>
                </c:pt>
                <c:pt idx="5">
                  <c:v>8.6028305506446433E-3</c:v>
                </c:pt>
                <c:pt idx="6">
                  <c:v>8.8596254166604382E-3</c:v>
                </c:pt>
                <c:pt idx="7">
                  <c:v>9.2816135641693911E-3</c:v>
                </c:pt>
                <c:pt idx="8">
                  <c:v>9.5217476353133823E-3</c:v>
                </c:pt>
                <c:pt idx="9">
                  <c:v>9.4624164393736793E-3</c:v>
                </c:pt>
                <c:pt idx="10">
                  <c:v>9.4319431395128318E-3</c:v>
                </c:pt>
                <c:pt idx="11">
                  <c:v>9.5945965270066401E-3</c:v>
                </c:pt>
                <c:pt idx="12">
                  <c:v>9.8811748208392728E-3</c:v>
                </c:pt>
                <c:pt idx="13">
                  <c:v>9.5800824427712122E-3</c:v>
                </c:pt>
                <c:pt idx="14">
                  <c:v>9.813339982799596E-3</c:v>
                </c:pt>
                <c:pt idx="15">
                  <c:v>9.5713986554651284E-3</c:v>
                </c:pt>
                <c:pt idx="16">
                  <c:v>9.7640764938271181E-3</c:v>
                </c:pt>
                <c:pt idx="17">
                  <c:v>9.996084592557403E-3</c:v>
                </c:pt>
                <c:pt idx="18">
                  <c:v>9.8133082092262975E-3</c:v>
                </c:pt>
                <c:pt idx="19">
                  <c:v>9.9157648215129259E-3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'Chg_T_pos_den '!$A$8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'!$B$8:$U$8</c:f>
              <c:numCache>
                <c:formatCode>General</c:formatCode>
                <c:ptCount val="20"/>
                <c:pt idx="0">
                  <c:v>5.7651197957888757E-3</c:v>
                </c:pt>
                <c:pt idx="1">
                  <c:v>6.0636871067958464E-3</c:v>
                </c:pt>
                <c:pt idx="2">
                  <c:v>6.2480324531909281E-3</c:v>
                </c:pt>
                <c:pt idx="3">
                  <c:v>6.1260738032774499E-3</c:v>
                </c:pt>
                <c:pt idx="4">
                  <c:v>6.0437671172812023E-3</c:v>
                </c:pt>
                <c:pt idx="5">
                  <c:v>6.1137567794535882E-3</c:v>
                </c:pt>
                <c:pt idx="6">
                  <c:v>6.1511711045585064E-3</c:v>
                </c:pt>
                <c:pt idx="7">
                  <c:v>6.0249211313008859E-3</c:v>
                </c:pt>
                <c:pt idx="8">
                  <c:v>6.0185172356781906E-3</c:v>
                </c:pt>
                <c:pt idx="9">
                  <c:v>5.9751282310056266E-3</c:v>
                </c:pt>
                <c:pt idx="10">
                  <c:v>5.8372932029988733E-3</c:v>
                </c:pt>
                <c:pt idx="11">
                  <c:v>5.5834624118076392E-3</c:v>
                </c:pt>
                <c:pt idx="12">
                  <c:v>5.621565200855232E-3</c:v>
                </c:pt>
                <c:pt idx="13">
                  <c:v>5.4901242576226054E-3</c:v>
                </c:pt>
                <c:pt idx="14">
                  <c:v>5.584748181031122E-3</c:v>
                </c:pt>
                <c:pt idx="15">
                  <c:v>5.4648574364243516E-3</c:v>
                </c:pt>
                <c:pt idx="16">
                  <c:v>5.4899990702230589E-3</c:v>
                </c:pt>
                <c:pt idx="17">
                  <c:v>5.3749783791323755E-3</c:v>
                </c:pt>
                <c:pt idx="18">
                  <c:v>5.4081787139100669E-3</c:v>
                </c:pt>
                <c:pt idx="19">
                  <c:v>5.4625341011606812E-3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'Chg_T_pos_den '!$A$9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'!$B$9:$U$9</c:f>
              <c:numCache>
                <c:formatCode>General</c:formatCode>
                <c:ptCount val="20"/>
                <c:pt idx="0">
                  <c:v>6.2735544589060943E-3</c:v>
                </c:pt>
                <c:pt idx="1">
                  <c:v>6.9984105130871752E-3</c:v>
                </c:pt>
                <c:pt idx="2">
                  <c:v>7.3863486615083716E-3</c:v>
                </c:pt>
                <c:pt idx="3">
                  <c:v>7.4569869569182231E-3</c:v>
                </c:pt>
                <c:pt idx="4">
                  <c:v>7.6026742192199454E-3</c:v>
                </c:pt>
                <c:pt idx="5">
                  <c:v>7.5198965294244443E-3</c:v>
                </c:pt>
                <c:pt idx="6">
                  <c:v>7.4837229049420657E-3</c:v>
                </c:pt>
                <c:pt idx="7">
                  <c:v>7.6963226376544078E-3</c:v>
                </c:pt>
                <c:pt idx="8">
                  <c:v>7.7035575532119543E-3</c:v>
                </c:pt>
                <c:pt idx="9">
                  <c:v>7.7029493965227527E-3</c:v>
                </c:pt>
                <c:pt idx="10">
                  <c:v>7.5604548375458594E-3</c:v>
                </c:pt>
                <c:pt idx="11">
                  <c:v>7.5920654644616378E-3</c:v>
                </c:pt>
                <c:pt idx="12">
                  <c:v>7.6024998801591491E-3</c:v>
                </c:pt>
                <c:pt idx="13">
                  <c:v>7.4684657048458931E-3</c:v>
                </c:pt>
                <c:pt idx="14">
                  <c:v>7.4859413952723577E-3</c:v>
                </c:pt>
                <c:pt idx="15">
                  <c:v>7.3588779807061966E-3</c:v>
                </c:pt>
                <c:pt idx="16">
                  <c:v>7.3881690518641484E-3</c:v>
                </c:pt>
                <c:pt idx="17">
                  <c:v>7.6000272931291413E-3</c:v>
                </c:pt>
                <c:pt idx="18">
                  <c:v>7.6256331692688816E-3</c:v>
                </c:pt>
                <c:pt idx="19">
                  <c:v>7.3839399423326398E-3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'Chg_T_pos_den '!$A$10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'!$B$10:$U$10</c:f>
              <c:numCache>
                <c:formatCode>General</c:formatCode>
                <c:ptCount val="20"/>
                <c:pt idx="0">
                  <c:v>8.349895658132437E-3</c:v>
                </c:pt>
                <c:pt idx="1">
                  <c:v>9.6192293564273217E-3</c:v>
                </c:pt>
                <c:pt idx="2">
                  <c:v>1.0579535910396079E-2</c:v>
                </c:pt>
                <c:pt idx="3">
                  <c:v>1.1254509706606602E-2</c:v>
                </c:pt>
                <c:pt idx="4">
                  <c:v>1.1599539184433372E-2</c:v>
                </c:pt>
                <c:pt idx="5">
                  <c:v>1.1820452085786116E-2</c:v>
                </c:pt>
                <c:pt idx="6">
                  <c:v>1.1945563888853591E-2</c:v>
                </c:pt>
                <c:pt idx="7">
                  <c:v>1.2220293356940134E-2</c:v>
                </c:pt>
                <c:pt idx="8">
                  <c:v>1.2165616605908642E-2</c:v>
                </c:pt>
                <c:pt idx="9">
                  <c:v>1.2140469348967859E-2</c:v>
                </c:pt>
                <c:pt idx="10">
                  <c:v>1.2164714734814834E-2</c:v>
                </c:pt>
                <c:pt idx="11">
                  <c:v>1.1845218551269436E-2</c:v>
                </c:pt>
                <c:pt idx="12">
                  <c:v>1.2221557621461269E-2</c:v>
                </c:pt>
                <c:pt idx="13">
                  <c:v>1.1817240139543207E-2</c:v>
                </c:pt>
                <c:pt idx="14">
                  <c:v>1.1619987391187013E-2</c:v>
                </c:pt>
                <c:pt idx="15">
                  <c:v>1.124618000763488E-2</c:v>
                </c:pt>
                <c:pt idx="16">
                  <c:v>1.1057636598949582E-2</c:v>
                </c:pt>
                <c:pt idx="17">
                  <c:v>1.130686109262535E-2</c:v>
                </c:pt>
                <c:pt idx="18">
                  <c:v>1.0960569480406178E-2</c:v>
                </c:pt>
                <c:pt idx="19">
                  <c:v>1.1248884670147129E-2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'Chg_T_pos_den '!$A$11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'!$B$11:$U$11</c:f>
              <c:numCache>
                <c:formatCode>General</c:formatCode>
                <c:ptCount val="20"/>
                <c:pt idx="0">
                  <c:v>8.4371991071689086E-3</c:v>
                </c:pt>
                <c:pt idx="1">
                  <c:v>9.893063128883663E-3</c:v>
                </c:pt>
                <c:pt idx="2">
                  <c:v>1.0972036993408563E-2</c:v>
                </c:pt>
                <c:pt idx="3">
                  <c:v>1.1827541028971149E-2</c:v>
                </c:pt>
                <c:pt idx="4">
                  <c:v>1.2218471109026831E-2</c:v>
                </c:pt>
                <c:pt idx="5">
                  <c:v>1.2929284937671344E-2</c:v>
                </c:pt>
                <c:pt idx="6">
                  <c:v>1.3076891896017523E-2</c:v>
                </c:pt>
                <c:pt idx="7">
                  <c:v>1.3368599524483689E-2</c:v>
                </c:pt>
                <c:pt idx="8">
                  <c:v>1.3386098732550249E-2</c:v>
                </c:pt>
                <c:pt idx="9">
                  <c:v>1.325011912777513E-2</c:v>
                </c:pt>
                <c:pt idx="10">
                  <c:v>1.3153784665072263E-2</c:v>
                </c:pt>
                <c:pt idx="11">
                  <c:v>1.3215922179515789E-2</c:v>
                </c:pt>
                <c:pt idx="12">
                  <c:v>1.3707093575306462E-2</c:v>
                </c:pt>
                <c:pt idx="13">
                  <c:v>1.3774422981090027E-2</c:v>
                </c:pt>
                <c:pt idx="14">
                  <c:v>1.3919267078012063E-2</c:v>
                </c:pt>
                <c:pt idx="15">
                  <c:v>1.3729334951235964E-2</c:v>
                </c:pt>
                <c:pt idx="16">
                  <c:v>1.3743994932882871E-2</c:v>
                </c:pt>
                <c:pt idx="17">
                  <c:v>1.3725409134129847E-2</c:v>
                </c:pt>
                <c:pt idx="18">
                  <c:v>1.4002307569847711E-2</c:v>
                </c:pt>
                <c:pt idx="19">
                  <c:v>1.3935722316539997E-2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'Chg_T_pos_den '!$A$12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'!$B$12:$U$12</c:f>
              <c:numCache>
                <c:formatCode>General</c:formatCode>
                <c:ptCount val="20"/>
                <c:pt idx="0">
                  <c:v>7.7759637562795376E-3</c:v>
                </c:pt>
                <c:pt idx="1">
                  <c:v>8.748354089439872E-3</c:v>
                </c:pt>
                <c:pt idx="2">
                  <c:v>9.7424436896887349E-3</c:v>
                </c:pt>
                <c:pt idx="3">
                  <c:v>9.5682773398018187E-3</c:v>
                </c:pt>
                <c:pt idx="4">
                  <c:v>9.7728667421410932E-3</c:v>
                </c:pt>
                <c:pt idx="5">
                  <c:v>9.8725468736530174E-3</c:v>
                </c:pt>
                <c:pt idx="6">
                  <c:v>9.9585656366516263E-3</c:v>
                </c:pt>
                <c:pt idx="7">
                  <c:v>1.0331656086034422E-2</c:v>
                </c:pt>
                <c:pt idx="8">
                  <c:v>1.0414780433206252E-2</c:v>
                </c:pt>
                <c:pt idx="9">
                  <c:v>1.0314005829500155E-2</c:v>
                </c:pt>
                <c:pt idx="10">
                  <c:v>9.9387395200925127E-3</c:v>
                </c:pt>
                <c:pt idx="11">
                  <c:v>9.8638044979565565E-3</c:v>
                </c:pt>
                <c:pt idx="12">
                  <c:v>9.0715695628268492E-3</c:v>
                </c:pt>
                <c:pt idx="13">
                  <c:v>9.2190888370288597E-3</c:v>
                </c:pt>
                <c:pt idx="14">
                  <c:v>9.2870586429229345E-3</c:v>
                </c:pt>
                <c:pt idx="15">
                  <c:v>9.3052757127630847E-3</c:v>
                </c:pt>
                <c:pt idx="16">
                  <c:v>9.0041555899841828E-3</c:v>
                </c:pt>
                <c:pt idx="17">
                  <c:v>9.1132318947434333E-3</c:v>
                </c:pt>
                <c:pt idx="18">
                  <c:v>9.6580430778713325E-3</c:v>
                </c:pt>
                <c:pt idx="19">
                  <c:v>9.1330623901581722E-3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'Chg_T_pos_den '!$A$13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'!$B$13:$U$13</c:f>
              <c:numCache>
                <c:formatCode>General</c:formatCode>
                <c:ptCount val="20"/>
                <c:pt idx="0">
                  <c:v>6.9208087276820254E-3</c:v>
                </c:pt>
                <c:pt idx="1">
                  <c:v>7.5257096868103675E-3</c:v>
                </c:pt>
                <c:pt idx="2">
                  <c:v>8.526573368671778E-3</c:v>
                </c:pt>
                <c:pt idx="3">
                  <c:v>8.6815598299680025E-3</c:v>
                </c:pt>
                <c:pt idx="4">
                  <c:v>9.1472198193026915E-3</c:v>
                </c:pt>
                <c:pt idx="5">
                  <c:v>9.4362397041141462E-3</c:v>
                </c:pt>
                <c:pt idx="6">
                  <c:v>1.0009572699127996E-2</c:v>
                </c:pt>
                <c:pt idx="7">
                  <c:v>1.0382550004371242E-2</c:v>
                </c:pt>
                <c:pt idx="8">
                  <c:v>1.012663548082799E-2</c:v>
                </c:pt>
                <c:pt idx="9">
                  <c:v>1.0165433123903589E-2</c:v>
                </c:pt>
                <c:pt idx="10">
                  <c:v>1.0085066817240728E-2</c:v>
                </c:pt>
                <c:pt idx="11">
                  <c:v>9.696520485395068E-3</c:v>
                </c:pt>
                <c:pt idx="12">
                  <c:v>9.9557047172907174E-3</c:v>
                </c:pt>
                <c:pt idx="13">
                  <c:v>9.5834335224252252E-3</c:v>
                </c:pt>
                <c:pt idx="14">
                  <c:v>1.0037917297024711E-2</c:v>
                </c:pt>
                <c:pt idx="15">
                  <c:v>1.0092015519770859E-2</c:v>
                </c:pt>
                <c:pt idx="16">
                  <c:v>9.9087511497264677E-3</c:v>
                </c:pt>
                <c:pt idx="17">
                  <c:v>1.0463254826215046E-2</c:v>
                </c:pt>
                <c:pt idx="18">
                  <c:v>1.0731679165308119E-2</c:v>
                </c:pt>
                <c:pt idx="19">
                  <c:v>1.0843518334327963E-2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'Chg_T_pos_den '!$A$14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'!$B$14:$U$14</c:f>
              <c:numCache>
                <c:formatCode>General</c:formatCode>
                <c:ptCount val="20"/>
                <c:pt idx="0">
                  <c:v>8.4167927461338207E-3</c:v>
                </c:pt>
                <c:pt idx="1">
                  <c:v>9.7231838428154284E-3</c:v>
                </c:pt>
                <c:pt idx="2">
                  <c:v>1.090648920520544E-2</c:v>
                </c:pt>
                <c:pt idx="3">
                  <c:v>1.1682351881219815E-2</c:v>
                </c:pt>
                <c:pt idx="4">
                  <c:v>1.2088323129066695E-2</c:v>
                </c:pt>
                <c:pt idx="5">
                  <c:v>1.2249465695006137E-2</c:v>
                </c:pt>
                <c:pt idx="6">
                  <c:v>1.2818541413438651E-2</c:v>
                </c:pt>
                <c:pt idx="7">
                  <c:v>1.3279124487289223E-2</c:v>
                </c:pt>
                <c:pt idx="8">
                  <c:v>1.3721528037899763E-2</c:v>
                </c:pt>
                <c:pt idx="9">
                  <c:v>1.3506451092090994E-2</c:v>
                </c:pt>
                <c:pt idx="10">
                  <c:v>1.3610117433573052E-2</c:v>
                </c:pt>
                <c:pt idx="11">
                  <c:v>1.3512560689334581E-2</c:v>
                </c:pt>
                <c:pt idx="12">
                  <c:v>1.3430500985609274E-2</c:v>
                </c:pt>
                <c:pt idx="13">
                  <c:v>1.3627337517241662E-2</c:v>
                </c:pt>
                <c:pt idx="14">
                  <c:v>1.4230386335312661E-2</c:v>
                </c:pt>
                <c:pt idx="15">
                  <c:v>1.4343842048236284E-2</c:v>
                </c:pt>
                <c:pt idx="16">
                  <c:v>1.4528096647362312E-2</c:v>
                </c:pt>
                <c:pt idx="17">
                  <c:v>1.4308152544649623E-2</c:v>
                </c:pt>
                <c:pt idx="18">
                  <c:v>1.3819707893388032E-2</c:v>
                </c:pt>
                <c:pt idx="19">
                  <c:v>1.3818811227856453E-2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'Chg_T_pos_den '!$A$15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'!$B$15:$U$15</c:f>
              <c:numCache>
                <c:formatCode>General</c:formatCode>
                <c:ptCount val="20"/>
                <c:pt idx="0">
                  <c:v>7.8359892208852873E-3</c:v>
                </c:pt>
                <c:pt idx="1">
                  <c:v>8.5832272988996938E-3</c:v>
                </c:pt>
                <c:pt idx="2">
                  <c:v>9.2338950980001017E-3</c:v>
                </c:pt>
                <c:pt idx="3">
                  <c:v>9.4608177049508909E-3</c:v>
                </c:pt>
                <c:pt idx="4">
                  <c:v>9.4424933351953261E-3</c:v>
                </c:pt>
                <c:pt idx="5">
                  <c:v>9.3410212469980242E-3</c:v>
                </c:pt>
                <c:pt idx="6">
                  <c:v>9.3707624177660678E-3</c:v>
                </c:pt>
                <c:pt idx="7">
                  <c:v>9.2973296935655435E-3</c:v>
                </c:pt>
                <c:pt idx="8">
                  <c:v>9.3253044352324677E-3</c:v>
                </c:pt>
                <c:pt idx="9">
                  <c:v>9.4104299702282065E-3</c:v>
                </c:pt>
                <c:pt idx="10">
                  <c:v>9.5886339974869846E-3</c:v>
                </c:pt>
                <c:pt idx="11">
                  <c:v>9.8269602883301645E-3</c:v>
                </c:pt>
                <c:pt idx="12">
                  <c:v>9.8656814751186313E-3</c:v>
                </c:pt>
                <c:pt idx="13">
                  <c:v>9.6471463197096239E-3</c:v>
                </c:pt>
                <c:pt idx="14">
                  <c:v>9.8620717925494168E-3</c:v>
                </c:pt>
                <c:pt idx="15">
                  <c:v>9.7212832483342931E-3</c:v>
                </c:pt>
                <c:pt idx="16">
                  <c:v>1.0144421363483914E-2</c:v>
                </c:pt>
                <c:pt idx="17">
                  <c:v>1.012799880879455E-2</c:v>
                </c:pt>
                <c:pt idx="18">
                  <c:v>9.8914294361982947E-3</c:v>
                </c:pt>
                <c:pt idx="19">
                  <c:v>9.6592263163106755E-3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'Chg_T_pos_den '!$A$16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'!$B$16:$U$16</c:f>
              <c:numCache>
                <c:formatCode>General</c:formatCode>
                <c:ptCount val="20"/>
                <c:pt idx="0">
                  <c:v>1.1116959036711902E-2</c:v>
                </c:pt>
                <c:pt idx="1">
                  <c:v>1.3033051822505842E-2</c:v>
                </c:pt>
                <c:pt idx="2">
                  <c:v>1.4737576279484896E-2</c:v>
                </c:pt>
                <c:pt idx="3">
                  <c:v>1.5738037267135539E-2</c:v>
                </c:pt>
                <c:pt idx="4">
                  <c:v>1.6258277673015679E-2</c:v>
                </c:pt>
                <c:pt idx="5">
                  <c:v>1.6577470640977979E-2</c:v>
                </c:pt>
                <c:pt idx="6">
                  <c:v>1.6807855239175429E-2</c:v>
                </c:pt>
                <c:pt idx="7">
                  <c:v>1.7436782586695777E-2</c:v>
                </c:pt>
                <c:pt idx="8">
                  <c:v>1.7816942873437009E-2</c:v>
                </c:pt>
                <c:pt idx="9">
                  <c:v>1.7978639001632546E-2</c:v>
                </c:pt>
                <c:pt idx="10">
                  <c:v>1.8276569037311143E-2</c:v>
                </c:pt>
                <c:pt idx="11">
                  <c:v>1.8357659082936073E-2</c:v>
                </c:pt>
                <c:pt idx="12">
                  <c:v>1.8578398911503546E-2</c:v>
                </c:pt>
                <c:pt idx="13">
                  <c:v>1.8522234666998528E-2</c:v>
                </c:pt>
                <c:pt idx="14">
                  <c:v>1.8573376950176145E-2</c:v>
                </c:pt>
                <c:pt idx="15">
                  <c:v>1.8833043915040183E-2</c:v>
                </c:pt>
                <c:pt idx="16">
                  <c:v>1.9204438738438839E-2</c:v>
                </c:pt>
                <c:pt idx="17">
                  <c:v>1.9082380585070585E-2</c:v>
                </c:pt>
                <c:pt idx="18">
                  <c:v>1.880112765276068E-2</c:v>
                </c:pt>
                <c:pt idx="19">
                  <c:v>1.8463363301400148E-2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'Chg_T_pos_den '!$A$17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'!$B$17:$U$17</c:f>
              <c:numCache>
                <c:formatCode>General</c:formatCode>
                <c:ptCount val="20"/>
                <c:pt idx="0">
                  <c:v>1.1395223550136557E-2</c:v>
                </c:pt>
                <c:pt idx="1">
                  <c:v>1.3388533351273733E-2</c:v>
                </c:pt>
                <c:pt idx="2">
                  <c:v>1.5131157363542312E-2</c:v>
                </c:pt>
                <c:pt idx="3">
                  <c:v>1.5932493089133991E-2</c:v>
                </c:pt>
                <c:pt idx="4">
                  <c:v>1.6370361987851807E-2</c:v>
                </c:pt>
                <c:pt idx="5">
                  <c:v>1.7113919362633293E-2</c:v>
                </c:pt>
                <c:pt idx="6">
                  <c:v>1.7065313448284023E-2</c:v>
                </c:pt>
                <c:pt idx="7">
                  <c:v>1.7223264901799918E-2</c:v>
                </c:pt>
                <c:pt idx="8">
                  <c:v>1.7343173696203765E-2</c:v>
                </c:pt>
                <c:pt idx="9">
                  <c:v>1.7539024220767752E-2</c:v>
                </c:pt>
                <c:pt idx="10">
                  <c:v>1.7760673924685274E-2</c:v>
                </c:pt>
                <c:pt idx="11">
                  <c:v>1.7899730189720912E-2</c:v>
                </c:pt>
                <c:pt idx="12">
                  <c:v>1.8067812251521542E-2</c:v>
                </c:pt>
                <c:pt idx="13">
                  <c:v>1.8088935224050823E-2</c:v>
                </c:pt>
                <c:pt idx="14">
                  <c:v>1.8091552100159891E-2</c:v>
                </c:pt>
                <c:pt idx="15">
                  <c:v>1.8143285257818768E-2</c:v>
                </c:pt>
                <c:pt idx="16">
                  <c:v>1.8283125759097442E-2</c:v>
                </c:pt>
                <c:pt idx="17">
                  <c:v>1.7992758638467349E-2</c:v>
                </c:pt>
                <c:pt idx="18">
                  <c:v>1.7862473648988041E-2</c:v>
                </c:pt>
                <c:pt idx="19">
                  <c:v>1.7613991340349546E-2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'Chg_T_pos_den '!$A$18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'!$B$18:$U$18</c:f>
              <c:numCache>
                <c:formatCode>General</c:formatCode>
                <c:ptCount val="20"/>
                <c:pt idx="0">
                  <c:v>1.0585172594806432E-2</c:v>
                </c:pt>
                <c:pt idx="1">
                  <c:v>1.2410791372827969E-2</c:v>
                </c:pt>
                <c:pt idx="2">
                  <c:v>1.3736954836467648E-2</c:v>
                </c:pt>
                <c:pt idx="3">
                  <c:v>1.4326204108518153E-2</c:v>
                </c:pt>
                <c:pt idx="4">
                  <c:v>1.4399534568626273E-2</c:v>
                </c:pt>
                <c:pt idx="5">
                  <c:v>1.4518757110393425E-2</c:v>
                </c:pt>
                <c:pt idx="6">
                  <c:v>1.4741081327035188E-2</c:v>
                </c:pt>
                <c:pt idx="7">
                  <c:v>1.4683107031293566E-2</c:v>
                </c:pt>
                <c:pt idx="8">
                  <c:v>1.4410994611722953E-2</c:v>
                </c:pt>
                <c:pt idx="9">
                  <c:v>1.4404668398784294E-2</c:v>
                </c:pt>
                <c:pt idx="10">
                  <c:v>1.4735105394370304E-2</c:v>
                </c:pt>
                <c:pt idx="11">
                  <c:v>1.5040919479018389E-2</c:v>
                </c:pt>
                <c:pt idx="12">
                  <c:v>1.5302277873200872E-2</c:v>
                </c:pt>
                <c:pt idx="13">
                  <c:v>1.5321566819921952E-2</c:v>
                </c:pt>
                <c:pt idx="14">
                  <c:v>1.5087089454124472E-2</c:v>
                </c:pt>
                <c:pt idx="15">
                  <c:v>1.4896126155777494E-2</c:v>
                </c:pt>
                <c:pt idx="16">
                  <c:v>1.4959218816844075E-2</c:v>
                </c:pt>
                <c:pt idx="17">
                  <c:v>1.4856536087102931E-2</c:v>
                </c:pt>
                <c:pt idx="18">
                  <c:v>1.4696400640504979E-2</c:v>
                </c:pt>
                <c:pt idx="19">
                  <c:v>1.4590851823344443E-2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'Chg_T_pos_den '!$A$19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'!$B$19:$U$19</c:f>
              <c:numCache>
                <c:formatCode>General</c:formatCode>
                <c:ptCount val="20"/>
                <c:pt idx="0">
                  <c:v>1.1525697051599343E-2</c:v>
                </c:pt>
                <c:pt idx="1">
                  <c:v>1.2755420197325696E-2</c:v>
                </c:pt>
                <c:pt idx="2">
                  <c:v>1.3840253332107177E-2</c:v>
                </c:pt>
                <c:pt idx="3">
                  <c:v>1.4360267575074116E-2</c:v>
                </c:pt>
                <c:pt idx="4">
                  <c:v>1.4453983987633515E-2</c:v>
                </c:pt>
                <c:pt idx="5">
                  <c:v>1.4816456193696493E-2</c:v>
                </c:pt>
                <c:pt idx="6">
                  <c:v>1.4779375419625851E-2</c:v>
                </c:pt>
                <c:pt idx="7">
                  <c:v>1.4916472698888137E-2</c:v>
                </c:pt>
                <c:pt idx="8">
                  <c:v>1.4933604123510611E-2</c:v>
                </c:pt>
                <c:pt idx="9">
                  <c:v>1.4937547962138586E-2</c:v>
                </c:pt>
                <c:pt idx="10">
                  <c:v>1.5379774937906729E-2</c:v>
                </c:pt>
                <c:pt idx="11">
                  <c:v>1.5473451848633699E-2</c:v>
                </c:pt>
                <c:pt idx="12">
                  <c:v>1.566838880600898E-2</c:v>
                </c:pt>
                <c:pt idx="13">
                  <c:v>1.5567153296024169E-2</c:v>
                </c:pt>
                <c:pt idx="14">
                  <c:v>1.5584319263663118E-2</c:v>
                </c:pt>
                <c:pt idx="15">
                  <c:v>1.5890441917237097E-2</c:v>
                </c:pt>
                <c:pt idx="16">
                  <c:v>1.5685754742446396E-2</c:v>
                </c:pt>
                <c:pt idx="17">
                  <c:v>1.5697833523511229E-2</c:v>
                </c:pt>
                <c:pt idx="18">
                  <c:v>1.5659187419437601E-2</c:v>
                </c:pt>
                <c:pt idx="19">
                  <c:v>1.4896995016586187E-2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'Chg_T_pos_den '!$A$20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'!$B$20:$U$20</c:f>
              <c:numCache>
                <c:formatCode>General</c:formatCode>
                <c:ptCount val="20"/>
                <c:pt idx="0">
                  <c:v>1.2038615059583374E-2</c:v>
                </c:pt>
                <c:pt idx="1">
                  <c:v>1.3453340019361886E-2</c:v>
                </c:pt>
                <c:pt idx="2">
                  <c:v>1.4582096639287872E-2</c:v>
                </c:pt>
                <c:pt idx="3">
                  <c:v>1.4950112681530381E-2</c:v>
                </c:pt>
                <c:pt idx="4">
                  <c:v>1.5104270117178072E-2</c:v>
                </c:pt>
                <c:pt idx="5">
                  <c:v>1.5332438311546013E-2</c:v>
                </c:pt>
                <c:pt idx="6">
                  <c:v>1.5439168787174851E-2</c:v>
                </c:pt>
                <c:pt idx="7">
                  <c:v>1.5718809260131899E-2</c:v>
                </c:pt>
                <c:pt idx="8">
                  <c:v>1.5905294002165237E-2</c:v>
                </c:pt>
                <c:pt idx="9">
                  <c:v>1.5779717169558918E-2</c:v>
                </c:pt>
                <c:pt idx="10">
                  <c:v>1.5629707438681764E-2</c:v>
                </c:pt>
                <c:pt idx="11">
                  <c:v>1.5778880676267842E-2</c:v>
                </c:pt>
                <c:pt idx="12">
                  <c:v>1.5991500641165984E-2</c:v>
                </c:pt>
                <c:pt idx="13">
                  <c:v>1.6158639974459293E-2</c:v>
                </c:pt>
                <c:pt idx="14">
                  <c:v>1.650556523417842E-2</c:v>
                </c:pt>
                <c:pt idx="15">
                  <c:v>1.6571134301219266E-2</c:v>
                </c:pt>
                <c:pt idx="16">
                  <c:v>1.6701458676396452E-2</c:v>
                </c:pt>
                <c:pt idx="17">
                  <c:v>1.6800393013932397E-2</c:v>
                </c:pt>
                <c:pt idx="18">
                  <c:v>1.661379909963779E-2</c:v>
                </c:pt>
                <c:pt idx="19">
                  <c:v>1.622419243974698E-2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'Chg_T_pos_den '!$A$21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'!$B$21:$U$21</c:f>
              <c:numCache>
                <c:formatCode>General</c:formatCode>
                <c:ptCount val="20"/>
                <c:pt idx="0">
                  <c:v>1.1977378652186274E-2</c:v>
                </c:pt>
                <c:pt idx="1">
                  <c:v>1.3491711066039023E-2</c:v>
                </c:pt>
                <c:pt idx="2">
                  <c:v>1.4578997427692347E-2</c:v>
                </c:pt>
                <c:pt idx="3">
                  <c:v>1.4890877434002046E-2</c:v>
                </c:pt>
                <c:pt idx="4">
                  <c:v>1.5094174649893573E-2</c:v>
                </c:pt>
                <c:pt idx="5">
                  <c:v>1.5251749334954079E-2</c:v>
                </c:pt>
                <c:pt idx="6">
                  <c:v>1.5359642655726421E-2</c:v>
                </c:pt>
                <c:pt idx="7">
                  <c:v>1.560136377095799E-2</c:v>
                </c:pt>
                <c:pt idx="8">
                  <c:v>1.5667394608979229E-2</c:v>
                </c:pt>
                <c:pt idx="9">
                  <c:v>1.5828521070835079E-2</c:v>
                </c:pt>
                <c:pt idx="10">
                  <c:v>1.6057828704777344E-2</c:v>
                </c:pt>
                <c:pt idx="11">
                  <c:v>1.6056914993976865E-2</c:v>
                </c:pt>
                <c:pt idx="12">
                  <c:v>1.6046241486856343E-2</c:v>
                </c:pt>
                <c:pt idx="13">
                  <c:v>1.6433047106697012E-2</c:v>
                </c:pt>
                <c:pt idx="14">
                  <c:v>1.6648358387334458E-2</c:v>
                </c:pt>
                <c:pt idx="15">
                  <c:v>1.6668426157144537E-2</c:v>
                </c:pt>
                <c:pt idx="16">
                  <c:v>1.6697341245352746E-2</c:v>
                </c:pt>
                <c:pt idx="17">
                  <c:v>1.6739356070896778E-2</c:v>
                </c:pt>
                <c:pt idx="18">
                  <c:v>1.6567177287688618E-2</c:v>
                </c:pt>
                <c:pt idx="19">
                  <c:v>1.6469094952646816E-2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'Chg_T_pos_den '!$A$22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'!$B$22:$U$22</c:f>
              <c:numCache>
                <c:formatCode>General</c:formatCode>
                <c:ptCount val="20"/>
                <c:pt idx="0">
                  <c:v>1.1627562022357166E-2</c:v>
                </c:pt>
                <c:pt idx="1">
                  <c:v>1.2838465689834971E-2</c:v>
                </c:pt>
                <c:pt idx="2">
                  <c:v>1.3458300702978768E-2</c:v>
                </c:pt>
                <c:pt idx="3">
                  <c:v>1.3409655911759185E-2</c:v>
                </c:pt>
                <c:pt idx="4">
                  <c:v>1.3389467103922701E-2</c:v>
                </c:pt>
                <c:pt idx="5">
                  <c:v>1.357049972260186E-2</c:v>
                </c:pt>
                <c:pt idx="6">
                  <c:v>1.3935296438434776E-2</c:v>
                </c:pt>
                <c:pt idx="7">
                  <c:v>1.4039321903544778E-2</c:v>
                </c:pt>
                <c:pt idx="8">
                  <c:v>1.4208024442825722E-2</c:v>
                </c:pt>
                <c:pt idx="9">
                  <c:v>1.4189389925032792E-2</c:v>
                </c:pt>
                <c:pt idx="10">
                  <c:v>1.4412604712851419E-2</c:v>
                </c:pt>
                <c:pt idx="11">
                  <c:v>1.4302328917505613E-2</c:v>
                </c:pt>
                <c:pt idx="12">
                  <c:v>1.4214715511212376E-2</c:v>
                </c:pt>
                <c:pt idx="13">
                  <c:v>1.4411483800612093E-2</c:v>
                </c:pt>
                <c:pt idx="14">
                  <c:v>1.4459027148903139E-2</c:v>
                </c:pt>
                <c:pt idx="15">
                  <c:v>1.4613600204278054E-2</c:v>
                </c:pt>
                <c:pt idx="16">
                  <c:v>1.483026344468566E-2</c:v>
                </c:pt>
                <c:pt idx="17">
                  <c:v>1.5074304285931237E-2</c:v>
                </c:pt>
                <c:pt idx="18">
                  <c:v>1.5128120827892026E-2</c:v>
                </c:pt>
                <c:pt idx="19">
                  <c:v>1.4878261483509177E-2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'Chg_T_pos_den '!$A$23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'!$B$23:$U$23</c:f>
              <c:numCache>
                <c:formatCode>General</c:formatCode>
                <c:ptCount val="20"/>
                <c:pt idx="0">
                  <c:v>1.202365478049283E-2</c:v>
                </c:pt>
                <c:pt idx="1">
                  <c:v>1.3485509353494232E-2</c:v>
                </c:pt>
                <c:pt idx="2">
                  <c:v>1.4469427307008726E-2</c:v>
                </c:pt>
                <c:pt idx="3">
                  <c:v>1.4745480786809245E-2</c:v>
                </c:pt>
                <c:pt idx="4">
                  <c:v>1.4961552705258728E-2</c:v>
                </c:pt>
                <c:pt idx="5">
                  <c:v>1.5324827937422141E-2</c:v>
                </c:pt>
                <c:pt idx="6">
                  <c:v>1.5519469409688558E-2</c:v>
                </c:pt>
                <c:pt idx="7">
                  <c:v>1.5827729214957967E-2</c:v>
                </c:pt>
                <c:pt idx="8">
                  <c:v>1.6006487541593385E-2</c:v>
                </c:pt>
                <c:pt idx="9">
                  <c:v>1.5729363740028163E-2</c:v>
                </c:pt>
                <c:pt idx="10">
                  <c:v>1.5616854295152329E-2</c:v>
                </c:pt>
                <c:pt idx="11">
                  <c:v>1.5849193331984462E-2</c:v>
                </c:pt>
                <c:pt idx="12">
                  <c:v>1.5998951071011701E-2</c:v>
                </c:pt>
                <c:pt idx="13">
                  <c:v>1.6393645709926366E-2</c:v>
                </c:pt>
                <c:pt idx="14">
                  <c:v>1.6698274274348019E-2</c:v>
                </c:pt>
                <c:pt idx="15">
                  <c:v>1.6784807174412105E-2</c:v>
                </c:pt>
                <c:pt idx="16">
                  <c:v>1.6593855671417544E-2</c:v>
                </c:pt>
                <c:pt idx="17">
                  <c:v>1.6491793044023897E-2</c:v>
                </c:pt>
                <c:pt idx="18">
                  <c:v>1.6561222792892044E-2</c:v>
                </c:pt>
                <c:pt idx="19">
                  <c:v>1.6273486454933168E-2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'Chg_T_pos_den '!$A$24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'!$B$24:$U$24</c:f>
              <c:numCache>
                <c:formatCode>General</c:formatCode>
                <c:ptCount val="20"/>
                <c:pt idx="0">
                  <c:v>1.1836031159348887E-2</c:v>
                </c:pt>
                <c:pt idx="1">
                  <c:v>1.2934078593676665E-2</c:v>
                </c:pt>
                <c:pt idx="2">
                  <c:v>1.3778574243136582E-2</c:v>
                </c:pt>
                <c:pt idx="3">
                  <c:v>1.4118106690828441E-2</c:v>
                </c:pt>
                <c:pt idx="4">
                  <c:v>1.4248489444401883E-2</c:v>
                </c:pt>
                <c:pt idx="5">
                  <c:v>1.4500733672907815E-2</c:v>
                </c:pt>
                <c:pt idx="6">
                  <c:v>1.4418053648571716E-2</c:v>
                </c:pt>
                <c:pt idx="7">
                  <c:v>1.4730246767394496E-2</c:v>
                </c:pt>
                <c:pt idx="8">
                  <c:v>1.4796630932637852E-2</c:v>
                </c:pt>
                <c:pt idx="9">
                  <c:v>1.4656404759985701E-2</c:v>
                </c:pt>
                <c:pt idx="10">
                  <c:v>1.4723703256894864E-2</c:v>
                </c:pt>
                <c:pt idx="11">
                  <c:v>1.4832168519047544E-2</c:v>
                </c:pt>
                <c:pt idx="12">
                  <c:v>1.4844881254323263E-2</c:v>
                </c:pt>
                <c:pt idx="13">
                  <c:v>1.4838021141499687E-2</c:v>
                </c:pt>
                <c:pt idx="14">
                  <c:v>1.4925357589887157E-2</c:v>
                </c:pt>
                <c:pt idx="15">
                  <c:v>1.530894963499432E-2</c:v>
                </c:pt>
                <c:pt idx="16">
                  <c:v>1.5259172289882881E-2</c:v>
                </c:pt>
                <c:pt idx="17">
                  <c:v>1.5339193649828541E-2</c:v>
                </c:pt>
                <c:pt idx="18">
                  <c:v>1.5125232840263658E-2</c:v>
                </c:pt>
                <c:pt idx="19">
                  <c:v>1.502681739563671E-2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'Chg_T_pos_den '!$A$25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'!$B$25:$U$25</c:f>
              <c:numCache>
                <c:formatCode>General</c:formatCode>
                <c:ptCount val="20"/>
                <c:pt idx="0">
                  <c:v>1.1956198021472049E-2</c:v>
                </c:pt>
                <c:pt idx="1">
                  <c:v>1.3421217726864365E-2</c:v>
                </c:pt>
                <c:pt idx="2">
                  <c:v>1.4417944957259343E-2</c:v>
                </c:pt>
                <c:pt idx="3">
                  <c:v>1.4870419750251948E-2</c:v>
                </c:pt>
                <c:pt idx="4">
                  <c:v>1.4967555967677839E-2</c:v>
                </c:pt>
                <c:pt idx="5">
                  <c:v>1.5179246599508161E-2</c:v>
                </c:pt>
                <c:pt idx="6">
                  <c:v>1.5223887799271469E-2</c:v>
                </c:pt>
                <c:pt idx="7">
                  <c:v>1.5454467846896648E-2</c:v>
                </c:pt>
                <c:pt idx="8">
                  <c:v>1.5783847451928328E-2</c:v>
                </c:pt>
                <c:pt idx="9">
                  <c:v>1.5855043343644157E-2</c:v>
                </c:pt>
                <c:pt idx="10">
                  <c:v>1.6027840438445226E-2</c:v>
                </c:pt>
                <c:pt idx="11">
                  <c:v>1.6192629151827086E-2</c:v>
                </c:pt>
                <c:pt idx="12">
                  <c:v>1.6434425778455591E-2</c:v>
                </c:pt>
                <c:pt idx="13">
                  <c:v>1.6770287706465919E-2</c:v>
                </c:pt>
                <c:pt idx="14">
                  <c:v>1.6466801139938564E-2</c:v>
                </c:pt>
                <c:pt idx="15">
                  <c:v>1.6279886374962624E-2</c:v>
                </c:pt>
                <c:pt idx="16">
                  <c:v>1.6307246519728036E-2</c:v>
                </c:pt>
                <c:pt idx="17">
                  <c:v>1.6096815345950862E-2</c:v>
                </c:pt>
                <c:pt idx="18">
                  <c:v>1.5943558270650998E-2</c:v>
                </c:pt>
                <c:pt idx="19">
                  <c:v>1.5744141774449463E-2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'Chg_T_pos_den '!$A$26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'!$B$26:$U$26</c:f>
              <c:numCache>
                <c:formatCode>General</c:formatCode>
                <c:ptCount val="20"/>
                <c:pt idx="0">
                  <c:v>1.1611456309516781E-2</c:v>
                </c:pt>
                <c:pt idx="1">
                  <c:v>1.4403169595953693E-2</c:v>
                </c:pt>
                <c:pt idx="2">
                  <c:v>1.6657934126075729E-2</c:v>
                </c:pt>
                <c:pt idx="3">
                  <c:v>1.7670128541190221E-2</c:v>
                </c:pt>
                <c:pt idx="4">
                  <c:v>1.8346429922780388E-2</c:v>
                </c:pt>
                <c:pt idx="5">
                  <c:v>1.8683476492873125E-2</c:v>
                </c:pt>
                <c:pt idx="6">
                  <c:v>1.9034435742477287E-2</c:v>
                </c:pt>
                <c:pt idx="7">
                  <c:v>1.9249432419435709E-2</c:v>
                </c:pt>
                <c:pt idx="8">
                  <c:v>1.9495171016695817E-2</c:v>
                </c:pt>
                <c:pt idx="9">
                  <c:v>1.9792201352733924E-2</c:v>
                </c:pt>
                <c:pt idx="10">
                  <c:v>2.0196297149145757E-2</c:v>
                </c:pt>
                <c:pt idx="11">
                  <c:v>2.0145733999085591E-2</c:v>
                </c:pt>
                <c:pt idx="12">
                  <c:v>2.0062734403196662E-2</c:v>
                </c:pt>
                <c:pt idx="13">
                  <c:v>2.0147566007155726E-2</c:v>
                </c:pt>
                <c:pt idx="14">
                  <c:v>2.0258521363996335E-2</c:v>
                </c:pt>
                <c:pt idx="15">
                  <c:v>2.0236957377536415E-2</c:v>
                </c:pt>
                <c:pt idx="16">
                  <c:v>2.0310433887637046E-2</c:v>
                </c:pt>
                <c:pt idx="17">
                  <c:v>2.0577194287412018E-2</c:v>
                </c:pt>
                <c:pt idx="18">
                  <c:v>2.0324842400641373E-2</c:v>
                </c:pt>
                <c:pt idx="19">
                  <c:v>2.0379543654209804E-2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'Chg_T_pos_den '!$A$27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'!$B$27:$U$27</c:f>
              <c:numCache>
                <c:formatCode>General</c:formatCode>
                <c:ptCount val="20"/>
                <c:pt idx="0">
                  <c:v>1.1752572849512134E-2</c:v>
                </c:pt>
                <c:pt idx="1">
                  <c:v>1.296720482450639E-2</c:v>
                </c:pt>
                <c:pt idx="2">
                  <c:v>1.3568802609677619E-2</c:v>
                </c:pt>
                <c:pt idx="3">
                  <c:v>1.362528923370083E-2</c:v>
                </c:pt>
                <c:pt idx="4">
                  <c:v>1.3730710182925239E-2</c:v>
                </c:pt>
                <c:pt idx="5">
                  <c:v>1.3959448620075582E-2</c:v>
                </c:pt>
                <c:pt idx="6">
                  <c:v>1.4187183078435172E-2</c:v>
                </c:pt>
                <c:pt idx="7">
                  <c:v>1.4257894321080086E-2</c:v>
                </c:pt>
                <c:pt idx="8">
                  <c:v>1.4117700838213591E-2</c:v>
                </c:pt>
                <c:pt idx="9">
                  <c:v>1.413190180897139E-2</c:v>
                </c:pt>
                <c:pt idx="10">
                  <c:v>1.4565510355082719E-2</c:v>
                </c:pt>
                <c:pt idx="11">
                  <c:v>1.4493857455332293E-2</c:v>
                </c:pt>
                <c:pt idx="12">
                  <c:v>1.4549927214896965E-2</c:v>
                </c:pt>
                <c:pt idx="13">
                  <c:v>1.4639668774026636E-2</c:v>
                </c:pt>
                <c:pt idx="14">
                  <c:v>1.4616621155440398E-2</c:v>
                </c:pt>
                <c:pt idx="15">
                  <c:v>1.4611287807788687E-2</c:v>
                </c:pt>
                <c:pt idx="16">
                  <c:v>1.4667190000573569E-2</c:v>
                </c:pt>
                <c:pt idx="17">
                  <c:v>1.4672269666501576E-2</c:v>
                </c:pt>
                <c:pt idx="18">
                  <c:v>1.4663854195361958E-2</c:v>
                </c:pt>
                <c:pt idx="19">
                  <c:v>1.4412097669426636E-2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'Chg_T_pos_den '!$A$28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'!$B$28:$U$28</c:f>
              <c:numCache>
                <c:formatCode>General</c:formatCode>
                <c:ptCount val="20"/>
                <c:pt idx="0">
                  <c:v>1.1727020955971191E-2</c:v>
                </c:pt>
                <c:pt idx="1">
                  <c:v>1.2997896655959211E-2</c:v>
                </c:pt>
                <c:pt idx="2">
                  <c:v>1.3863583097368671E-2</c:v>
                </c:pt>
                <c:pt idx="3">
                  <c:v>1.4265532913789488E-2</c:v>
                </c:pt>
                <c:pt idx="4">
                  <c:v>1.4588910001478682E-2</c:v>
                </c:pt>
                <c:pt idx="5">
                  <c:v>1.4809092224045681E-2</c:v>
                </c:pt>
                <c:pt idx="6">
                  <c:v>1.5008470382059666E-2</c:v>
                </c:pt>
                <c:pt idx="7">
                  <c:v>1.4975176496954786E-2</c:v>
                </c:pt>
                <c:pt idx="8">
                  <c:v>1.5089727480489685E-2</c:v>
                </c:pt>
                <c:pt idx="9">
                  <c:v>1.5231999852870012E-2</c:v>
                </c:pt>
                <c:pt idx="10">
                  <c:v>1.5440558757134433E-2</c:v>
                </c:pt>
                <c:pt idx="11">
                  <c:v>1.5655312683508078E-2</c:v>
                </c:pt>
                <c:pt idx="12">
                  <c:v>1.5887961215235082E-2</c:v>
                </c:pt>
                <c:pt idx="13">
                  <c:v>1.6009323437922638E-2</c:v>
                </c:pt>
                <c:pt idx="14">
                  <c:v>1.5956986321251043E-2</c:v>
                </c:pt>
                <c:pt idx="15">
                  <c:v>1.5973854355093735E-2</c:v>
                </c:pt>
                <c:pt idx="16">
                  <c:v>1.6117641823589181E-2</c:v>
                </c:pt>
                <c:pt idx="17">
                  <c:v>1.6012493065849016E-2</c:v>
                </c:pt>
                <c:pt idx="18">
                  <c:v>1.5879680748054233E-2</c:v>
                </c:pt>
                <c:pt idx="19">
                  <c:v>1.6144284294277337E-2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'Chg_T_pos_den '!$A$29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'!$B$29:$U$29</c:f>
              <c:numCache>
                <c:formatCode>General</c:formatCode>
                <c:ptCount val="20"/>
                <c:pt idx="0">
                  <c:v>1.1694440299126167E-2</c:v>
                </c:pt>
                <c:pt idx="1">
                  <c:v>1.2834057918142974E-2</c:v>
                </c:pt>
                <c:pt idx="2">
                  <c:v>1.3509925302038038E-2</c:v>
                </c:pt>
                <c:pt idx="3">
                  <c:v>1.3654984324226455E-2</c:v>
                </c:pt>
                <c:pt idx="4">
                  <c:v>1.3982128210298601E-2</c:v>
                </c:pt>
                <c:pt idx="5">
                  <c:v>1.4090024116020306E-2</c:v>
                </c:pt>
                <c:pt idx="6">
                  <c:v>1.4133867994947926E-2</c:v>
                </c:pt>
                <c:pt idx="7">
                  <c:v>1.409690002776884E-2</c:v>
                </c:pt>
                <c:pt idx="8">
                  <c:v>1.421878595214153E-2</c:v>
                </c:pt>
                <c:pt idx="9">
                  <c:v>1.4284208397145087E-2</c:v>
                </c:pt>
                <c:pt idx="10">
                  <c:v>1.451885908532022E-2</c:v>
                </c:pt>
                <c:pt idx="11">
                  <c:v>1.4827641744396861E-2</c:v>
                </c:pt>
                <c:pt idx="12">
                  <c:v>1.4831281939436789E-2</c:v>
                </c:pt>
                <c:pt idx="13">
                  <c:v>1.4686148112484174E-2</c:v>
                </c:pt>
                <c:pt idx="14">
                  <c:v>1.4772812076731198E-2</c:v>
                </c:pt>
                <c:pt idx="15">
                  <c:v>1.4832228702661838E-2</c:v>
                </c:pt>
                <c:pt idx="16">
                  <c:v>1.4763756275170058E-2</c:v>
                </c:pt>
                <c:pt idx="17">
                  <c:v>1.4455000352353505E-2</c:v>
                </c:pt>
                <c:pt idx="18">
                  <c:v>1.4323699504333359E-2</c:v>
                </c:pt>
                <c:pt idx="19">
                  <c:v>1.3947014805920005E-2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'Chg_T_pos_den '!$A$30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'!$B$30:$U$30</c:f>
              <c:numCache>
                <c:formatCode>General</c:formatCode>
                <c:ptCount val="20"/>
                <c:pt idx="0">
                  <c:v>1.0357630064779208E-2</c:v>
                </c:pt>
                <c:pt idx="1">
                  <c:v>1.1268151283113955E-2</c:v>
                </c:pt>
                <c:pt idx="2">
                  <c:v>1.1698959078592254E-2</c:v>
                </c:pt>
                <c:pt idx="3">
                  <c:v>1.1725213165778535E-2</c:v>
                </c:pt>
                <c:pt idx="4">
                  <c:v>1.1920689159634611E-2</c:v>
                </c:pt>
                <c:pt idx="5">
                  <c:v>1.1881331135547258E-2</c:v>
                </c:pt>
                <c:pt idx="6">
                  <c:v>1.2135198554657415E-2</c:v>
                </c:pt>
                <c:pt idx="7">
                  <c:v>1.250553128048152E-2</c:v>
                </c:pt>
                <c:pt idx="8">
                  <c:v>1.2369287377612828E-2</c:v>
                </c:pt>
                <c:pt idx="9">
                  <c:v>1.2629775407309316E-2</c:v>
                </c:pt>
                <c:pt idx="10">
                  <c:v>1.2603052212876609E-2</c:v>
                </c:pt>
                <c:pt idx="11">
                  <c:v>1.2309782604503895E-2</c:v>
                </c:pt>
                <c:pt idx="12">
                  <c:v>1.2596762929909249E-2</c:v>
                </c:pt>
                <c:pt idx="13">
                  <c:v>1.2539906409208476E-2</c:v>
                </c:pt>
                <c:pt idx="14">
                  <c:v>1.2125261279084769E-2</c:v>
                </c:pt>
                <c:pt idx="15">
                  <c:v>1.1869736076316563E-2</c:v>
                </c:pt>
                <c:pt idx="16">
                  <c:v>1.20960807792587E-2</c:v>
                </c:pt>
                <c:pt idx="17">
                  <c:v>1.2142623740997024E-2</c:v>
                </c:pt>
                <c:pt idx="18">
                  <c:v>1.2094478838277828E-2</c:v>
                </c:pt>
                <c:pt idx="19">
                  <c:v>1.2252346876186581E-2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'Chg_T_pos_den '!$A$31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'!$B$31:$U$31</c:f>
              <c:numCache>
                <c:formatCode>General</c:formatCode>
                <c:ptCount val="20"/>
                <c:pt idx="0">
                  <c:v>1.1601579879647172E-2</c:v>
                </c:pt>
                <c:pt idx="1">
                  <c:v>1.3277987650086946E-2</c:v>
                </c:pt>
                <c:pt idx="2">
                  <c:v>1.5075967914986485E-2</c:v>
                </c:pt>
                <c:pt idx="3">
                  <c:v>1.6174273075316322E-2</c:v>
                </c:pt>
                <c:pt idx="4">
                  <c:v>1.7301494162364994E-2</c:v>
                </c:pt>
                <c:pt idx="5">
                  <c:v>1.7728598337039884E-2</c:v>
                </c:pt>
                <c:pt idx="6">
                  <c:v>1.8004072529704453E-2</c:v>
                </c:pt>
                <c:pt idx="7">
                  <c:v>1.8606900347312803E-2</c:v>
                </c:pt>
                <c:pt idx="8">
                  <c:v>1.8827994278138634E-2</c:v>
                </c:pt>
                <c:pt idx="9">
                  <c:v>1.9020446411837678E-2</c:v>
                </c:pt>
                <c:pt idx="10">
                  <c:v>1.921067734269458E-2</c:v>
                </c:pt>
                <c:pt idx="11">
                  <c:v>1.9577570144066931E-2</c:v>
                </c:pt>
                <c:pt idx="12">
                  <c:v>1.9708674108300149E-2</c:v>
                </c:pt>
                <c:pt idx="13">
                  <c:v>1.9870694678777241E-2</c:v>
                </c:pt>
                <c:pt idx="14">
                  <c:v>1.9728902964631298E-2</c:v>
                </c:pt>
                <c:pt idx="15">
                  <c:v>1.968203349888004E-2</c:v>
                </c:pt>
                <c:pt idx="16">
                  <c:v>2.0103084874300705E-2</c:v>
                </c:pt>
                <c:pt idx="17">
                  <c:v>1.966208185775687E-2</c:v>
                </c:pt>
                <c:pt idx="18">
                  <c:v>1.9653558970901638E-2</c:v>
                </c:pt>
                <c:pt idx="19">
                  <c:v>1.9330177027583367E-2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'Chg_T_pos_den '!$A$32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'!$B$32:$U$32</c:f>
              <c:numCache>
                <c:formatCode>General</c:formatCode>
                <c:ptCount val="20"/>
                <c:pt idx="0">
                  <c:v>1.1573753406467852E-2</c:v>
                </c:pt>
                <c:pt idx="1">
                  <c:v>1.4197003644259637E-2</c:v>
                </c:pt>
                <c:pt idx="2">
                  <c:v>1.654779815627419E-2</c:v>
                </c:pt>
                <c:pt idx="3">
                  <c:v>1.8177479188637009E-2</c:v>
                </c:pt>
                <c:pt idx="4">
                  <c:v>1.9319946900053484E-2</c:v>
                </c:pt>
                <c:pt idx="5">
                  <c:v>2.0022371791361508E-2</c:v>
                </c:pt>
                <c:pt idx="6">
                  <c:v>2.0471949006804813E-2</c:v>
                </c:pt>
                <c:pt idx="7">
                  <c:v>2.0789617650831212E-2</c:v>
                </c:pt>
                <c:pt idx="8">
                  <c:v>2.1127253969991558E-2</c:v>
                </c:pt>
                <c:pt idx="9">
                  <c:v>2.1615078416647355E-2</c:v>
                </c:pt>
                <c:pt idx="10">
                  <c:v>2.187888964026408E-2</c:v>
                </c:pt>
                <c:pt idx="11">
                  <c:v>2.208679013404713E-2</c:v>
                </c:pt>
                <c:pt idx="12">
                  <c:v>2.1997331372313092E-2</c:v>
                </c:pt>
                <c:pt idx="13">
                  <c:v>2.193497708294492E-2</c:v>
                </c:pt>
                <c:pt idx="14">
                  <c:v>2.1797484184198912E-2</c:v>
                </c:pt>
                <c:pt idx="15">
                  <c:v>2.2224643301605226E-2</c:v>
                </c:pt>
                <c:pt idx="16">
                  <c:v>2.2348602747005428E-2</c:v>
                </c:pt>
                <c:pt idx="17">
                  <c:v>2.2518966908618428E-2</c:v>
                </c:pt>
                <c:pt idx="18">
                  <c:v>2.2321594172199317E-2</c:v>
                </c:pt>
                <c:pt idx="19">
                  <c:v>2.2383217447815174E-2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'Chg_T_pos_den '!$A$33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'!$B$33:$U$33</c:f>
              <c:numCache>
                <c:formatCode>General</c:formatCode>
                <c:ptCount val="20"/>
                <c:pt idx="0">
                  <c:v>1.2173480185188008E-2</c:v>
                </c:pt>
                <c:pt idx="1">
                  <c:v>1.5084212961843422E-2</c:v>
                </c:pt>
                <c:pt idx="2">
                  <c:v>1.8344478919135355E-2</c:v>
                </c:pt>
                <c:pt idx="3">
                  <c:v>1.9718086416097593E-2</c:v>
                </c:pt>
                <c:pt idx="4">
                  <c:v>2.0804856969547317E-2</c:v>
                </c:pt>
                <c:pt idx="5">
                  <c:v>2.1764262109792921E-2</c:v>
                </c:pt>
                <c:pt idx="6">
                  <c:v>2.2728416532183635E-2</c:v>
                </c:pt>
                <c:pt idx="7">
                  <c:v>2.3074778270455152E-2</c:v>
                </c:pt>
                <c:pt idx="8">
                  <c:v>2.3194309902057182E-2</c:v>
                </c:pt>
                <c:pt idx="9">
                  <c:v>2.3279488149860354E-2</c:v>
                </c:pt>
                <c:pt idx="10">
                  <c:v>2.3211622602919445E-2</c:v>
                </c:pt>
                <c:pt idx="11">
                  <c:v>2.3727189948347979E-2</c:v>
                </c:pt>
                <c:pt idx="12">
                  <c:v>2.3853841164572436E-2</c:v>
                </c:pt>
                <c:pt idx="13">
                  <c:v>2.3949404950733982E-2</c:v>
                </c:pt>
                <c:pt idx="14">
                  <c:v>2.3968689062487662E-2</c:v>
                </c:pt>
                <c:pt idx="15">
                  <c:v>2.392577255955437E-2</c:v>
                </c:pt>
                <c:pt idx="16">
                  <c:v>2.3681516117427338E-2</c:v>
                </c:pt>
                <c:pt idx="17">
                  <c:v>2.3465162560678991E-2</c:v>
                </c:pt>
                <c:pt idx="18">
                  <c:v>2.3622381611112655E-2</c:v>
                </c:pt>
                <c:pt idx="19">
                  <c:v>2.3604738902851304E-2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'Chg_T_pos_den '!$A$34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'!$B$34:$U$34</c:f>
              <c:numCache>
                <c:formatCode>General</c:formatCode>
                <c:ptCount val="20"/>
                <c:pt idx="0">
                  <c:v>1.2229327209446519E-2</c:v>
                </c:pt>
                <c:pt idx="1">
                  <c:v>1.5045467501013331E-2</c:v>
                </c:pt>
                <c:pt idx="2">
                  <c:v>1.7777299368595328E-2</c:v>
                </c:pt>
                <c:pt idx="3">
                  <c:v>1.98318643972136E-2</c:v>
                </c:pt>
                <c:pt idx="4">
                  <c:v>2.0905347036563091E-2</c:v>
                </c:pt>
                <c:pt idx="5">
                  <c:v>2.162087232818927E-2</c:v>
                </c:pt>
                <c:pt idx="6">
                  <c:v>2.2330165982283687E-2</c:v>
                </c:pt>
                <c:pt idx="7">
                  <c:v>2.3071431414502276E-2</c:v>
                </c:pt>
                <c:pt idx="8">
                  <c:v>2.3436196158933449E-2</c:v>
                </c:pt>
                <c:pt idx="9">
                  <c:v>2.3539428112440142E-2</c:v>
                </c:pt>
                <c:pt idx="10">
                  <c:v>2.342221099480581E-2</c:v>
                </c:pt>
                <c:pt idx="11">
                  <c:v>2.3401331971108694E-2</c:v>
                </c:pt>
                <c:pt idx="12">
                  <c:v>2.3489845771854277E-2</c:v>
                </c:pt>
                <c:pt idx="13">
                  <c:v>2.3553993212497584E-2</c:v>
                </c:pt>
                <c:pt idx="14">
                  <c:v>2.3462229577964299E-2</c:v>
                </c:pt>
                <c:pt idx="15">
                  <c:v>2.3425097542971632E-2</c:v>
                </c:pt>
                <c:pt idx="16">
                  <c:v>2.3705684143131601E-2</c:v>
                </c:pt>
                <c:pt idx="17">
                  <c:v>2.3498344126824052E-2</c:v>
                </c:pt>
                <c:pt idx="18">
                  <c:v>2.3958031781907689E-2</c:v>
                </c:pt>
                <c:pt idx="19">
                  <c:v>2.3805928860115903E-2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'Chg_T_pos_den '!$A$35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'!$B$35:$U$35</c:f>
              <c:numCache>
                <c:formatCode>General</c:formatCode>
                <c:ptCount val="20"/>
                <c:pt idx="0">
                  <c:v>7.8916891714371183E-3</c:v>
                </c:pt>
                <c:pt idx="1">
                  <c:v>8.549667634950903E-3</c:v>
                </c:pt>
                <c:pt idx="2">
                  <c:v>9.0842521561573294E-3</c:v>
                </c:pt>
                <c:pt idx="3">
                  <c:v>9.2188813729137814E-3</c:v>
                </c:pt>
                <c:pt idx="4">
                  <c:v>9.3155943216664382E-3</c:v>
                </c:pt>
                <c:pt idx="5">
                  <c:v>9.2868706227339504E-3</c:v>
                </c:pt>
                <c:pt idx="6">
                  <c:v>9.3625847762515025E-3</c:v>
                </c:pt>
                <c:pt idx="7">
                  <c:v>9.3046174753991066E-3</c:v>
                </c:pt>
                <c:pt idx="8">
                  <c:v>9.258415117676921E-3</c:v>
                </c:pt>
                <c:pt idx="9">
                  <c:v>9.1379151139984755E-3</c:v>
                </c:pt>
                <c:pt idx="10">
                  <c:v>9.0726857810503794E-3</c:v>
                </c:pt>
                <c:pt idx="11">
                  <c:v>8.9679681767748168E-3</c:v>
                </c:pt>
                <c:pt idx="12">
                  <c:v>8.9034183400029145E-3</c:v>
                </c:pt>
                <c:pt idx="13">
                  <c:v>8.9213387085973345E-3</c:v>
                </c:pt>
                <c:pt idx="14">
                  <c:v>8.8362868864037408E-3</c:v>
                </c:pt>
                <c:pt idx="15">
                  <c:v>8.8678958641018879E-3</c:v>
                </c:pt>
                <c:pt idx="16">
                  <c:v>9.030221152526061E-3</c:v>
                </c:pt>
                <c:pt idx="17">
                  <c:v>9.2840593463512783E-3</c:v>
                </c:pt>
                <c:pt idx="18">
                  <c:v>9.2004663891263553E-3</c:v>
                </c:pt>
                <c:pt idx="19">
                  <c:v>8.7841997497268166E-3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'Chg_T_pos_den '!$A$36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'!$B$36:$U$36</c:f>
              <c:numCache>
                <c:formatCode>General</c:formatCode>
                <c:ptCount val="20"/>
                <c:pt idx="0">
                  <c:v>8.0076589632854505E-3</c:v>
                </c:pt>
                <c:pt idx="1">
                  <c:v>8.8295754544691976E-3</c:v>
                </c:pt>
                <c:pt idx="2">
                  <c:v>9.7597925537767794E-3</c:v>
                </c:pt>
                <c:pt idx="3">
                  <c:v>1.0231417102350577E-2</c:v>
                </c:pt>
                <c:pt idx="4">
                  <c:v>1.0635335323291873E-2</c:v>
                </c:pt>
                <c:pt idx="5">
                  <c:v>1.0840372006226307E-2</c:v>
                </c:pt>
                <c:pt idx="6">
                  <c:v>1.1006432897201395E-2</c:v>
                </c:pt>
                <c:pt idx="7">
                  <c:v>1.1129443117880134E-2</c:v>
                </c:pt>
                <c:pt idx="8">
                  <c:v>1.1214179902120808E-2</c:v>
                </c:pt>
                <c:pt idx="9">
                  <c:v>1.1442597139766227E-2</c:v>
                </c:pt>
                <c:pt idx="10">
                  <c:v>1.1471028246296146E-2</c:v>
                </c:pt>
                <c:pt idx="11">
                  <c:v>1.1474669491942464E-2</c:v>
                </c:pt>
                <c:pt idx="12">
                  <c:v>1.1645467291571076E-2</c:v>
                </c:pt>
                <c:pt idx="13">
                  <c:v>1.1568740778132925E-2</c:v>
                </c:pt>
                <c:pt idx="14">
                  <c:v>1.1604773595701211E-2</c:v>
                </c:pt>
                <c:pt idx="15">
                  <c:v>1.1652990432538307E-2</c:v>
                </c:pt>
                <c:pt idx="16">
                  <c:v>1.2291779853402568E-2</c:v>
                </c:pt>
                <c:pt idx="17">
                  <c:v>1.2373499851808176E-2</c:v>
                </c:pt>
                <c:pt idx="18">
                  <c:v>1.1781311932196557E-2</c:v>
                </c:pt>
                <c:pt idx="19">
                  <c:v>1.1666483492204132E-2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'Chg_T_pos_den '!$A$37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'Chg_T_pos_den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'Chg_T_pos_den '!$B$37:$U$37</c:f>
              <c:numCache>
                <c:formatCode>General</c:formatCode>
                <c:ptCount val="20"/>
                <c:pt idx="0">
                  <c:v>8.1091922339058438E-3</c:v>
                </c:pt>
                <c:pt idx="1">
                  <c:v>8.815439972442031E-3</c:v>
                </c:pt>
                <c:pt idx="2">
                  <c:v>9.7332853408286825E-3</c:v>
                </c:pt>
                <c:pt idx="3">
                  <c:v>1.0189430547501771E-2</c:v>
                </c:pt>
                <c:pt idx="4">
                  <c:v>1.0561058990139293E-2</c:v>
                </c:pt>
                <c:pt idx="5">
                  <c:v>1.0830762415831157E-2</c:v>
                </c:pt>
                <c:pt idx="6">
                  <c:v>1.088363060777753E-2</c:v>
                </c:pt>
                <c:pt idx="7">
                  <c:v>1.0961975396053616E-2</c:v>
                </c:pt>
                <c:pt idx="8">
                  <c:v>1.0909138032289541E-2</c:v>
                </c:pt>
                <c:pt idx="9">
                  <c:v>1.0705741091156597E-2</c:v>
                </c:pt>
                <c:pt idx="10">
                  <c:v>1.0725475673320519E-2</c:v>
                </c:pt>
                <c:pt idx="11">
                  <c:v>1.0505944226809904E-2</c:v>
                </c:pt>
                <c:pt idx="12">
                  <c:v>1.0449540477043408E-2</c:v>
                </c:pt>
                <c:pt idx="13">
                  <c:v>1.0363802160410624E-2</c:v>
                </c:pt>
                <c:pt idx="14">
                  <c:v>1.0332882148201704E-2</c:v>
                </c:pt>
                <c:pt idx="15">
                  <c:v>1.0151384770662653E-2</c:v>
                </c:pt>
                <c:pt idx="16">
                  <c:v>1.0175604653132414E-2</c:v>
                </c:pt>
                <c:pt idx="17">
                  <c:v>1.0298839619064968E-2</c:v>
                </c:pt>
                <c:pt idx="18">
                  <c:v>9.9046994957005443E-3</c:v>
                </c:pt>
                <c:pt idx="19">
                  <c:v>9.8145659823926784E-3</c:v>
                </c:pt>
              </c:numCache>
            </c:numRef>
          </c:yVal>
          <c:smooth val="1"/>
        </c:ser>
        <c:axId val="99176448"/>
        <c:axId val="99178368"/>
      </c:scatterChart>
      <c:valAx>
        <c:axId val="9917644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178368"/>
        <c:crosses val="autoZero"/>
        <c:crossBetween val="midCat"/>
      </c:valAx>
      <c:valAx>
        <c:axId val="99178368"/>
        <c:scaling>
          <c:orientation val="minMax"/>
        </c:scaling>
        <c:axPos val="l"/>
        <c:numFmt formatCode="General" sourceLinked="1"/>
        <c:tickLblPos val="nextTo"/>
        <c:crossAx val="99176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529842226970695"/>
          <c:y val="7.9861475648877231E-2"/>
          <c:w val="0.25463621879978759"/>
          <c:h val="0.86590167849130595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Chg_S_pos_den!$B$3:$U$3</c:f>
              <c:numCache>
                <c:formatCode>General</c:formatCode>
                <c:ptCount val="20"/>
                <c:pt idx="0">
                  <c:v>2.2292457620620831E-3</c:v>
                </c:pt>
                <c:pt idx="1">
                  <c:v>2.5576994449996904E-3</c:v>
                </c:pt>
                <c:pt idx="2">
                  <c:v>2.9705676659816578E-3</c:v>
                </c:pt>
                <c:pt idx="3">
                  <c:v>3.3861867719911106E-3</c:v>
                </c:pt>
                <c:pt idx="4">
                  <c:v>3.5038621373223869E-3</c:v>
                </c:pt>
                <c:pt idx="5">
                  <c:v>3.6523020656441629E-3</c:v>
                </c:pt>
                <c:pt idx="6">
                  <c:v>3.8610054427895726E-3</c:v>
                </c:pt>
                <c:pt idx="7">
                  <c:v>3.9914739649468131E-3</c:v>
                </c:pt>
                <c:pt idx="8">
                  <c:v>4.0402288789861199E-3</c:v>
                </c:pt>
                <c:pt idx="9">
                  <c:v>4.07706118508026E-3</c:v>
                </c:pt>
                <c:pt idx="10">
                  <c:v>3.9274976026376475E-3</c:v>
                </c:pt>
                <c:pt idx="11">
                  <c:v>3.9180747777737921E-3</c:v>
                </c:pt>
                <c:pt idx="12">
                  <c:v>4.020539950564176E-3</c:v>
                </c:pt>
                <c:pt idx="13">
                  <c:v>4.1424316444513502E-3</c:v>
                </c:pt>
                <c:pt idx="14">
                  <c:v>4.1246123765340797E-3</c:v>
                </c:pt>
                <c:pt idx="15">
                  <c:v>4.1005457231024839E-3</c:v>
                </c:pt>
                <c:pt idx="16">
                  <c:v>4.1259730881315296E-3</c:v>
                </c:pt>
                <c:pt idx="17">
                  <c:v>4.2919444470972071E-3</c:v>
                </c:pt>
                <c:pt idx="18">
                  <c:v>4.214997344492692E-3</c:v>
                </c:pt>
                <c:pt idx="19">
                  <c:v>4.2894894116003984E-3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Chg_S_pos_den!$B$21:$U$21</c:f>
              <c:numCache>
                <c:formatCode>General</c:formatCode>
                <c:ptCount val="20"/>
                <c:pt idx="0">
                  <c:v>2.1164558254305335E-3</c:v>
                </c:pt>
                <c:pt idx="1">
                  <c:v>2.5574221263293955E-3</c:v>
                </c:pt>
                <c:pt idx="2">
                  <c:v>3.0750103592740614E-3</c:v>
                </c:pt>
                <c:pt idx="3">
                  <c:v>3.3294860825230192E-3</c:v>
                </c:pt>
                <c:pt idx="4">
                  <c:v>3.5341176396275755E-3</c:v>
                </c:pt>
                <c:pt idx="5">
                  <c:v>3.7342254862179651E-3</c:v>
                </c:pt>
                <c:pt idx="6">
                  <c:v>3.8010404786082484E-3</c:v>
                </c:pt>
                <c:pt idx="7">
                  <c:v>3.9294274447705382E-3</c:v>
                </c:pt>
                <c:pt idx="8">
                  <c:v>3.9899250701601026E-3</c:v>
                </c:pt>
                <c:pt idx="9">
                  <c:v>4.0922722676802522E-3</c:v>
                </c:pt>
                <c:pt idx="10">
                  <c:v>4.1846117980393191E-3</c:v>
                </c:pt>
                <c:pt idx="11">
                  <c:v>4.2237995765653695E-3</c:v>
                </c:pt>
                <c:pt idx="12">
                  <c:v>4.2311358834023968E-3</c:v>
                </c:pt>
                <c:pt idx="13">
                  <c:v>4.3165741008090314E-3</c:v>
                </c:pt>
                <c:pt idx="14">
                  <c:v>4.3848657980647488E-3</c:v>
                </c:pt>
                <c:pt idx="15">
                  <c:v>4.4097893810899772E-3</c:v>
                </c:pt>
                <c:pt idx="16">
                  <c:v>4.4400741457813553E-3</c:v>
                </c:pt>
                <c:pt idx="17">
                  <c:v>4.445645016225303E-3</c:v>
                </c:pt>
                <c:pt idx="18">
                  <c:v>4.4977069015284584E-3</c:v>
                </c:pt>
                <c:pt idx="19">
                  <c:v>4.5728673831903583E-3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Chg_S_pos_den!$B$37:$U$37</c:f>
              <c:numCache>
                <c:formatCode>General</c:formatCode>
                <c:ptCount val="20"/>
                <c:pt idx="0">
                  <c:v>2.0098009093084471E-3</c:v>
                </c:pt>
                <c:pt idx="1">
                  <c:v>2.3133651510412871E-3</c:v>
                </c:pt>
                <c:pt idx="2">
                  <c:v>2.7814639050902962E-3</c:v>
                </c:pt>
                <c:pt idx="3">
                  <c:v>3.143153651384786E-3</c:v>
                </c:pt>
                <c:pt idx="4">
                  <c:v>3.4416673825899348E-3</c:v>
                </c:pt>
                <c:pt idx="5">
                  <c:v>3.6991391228261409E-3</c:v>
                </c:pt>
                <c:pt idx="6">
                  <c:v>3.8562616023290718E-3</c:v>
                </c:pt>
                <c:pt idx="7">
                  <c:v>3.9593047606987994E-3</c:v>
                </c:pt>
                <c:pt idx="8">
                  <c:v>4.0020018817270306E-3</c:v>
                </c:pt>
                <c:pt idx="9">
                  <c:v>4.0521425415100398E-3</c:v>
                </c:pt>
                <c:pt idx="10">
                  <c:v>4.0949099104967621E-3</c:v>
                </c:pt>
                <c:pt idx="11">
                  <c:v>4.0662402272138862E-3</c:v>
                </c:pt>
                <c:pt idx="12">
                  <c:v>4.0900900273996427E-3</c:v>
                </c:pt>
                <c:pt idx="13">
                  <c:v>4.0690211732870175E-3</c:v>
                </c:pt>
                <c:pt idx="14">
                  <c:v>4.1220550786638171E-3</c:v>
                </c:pt>
                <c:pt idx="15">
                  <c:v>4.0929739949008542E-3</c:v>
                </c:pt>
                <c:pt idx="16">
                  <c:v>4.0733558511736176E-3</c:v>
                </c:pt>
                <c:pt idx="17">
                  <c:v>4.1360873112521214E-3</c:v>
                </c:pt>
                <c:pt idx="18">
                  <c:v>4.2419073200672145E-3</c:v>
                </c:pt>
                <c:pt idx="19">
                  <c:v>4.2788515562292113E-3</c:v>
                </c:pt>
              </c:numCache>
            </c:numRef>
          </c:yVal>
          <c:smooth val="1"/>
        </c:ser>
        <c:axId val="98645888"/>
        <c:axId val="98660352"/>
      </c:scatterChart>
      <c:valAx>
        <c:axId val="9864588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660352"/>
        <c:crosses val="autoZero"/>
        <c:crossBetween val="midCat"/>
      </c:valAx>
      <c:valAx>
        <c:axId val="98660352"/>
        <c:scaling>
          <c:orientation val="minMax"/>
        </c:scaling>
        <c:axPos val="l"/>
        <c:numFmt formatCode="General" sourceLinked="1"/>
        <c:tickLblPos val="nextTo"/>
        <c:crossAx val="98645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750174978127723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1782440152055713E-2"/>
          <c:y val="3.5442999792623685E-2"/>
          <c:w val="0.62582226506265404"/>
          <c:h val="0.88458364492147978"/>
        </c:manualLayout>
      </c:layout>
      <c:scatterChart>
        <c:scatterStyle val="smoothMarker"/>
        <c:ser>
          <c:idx val="0"/>
          <c:order val="0"/>
          <c:tx>
            <c:strRef>
              <c:f>Chg_S_pos_den!$A$3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Chg_S_pos_den!$B$3:$U$3</c:f>
              <c:numCache>
                <c:formatCode>General</c:formatCode>
                <c:ptCount val="20"/>
                <c:pt idx="0">
                  <c:v>2.2292457620620831E-3</c:v>
                </c:pt>
                <c:pt idx="1">
                  <c:v>2.5576994449996904E-3</c:v>
                </c:pt>
                <c:pt idx="2">
                  <c:v>2.9705676659816578E-3</c:v>
                </c:pt>
                <c:pt idx="3">
                  <c:v>3.3861867719911106E-3</c:v>
                </c:pt>
                <c:pt idx="4">
                  <c:v>3.5038621373223869E-3</c:v>
                </c:pt>
                <c:pt idx="5">
                  <c:v>3.6523020656441629E-3</c:v>
                </c:pt>
                <c:pt idx="6">
                  <c:v>3.8610054427895726E-3</c:v>
                </c:pt>
                <c:pt idx="7">
                  <c:v>3.9914739649468131E-3</c:v>
                </c:pt>
                <c:pt idx="8">
                  <c:v>4.0402288789861199E-3</c:v>
                </c:pt>
                <c:pt idx="9">
                  <c:v>4.07706118508026E-3</c:v>
                </c:pt>
                <c:pt idx="10">
                  <c:v>3.9274976026376475E-3</c:v>
                </c:pt>
                <c:pt idx="11">
                  <c:v>3.9180747777737921E-3</c:v>
                </c:pt>
                <c:pt idx="12">
                  <c:v>4.020539950564176E-3</c:v>
                </c:pt>
                <c:pt idx="13">
                  <c:v>4.1424316444513502E-3</c:v>
                </c:pt>
                <c:pt idx="14">
                  <c:v>4.1246123765340797E-3</c:v>
                </c:pt>
                <c:pt idx="15">
                  <c:v>4.1005457231024839E-3</c:v>
                </c:pt>
                <c:pt idx="16">
                  <c:v>4.1259730881315296E-3</c:v>
                </c:pt>
                <c:pt idx="17">
                  <c:v>4.2919444470972071E-3</c:v>
                </c:pt>
                <c:pt idx="18">
                  <c:v>4.214997344492692E-3</c:v>
                </c:pt>
                <c:pt idx="19">
                  <c:v>4.2894894116003984E-3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Chg_S_pos_den!$A$4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Chg_S_pos_den!$B$4:$U$4</c:f>
              <c:numCache>
                <c:formatCode>General</c:formatCode>
                <c:ptCount val="20"/>
                <c:pt idx="0">
                  <c:v>1.9862361580125954E-3</c:v>
                </c:pt>
                <c:pt idx="1">
                  <c:v>2.3655060557095471E-3</c:v>
                </c:pt>
                <c:pt idx="2">
                  <c:v>2.8768614604775585E-3</c:v>
                </c:pt>
                <c:pt idx="3">
                  <c:v>3.2917769576801159E-3</c:v>
                </c:pt>
                <c:pt idx="4">
                  <c:v>3.4931877638232117E-3</c:v>
                </c:pt>
                <c:pt idx="5">
                  <c:v>3.64324231232113E-3</c:v>
                </c:pt>
                <c:pt idx="6">
                  <c:v>3.6460007116353456E-3</c:v>
                </c:pt>
                <c:pt idx="7">
                  <c:v>3.8117045005974771E-3</c:v>
                </c:pt>
                <c:pt idx="8">
                  <c:v>3.8567323533357884E-3</c:v>
                </c:pt>
                <c:pt idx="9">
                  <c:v>3.9317588611655534E-3</c:v>
                </c:pt>
                <c:pt idx="10">
                  <c:v>3.7474768808706239E-3</c:v>
                </c:pt>
                <c:pt idx="11">
                  <c:v>3.8528405704773843E-3</c:v>
                </c:pt>
                <c:pt idx="12">
                  <c:v>3.8248162883272622E-3</c:v>
                </c:pt>
                <c:pt idx="13">
                  <c:v>3.8579441898641395E-3</c:v>
                </c:pt>
                <c:pt idx="14">
                  <c:v>3.9139643009902317E-3</c:v>
                </c:pt>
                <c:pt idx="15">
                  <c:v>3.9285183693127754E-3</c:v>
                </c:pt>
                <c:pt idx="16">
                  <c:v>3.9840186144708186E-3</c:v>
                </c:pt>
                <c:pt idx="17">
                  <c:v>3.9746873073022871E-3</c:v>
                </c:pt>
                <c:pt idx="18">
                  <c:v>4.0699299150333606E-3</c:v>
                </c:pt>
                <c:pt idx="19">
                  <c:v>4.1002024836053188E-3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Chg_S_pos_den!$A$5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Chg_S_pos_den!$B$5:$U$5</c:f>
              <c:numCache>
                <c:formatCode>General</c:formatCode>
                <c:ptCount val="20"/>
                <c:pt idx="0">
                  <c:v>2.0158039225331844E-3</c:v>
                </c:pt>
                <c:pt idx="1">
                  <c:v>2.3561223338516386E-3</c:v>
                </c:pt>
                <c:pt idx="2">
                  <c:v>2.7972348990231988E-3</c:v>
                </c:pt>
                <c:pt idx="3">
                  <c:v>3.2063852517818523E-3</c:v>
                </c:pt>
                <c:pt idx="4">
                  <c:v>3.423792092565736E-3</c:v>
                </c:pt>
                <c:pt idx="5">
                  <c:v>3.7228845176630466E-3</c:v>
                </c:pt>
                <c:pt idx="6">
                  <c:v>4.0435486065194442E-3</c:v>
                </c:pt>
                <c:pt idx="7">
                  <c:v>4.3119732140184325E-3</c:v>
                </c:pt>
                <c:pt idx="8">
                  <c:v>4.3832909323083978E-3</c:v>
                </c:pt>
                <c:pt idx="9">
                  <c:v>4.5928481724794743E-3</c:v>
                </c:pt>
                <c:pt idx="10">
                  <c:v>4.6815758568872247E-3</c:v>
                </c:pt>
                <c:pt idx="11">
                  <c:v>4.8106699564440187E-3</c:v>
                </c:pt>
                <c:pt idx="12">
                  <c:v>4.9203861657957084E-3</c:v>
                </c:pt>
                <c:pt idx="13">
                  <c:v>5.0774468439950026E-3</c:v>
                </c:pt>
                <c:pt idx="14">
                  <c:v>5.1375739476570122E-3</c:v>
                </c:pt>
                <c:pt idx="15">
                  <c:v>5.2945291511308128E-3</c:v>
                </c:pt>
                <c:pt idx="16">
                  <c:v>5.3954573805357932E-3</c:v>
                </c:pt>
                <c:pt idx="17">
                  <c:v>5.4269613815698808E-3</c:v>
                </c:pt>
                <c:pt idx="18">
                  <c:v>5.4720161701707999E-3</c:v>
                </c:pt>
                <c:pt idx="19">
                  <c:v>5.5936480380262381E-3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Chg_S_pos_den!$A$6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Chg_S_pos_den!$B$6:$U$6</c:f>
              <c:numCache>
                <c:formatCode>General</c:formatCode>
                <c:ptCount val="20"/>
                <c:pt idx="0">
                  <c:v>1.6767942893180317E-3</c:v>
                </c:pt>
                <c:pt idx="1">
                  <c:v>2.1514039910615155E-3</c:v>
                </c:pt>
                <c:pt idx="2">
                  <c:v>2.4774580254492292E-3</c:v>
                </c:pt>
                <c:pt idx="3">
                  <c:v>2.6091304660160299E-3</c:v>
                </c:pt>
                <c:pt idx="4">
                  <c:v>2.8585389876680627E-3</c:v>
                </c:pt>
                <c:pt idx="5">
                  <c:v>3.0416172958034038E-3</c:v>
                </c:pt>
                <c:pt idx="6">
                  <c:v>3.1571283427436867E-3</c:v>
                </c:pt>
                <c:pt idx="7">
                  <c:v>3.3162396872786258E-3</c:v>
                </c:pt>
                <c:pt idx="8">
                  <c:v>3.3578291934339621E-3</c:v>
                </c:pt>
                <c:pt idx="9">
                  <c:v>3.417683590965457E-3</c:v>
                </c:pt>
                <c:pt idx="10">
                  <c:v>3.3839762391715969E-3</c:v>
                </c:pt>
                <c:pt idx="11">
                  <c:v>3.4459173258830559E-3</c:v>
                </c:pt>
                <c:pt idx="12">
                  <c:v>3.3851424507680399E-3</c:v>
                </c:pt>
                <c:pt idx="13">
                  <c:v>3.278150003845169E-3</c:v>
                </c:pt>
                <c:pt idx="14">
                  <c:v>3.3325463870968576E-3</c:v>
                </c:pt>
                <c:pt idx="15">
                  <c:v>3.4641676022451628E-3</c:v>
                </c:pt>
                <c:pt idx="16">
                  <c:v>3.4334597428702404E-3</c:v>
                </c:pt>
                <c:pt idx="17">
                  <c:v>3.5146514531679755E-3</c:v>
                </c:pt>
                <c:pt idx="18">
                  <c:v>3.6873998879404105E-3</c:v>
                </c:pt>
                <c:pt idx="19">
                  <c:v>3.5689602320807608E-3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Chg_S_pos_den!$A$7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Chg_S_pos_den!$B$7:$U$7</c:f>
              <c:numCache>
                <c:formatCode>General</c:formatCode>
                <c:ptCount val="20"/>
                <c:pt idx="0">
                  <c:v>1.8133458794712431E-3</c:v>
                </c:pt>
                <c:pt idx="1">
                  <c:v>2.2332860202797324E-3</c:v>
                </c:pt>
                <c:pt idx="2">
                  <c:v>2.5962010679096946E-3</c:v>
                </c:pt>
                <c:pt idx="3">
                  <c:v>2.9579393467530613E-3</c:v>
                </c:pt>
                <c:pt idx="4">
                  <c:v>3.1447976965153844E-3</c:v>
                </c:pt>
                <c:pt idx="5">
                  <c:v>3.1840495852551534E-3</c:v>
                </c:pt>
                <c:pt idx="6">
                  <c:v>3.2976656099468894E-3</c:v>
                </c:pt>
                <c:pt idx="7">
                  <c:v>3.5187660497610165E-3</c:v>
                </c:pt>
                <c:pt idx="8">
                  <c:v>3.5852547206007396E-3</c:v>
                </c:pt>
                <c:pt idx="9">
                  <c:v>3.5104749702815565E-3</c:v>
                </c:pt>
                <c:pt idx="10">
                  <c:v>3.6672566685949197E-3</c:v>
                </c:pt>
                <c:pt idx="11">
                  <c:v>3.6441793083855224E-3</c:v>
                </c:pt>
                <c:pt idx="12">
                  <c:v>3.7891107258954462E-3</c:v>
                </c:pt>
                <c:pt idx="13">
                  <c:v>3.7160276247249486E-3</c:v>
                </c:pt>
                <c:pt idx="14">
                  <c:v>3.745532858419828E-3</c:v>
                </c:pt>
                <c:pt idx="15">
                  <c:v>3.5339916400456985E-3</c:v>
                </c:pt>
                <c:pt idx="16">
                  <c:v>3.5251655925422724E-3</c:v>
                </c:pt>
                <c:pt idx="17">
                  <c:v>3.7612161850289127E-3</c:v>
                </c:pt>
                <c:pt idx="18">
                  <c:v>3.7880016867632899E-3</c:v>
                </c:pt>
                <c:pt idx="19">
                  <c:v>3.8554567194250891E-3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Chg_S_pos_den!$A$8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Chg_S_pos_den!$B$8:$U$8</c:f>
              <c:numCache>
                <c:formatCode>General</c:formatCode>
                <c:ptCount val="20"/>
                <c:pt idx="0">
                  <c:v>1.6550502388180204E-3</c:v>
                </c:pt>
                <c:pt idx="1">
                  <c:v>1.9478859803646685E-3</c:v>
                </c:pt>
                <c:pt idx="2">
                  <c:v>2.2528765517965043E-3</c:v>
                </c:pt>
                <c:pt idx="3">
                  <c:v>2.4354545246079748E-3</c:v>
                </c:pt>
                <c:pt idx="4">
                  <c:v>2.5258250093826151E-3</c:v>
                </c:pt>
                <c:pt idx="5">
                  <c:v>2.6424043658428101E-3</c:v>
                </c:pt>
                <c:pt idx="6">
                  <c:v>2.7772673098705653E-3</c:v>
                </c:pt>
                <c:pt idx="7">
                  <c:v>2.7915593791130438E-3</c:v>
                </c:pt>
                <c:pt idx="8">
                  <c:v>2.809288054725224E-3</c:v>
                </c:pt>
                <c:pt idx="9">
                  <c:v>2.8518784738600996E-3</c:v>
                </c:pt>
                <c:pt idx="10">
                  <c:v>2.8285621077976612E-3</c:v>
                </c:pt>
                <c:pt idx="11">
                  <c:v>2.7314741897282594E-3</c:v>
                </c:pt>
                <c:pt idx="12">
                  <c:v>2.8594506519852006E-3</c:v>
                </c:pt>
                <c:pt idx="13">
                  <c:v>2.8348089286607363E-3</c:v>
                </c:pt>
                <c:pt idx="14">
                  <c:v>2.9234848019319324E-3</c:v>
                </c:pt>
                <c:pt idx="15">
                  <c:v>2.8681706210923552E-3</c:v>
                </c:pt>
                <c:pt idx="16">
                  <c:v>2.9364627772244193E-3</c:v>
                </c:pt>
                <c:pt idx="17">
                  <c:v>2.9176780766892235E-3</c:v>
                </c:pt>
                <c:pt idx="18">
                  <c:v>2.9667738847076082E-3</c:v>
                </c:pt>
                <c:pt idx="19">
                  <c:v>3.0179288732223373E-3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Chg_S_pos_den!$A$9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Chg_S_pos_den!$B$9:$U$9</c:f>
              <c:numCache>
                <c:formatCode>General</c:formatCode>
                <c:ptCount val="20"/>
                <c:pt idx="0">
                  <c:v>1.863181223750723E-3</c:v>
                </c:pt>
                <c:pt idx="1">
                  <c:v>2.3143305165398086E-3</c:v>
                </c:pt>
                <c:pt idx="2">
                  <c:v>2.7271814659340305E-3</c:v>
                </c:pt>
                <c:pt idx="3">
                  <c:v>2.9831187881071419E-3</c:v>
                </c:pt>
                <c:pt idx="4">
                  <c:v>3.201559387643911E-3</c:v>
                </c:pt>
                <c:pt idx="5">
                  <c:v>3.3055546846814388E-3</c:v>
                </c:pt>
                <c:pt idx="6">
                  <c:v>3.3170824019734435E-3</c:v>
                </c:pt>
                <c:pt idx="7">
                  <c:v>3.4249733389867532E-3</c:v>
                </c:pt>
                <c:pt idx="8">
                  <c:v>3.4532096648936948E-3</c:v>
                </c:pt>
                <c:pt idx="9">
                  <c:v>3.3974232854694243E-3</c:v>
                </c:pt>
                <c:pt idx="10">
                  <c:v>3.4177920691922043E-3</c:v>
                </c:pt>
                <c:pt idx="11">
                  <c:v>3.5217218669204744E-3</c:v>
                </c:pt>
                <c:pt idx="12">
                  <c:v>3.4959866716896184E-3</c:v>
                </c:pt>
                <c:pt idx="13">
                  <c:v>3.5108059603201945E-3</c:v>
                </c:pt>
                <c:pt idx="14">
                  <c:v>3.5593439003174091E-3</c:v>
                </c:pt>
                <c:pt idx="15">
                  <c:v>3.5647570058141443E-3</c:v>
                </c:pt>
                <c:pt idx="16">
                  <c:v>3.6086901306553684E-3</c:v>
                </c:pt>
                <c:pt idx="17">
                  <c:v>3.7068661327053771E-3</c:v>
                </c:pt>
                <c:pt idx="18">
                  <c:v>3.7709640340695427E-3</c:v>
                </c:pt>
                <c:pt idx="19">
                  <c:v>3.6332867812902195E-3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Chg_S_pos_den!$A$10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Chg_S_pos_den!$B$10:$U$10</c:f>
              <c:numCache>
                <c:formatCode>General</c:formatCode>
                <c:ptCount val="20"/>
                <c:pt idx="0">
                  <c:v>1.9943572437534931E-3</c:v>
                </c:pt>
                <c:pt idx="1">
                  <c:v>2.5848979738654488E-3</c:v>
                </c:pt>
                <c:pt idx="2">
                  <c:v>3.1251210999111213E-3</c:v>
                </c:pt>
                <c:pt idx="3">
                  <c:v>3.5308267214602639E-3</c:v>
                </c:pt>
                <c:pt idx="4">
                  <c:v>3.8341050622937678E-3</c:v>
                </c:pt>
                <c:pt idx="5">
                  <c:v>4.0892466639500732E-3</c:v>
                </c:pt>
                <c:pt idx="6">
                  <c:v>4.3593295387507327E-3</c:v>
                </c:pt>
                <c:pt idx="7">
                  <c:v>4.581366493739831E-3</c:v>
                </c:pt>
                <c:pt idx="8">
                  <c:v>4.6716135369229391E-3</c:v>
                </c:pt>
                <c:pt idx="9">
                  <c:v>4.7032392305221453E-3</c:v>
                </c:pt>
                <c:pt idx="10">
                  <c:v>4.6792701785120629E-3</c:v>
                </c:pt>
                <c:pt idx="11">
                  <c:v>4.636904109565021E-3</c:v>
                </c:pt>
                <c:pt idx="12">
                  <c:v>4.7585459439585366E-3</c:v>
                </c:pt>
                <c:pt idx="13">
                  <c:v>4.6901717564794007E-3</c:v>
                </c:pt>
                <c:pt idx="14">
                  <c:v>4.6666209618089535E-3</c:v>
                </c:pt>
                <c:pt idx="15">
                  <c:v>4.5968034076514092E-3</c:v>
                </c:pt>
                <c:pt idx="16">
                  <c:v>4.5920984290217532E-3</c:v>
                </c:pt>
                <c:pt idx="17">
                  <c:v>4.7994885255594373E-3</c:v>
                </c:pt>
                <c:pt idx="18">
                  <c:v>4.6422488848030397E-3</c:v>
                </c:pt>
                <c:pt idx="19">
                  <c:v>4.7292238023230616E-3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Chg_S_pos_den!$A$11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Chg_S_pos_den!$B$11:$U$11</c:f>
              <c:numCache>
                <c:formatCode>General</c:formatCode>
                <c:ptCount val="20"/>
                <c:pt idx="0">
                  <c:v>1.9343230042987833E-3</c:v>
                </c:pt>
                <c:pt idx="1">
                  <c:v>2.5600809679653894E-3</c:v>
                </c:pt>
                <c:pt idx="2">
                  <c:v>3.1108111014873279E-3</c:v>
                </c:pt>
                <c:pt idx="3">
                  <c:v>3.6593367189887605E-3</c:v>
                </c:pt>
                <c:pt idx="4">
                  <c:v>4.0511971776028182E-3</c:v>
                </c:pt>
                <c:pt idx="5">
                  <c:v>4.4155831105556608E-3</c:v>
                </c:pt>
                <c:pt idx="6">
                  <c:v>4.6359490636104601E-3</c:v>
                </c:pt>
                <c:pt idx="7">
                  <c:v>4.9552038927865609E-3</c:v>
                </c:pt>
                <c:pt idx="8">
                  <c:v>5.0218359118682004E-3</c:v>
                </c:pt>
                <c:pt idx="9">
                  <c:v>5.1858611000171161E-3</c:v>
                </c:pt>
                <c:pt idx="10">
                  <c:v>5.215227621602034E-3</c:v>
                </c:pt>
                <c:pt idx="11">
                  <c:v>5.4056908622524026E-3</c:v>
                </c:pt>
                <c:pt idx="12">
                  <c:v>5.6899628112584526E-3</c:v>
                </c:pt>
                <c:pt idx="13">
                  <c:v>5.7677700772142664E-3</c:v>
                </c:pt>
                <c:pt idx="14">
                  <c:v>5.798755416694187E-3</c:v>
                </c:pt>
                <c:pt idx="15">
                  <c:v>5.9053757225649177E-3</c:v>
                </c:pt>
                <c:pt idx="16">
                  <c:v>6.0118097538197366E-3</c:v>
                </c:pt>
                <c:pt idx="17">
                  <c:v>6.0922465690411614E-3</c:v>
                </c:pt>
                <c:pt idx="18">
                  <c:v>6.3380903311977665E-3</c:v>
                </c:pt>
                <c:pt idx="19">
                  <c:v>6.2108774873973075E-3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Chg_S_pos_den!$A$12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Chg_S_pos_den!$B$12:$U$12</c:f>
              <c:numCache>
                <c:formatCode>General</c:formatCode>
                <c:ptCount val="20"/>
                <c:pt idx="0">
                  <c:v>1.8131106722975973E-3</c:v>
                </c:pt>
                <c:pt idx="1">
                  <c:v>2.1751759796486223E-3</c:v>
                </c:pt>
                <c:pt idx="2">
                  <c:v>2.545531187142572E-3</c:v>
                </c:pt>
                <c:pt idx="3">
                  <c:v>2.5268785606048115E-3</c:v>
                </c:pt>
                <c:pt idx="4">
                  <c:v>2.556868657306362E-3</c:v>
                </c:pt>
                <c:pt idx="5">
                  <c:v>2.5743519888991673E-3</c:v>
                </c:pt>
                <c:pt idx="6">
                  <c:v>2.6072258832702633E-3</c:v>
                </c:pt>
                <c:pt idx="7">
                  <c:v>2.6674283536178831E-3</c:v>
                </c:pt>
                <c:pt idx="8">
                  <c:v>2.5937373206638458E-3</c:v>
                </c:pt>
                <c:pt idx="9">
                  <c:v>2.6268715682280729E-3</c:v>
                </c:pt>
                <c:pt idx="10">
                  <c:v>2.5189273451159656E-3</c:v>
                </c:pt>
                <c:pt idx="11">
                  <c:v>2.5497457369523424E-3</c:v>
                </c:pt>
                <c:pt idx="12">
                  <c:v>2.3348445661718416E-3</c:v>
                </c:pt>
                <c:pt idx="13">
                  <c:v>2.3297836797226057E-3</c:v>
                </c:pt>
                <c:pt idx="14">
                  <c:v>2.3288216146743926E-3</c:v>
                </c:pt>
                <c:pt idx="15">
                  <c:v>2.2889265190767132E-3</c:v>
                </c:pt>
                <c:pt idx="16">
                  <c:v>2.1610569266485979E-3</c:v>
                </c:pt>
                <c:pt idx="17">
                  <c:v>2.2797612322839719E-3</c:v>
                </c:pt>
                <c:pt idx="18">
                  <c:v>2.3533537760193923E-3</c:v>
                </c:pt>
                <c:pt idx="19">
                  <c:v>2.1487714793416877E-3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Chg_S_pos_den!$A$13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Chg_S_pos_den!$B$13:$U$13</c:f>
              <c:numCache>
                <c:formatCode>General</c:formatCode>
                <c:ptCount val="20"/>
                <c:pt idx="0">
                  <c:v>1.4965013554991498E-3</c:v>
                </c:pt>
                <c:pt idx="1">
                  <c:v>1.7147207271960058E-3</c:v>
                </c:pt>
                <c:pt idx="2">
                  <c:v>1.9639360301229895E-3</c:v>
                </c:pt>
                <c:pt idx="3">
                  <c:v>2.1215230913540252E-3</c:v>
                </c:pt>
                <c:pt idx="4">
                  <c:v>2.2523716332346726E-3</c:v>
                </c:pt>
                <c:pt idx="5">
                  <c:v>2.3616941483287847E-3</c:v>
                </c:pt>
                <c:pt idx="6">
                  <c:v>2.5355947410005035E-3</c:v>
                </c:pt>
                <c:pt idx="7">
                  <c:v>2.664046144837662E-3</c:v>
                </c:pt>
                <c:pt idx="8">
                  <c:v>2.5816494581544702E-3</c:v>
                </c:pt>
                <c:pt idx="9">
                  <c:v>2.5690331884442447E-3</c:v>
                </c:pt>
                <c:pt idx="10">
                  <c:v>2.5077861149177391E-3</c:v>
                </c:pt>
                <c:pt idx="11">
                  <c:v>2.451145306514147E-3</c:v>
                </c:pt>
                <c:pt idx="12">
                  <c:v>2.5192794430501978E-3</c:v>
                </c:pt>
                <c:pt idx="13">
                  <c:v>2.460394941308547E-3</c:v>
                </c:pt>
                <c:pt idx="14">
                  <c:v>2.5831730301920145E-3</c:v>
                </c:pt>
                <c:pt idx="15">
                  <c:v>2.6009987423547868E-3</c:v>
                </c:pt>
                <c:pt idx="16">
                  <c:v>2.570476414785815E-3</c:v>
                </c:pt>
                <c:pt idx="17">
                  <c:v>2.6713023565272556E-3</c:v>
                </c:pt>
                <c:pt idx="18">
                  <c:v>2.7236813207637415E-3</c:v>
                </c:pt>
                <c:pt idx="19">
                  <c:v>2.8162489565930664E-3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Chg_S_pos_den!$A$14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Chg_S_pos_den!$B$14:$U$14</c:f>
              <c:numCache>
                <c:formatCode>General</c:formatCode>
                <c:ptCount val="20"/>
                <c:pt idx="0">
                  <c:v>1.9574145448857908E-3</c:v>
                </c:pt>
                <c:pt idx="1">
                  <c:v>2.5551414135348664E-3</c:v>
                </c:pt>
                <c:pt idx="2">
                  <c:v>3.1131809708211853E-3</c:v>
                </c:pt>
                <c:pt idx="3">
                  <c:v>3.5379143711719865E-3</c:v>
                </c:pt>
                <c:pt idx="4">
                  <c:v>3.6699013613679093E-3</c:v>
                </c:pt>
                <c:pt idx="5">
                  <c:v>3.874746315713279E-3</c:v>
                </c:pt>
                <c:pt idx="6">
                  <c:v>4.0646596780939273E-3</c:v>
                </c:pt>
                <c:pt idx="7">
                  <c:v>4.2703118817177272E-3</c:v>
                </c:pt>
                <c:pt idx="8">
                  <c:v>4.3780918858018101E-3</c:v>
                </c:pt>
                <c:pt idx="9">
                  <c:v>4.2771753998492009E-3</c:v>
                </c:pt>
                <c:pt idx="10">
                  <c:v>4.3181081670075399E-3</c:v>
                </c:pt>
                <c:pt idx="11">
                  <c:v>4.3944108054986466E-3</c:v>
                </c:pt>
                <c:pt idx="12">
                  <c:v>4.4720236105086275E-3</c:v>
                </c:pt>
                <c:pt idx="13">
                  <c:v>4.5736755538016167E-3</c:v>
                </c:pt>
                <c:pt idx="14">
                  <c:v>4.8640354690734347E-3</c:v>
                </c:pt>
                <c:pt idx="15">
                  <c:v>4.7480550312545954E-3</c:v>
                </c:pt>
                <c:pt idx="16">
                  <c:v>4.7777763978719568E-3</c:v>
                </c:pt>
                <c:pt idx="17">
                  <c:v>4.5984323559230197E-3</c:v>
                </c:pt>
                <c:pt idx="18">
                  <c:v>4.4126140269059224E-3</c:v>
                </c:pt>
                <c:pt idx="19">
                  <c:v>4.5462726560580894E-3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Chg_S_pos_den!$A$15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Chg_S_pos_den!$B$15:$U$15</c:f>
              <c:numCache>
                <c:formatCode>General</c:formatCode>
                <c:ptCount val="20"/>
                <c:pt idx="0">
                  <c:v>2.1074391730433887E-3</c:v>
                </c:pt>
                <c:pt idx="1">
                  <c:v>2.4713142911264676E-3</c:v>
                </c:pt>
                <c:pt idx="2">
                  <c:v>2.8710506474048645E-3</c:v>
                </c:pt>
                <c:pt idx="3">
                  <c:v>3.1155485919537179E-3</c:v>
                </c:pt>
                <c:pt idx="4">
                  <c:v>3.1943930601579739E-3</c:v>
                </c:pt>
                <c:pt idx="5">
                  <c:v>3.2482213052558249E-3</c:v>
                </c:pt>
                <c:pt idx="6">
                  <c:v>3.3108323617781813E-3</c:v>
                </c:pt>
                <c:pt idx="7">
                  <c:v>3.3273982231312731E-3</c:v>
                </c:pt>
                <c:pt idx="8">
                  <c:v>3.3934429093239291E-3</c:v>
                </c:pt>
                <c:pt idx="9">
                  <c:v>3.4040159157075378E-3</c:v>
                </c:pt>
                <c:pt idx="10">
                  <c:v>3.5179784894570519E-3</c:v>
                </c:pt>
                <c:pt idx="11">
                  <c:v>3.6589389104704452E-3</c:v>
                </c:pt>
                <c:pt idx="12">
                  <c:v>3.6946809304725355E-3</c:v>
                </c:pt>
                <c:pt idx="13">
                  <c:v>3.523121549558837E-3</c:v>
                </c:pt>
                <c:pt idx="14">
                  <c:v>3.6791886741202543E-3</c:v>
                </c:pt>
                <c:pt idx="15">
                  <c:v>3.583129177007325E-3</c:v>
                </c:pt>
                <c:pt idx="16">
                  <c:v>3.7057503794579701E-3</c:v>
                </c:pt>
                <c:pt idx="17">
                  <c:v>3.7351903443773168E-3</c:v>
                </c:pt>
                <c:pt idx="18">
                  <c:v>3.7076427332987686E-3</c:v>
                </c:pt>
                <c:pt idx="19">
                  <c:v>3.7440684586742779E-3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Chg_S_pos_den!$A$16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Chg_S_pos_den!$B$16:$U$16</c:f>
              <c:numCache>
                <c:formatCode>General</c:formatCode>
                <c:ptCount val="20"/>
                <c:pt idx="0">
                  <c:v>1.7166850142105569E-3</c:v>
                </c:pt>
                <c:pt idx="1">
                  <c:v>2.244338230412958E-3</c:v>
                </c:pt>
                <c:pt idx="2">
                  <c:v>3.0046652986952652E-3</c:v>
                </c:pt>
                <c:pt idx="3">
                  <c:v>3.5384627971706013E-3</c:v>
                </c:pt>
                <c:pt idx="4">
                  <c:v>3.7798632108009601E-3</c:v>
                </c:pt>
                <c:pt idx="5">
                  <c:v>4.0172446686734219E-3</c:v>
                </c:pt>
                <c:pt idx="6">
                  <c:v>4.2685952769785105E-3</c:v>
                </c:pt>
                <c:pt idx="7">
                  <c:v>4.4772925028130966E-3</c:v>
                </c:pt>
                <c:pt idx="8">
                  <c:v>4.6445485707747947E-3</c:v>
                </c:pt>
                <c:pt idx="9">
                  <c:v>4.740330045147686E-3</c:v>
                </c:pt>
                <c:pt idx="10">
                  <c:v>4.9017298559502417E-3</c:v>
                </c:pt>
                <c:pt idx="11">
                  <c:v>5.0832577366995814E-3</c:v>
                </c:pt>
                <c:pt idx="12">
                  <c:v>5.1172546535654395E-3</c:v>
                </c:pt>
                <c:pt idx="13">
                  <c:v>5.0678561112211433E-3</c:v>
                </c:pt>
                <c:pt idx="14">
                  <c:v>5.0212068832233029E-3</c:v>
                </c:pt>
                <c:pt idx="15">
                  <c:v>5.21298525892062E-3</c:v>
                </c:pt>
                <c:pt idx="16">
                  <c:v>5.3698549030981911E-3</c:v>
                </c:pt>
                <c:pt idx="17">
                  <c:v>5.2849701411874948E-3</c:v>
                </c:pt>
                <c:pt idx="18">
                  <c:v>5.2730612887337009E-3</c:v>
                </c:pt>
                <c:pt idx="19">
                  <c:v>5.1122238191895625E-3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Chg_S_pos_den!$A$17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Chg_S_pos_den!$B$17:$U$17</c:f>
              <c:numCache>
                <c:formatCode>General</c:formatCode>
                <c:ptCount val="20"/>
                <c:pt idx="0">
                  <c:v>1.7218518187505586E-3</c:v>
                </c:pt>
                <c:pt idx="1">
                  <c:v>2.2923240844146433E-3</c:v>
                </c:pt>
                <c:pt idx="2">
                  <c:v>3.0384715624518616E-3</c:v>
                </c:pt>
                <c:pt idx="3">
                  <c:v>3.432235295377077E-3</c:v>
                </c:pt>
                <c:pt idx="4">
                  <c:v>3.7848638442572616E-3</c:v>
                </c:pt>
                <c:pt idx="5">
                  <c:v>4.0019361157833571E-3</c:v>
                </c:pt>
                <c:pt idx="6">
                  <c:v>4.013097558804463E-3</c:v>
                </c:pt>
                <c:pt idx="7">
                  <c:v>4.1821046473027304E-3</c:v>
                </c:pt>
                <c:pt idx="8">
                  <c:v>4.2350000962570033E-3</c:v>
                </c:pt>
                <c:pt idx="9">
                  <c:v>4.2797425282361471E-3</c:v>
                </c:pt>
                <c:pt idx="10">
                  <c:v>4.2930122804903425E-3</c:v>
                </c:pt>
                <c:pt idx="11">
                  <c:v>4.3068449369137304E-3</c:v>
                </c:pt>
                <c:pt idx="12">
                  <c:v>4.4030145944153791E-3</c:v>
                </c:pt>
                <c:pt idx="13">
                  <c:v>4.5711013719362441E-3</c:v>
                </c:pt>
                <c:pt idx="14">
                  <c:v>4.5226848760650893E-3</c:v>
                </c:pt>
                <c:pt idx="15">
                  <c:v>4.5502868157824309E-3</c:v>
                </c:pt>
                <c:pt idx="16">
                  <c:v>4.6569418135956166E-3</c:v>
                </c:pt>
                <c:pt idx="17">
                  <c:v>4.5504391220327301E-3</c:v>
                </c:pt>
                <c:pt idx="18">
                  <c:v>4.5198773224898823E-3</c:v>
                </c:pt>
                <c:pt idx="19">
                  <c:v>4.4910050855010439E-3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Chg_S_pos_den!$A$18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Chg_S_pos_den!$B$18:$U$18</c:f>
              <c:numCache>
                <c:formatCode>General</c:formatCode>
                <c:ptCount val="20"/>
                <c:pt idx="0">
                  <c:v>1.874848051417089E-3</c:v>
                </c:pt>
                <c:pt idx="1">
                  <c:v>2.5701525422892509E-3</c:v>
                </c:pt>
                <c:pt idx="2">
                  <c:v>3.3574099708852437E-3</c:v>
                </c:pt>
                <c:pt idx="3">
                  <c:v>3.838666218316588E-3</c:v>
                </c:pt>
                <c:pt idx="4">
                  <c:v>4.1284245394836282E-3</c:v>
                </c:pt>
                <c:pt idx="5">
                  <c:v>4.2715417995600712E-3</c:v>
                </c:pt>
                <c:pt idx="6">
                  <c:v>4.4713555500766342E-3</c:v>
                </c:pt>
                <c:pt idx="7">
                  <c:v>4.4451707374285991E-3</c:v>
                </c:pt>
                <c:pt idx="8">
                  <c:v>4.4943234114577799E-3</c:v>
                </c:pt>
                <c:pt idx="9">
                  <c:v>4.5516478301916713E-3</c:v>
                </c:pt>
                <c:pt idx="10">
                  <c:v>4.6526527570597172E-3</c:v>
                </c:pt>
                <c:pt idx="11">
                  <c:v>4.7354405114301114E-3</c:v>
                </c:pt>
                <c:pt idx="12">
                  <c:v>4.9799580164352044E-3</c:v>
                </c:pt>
                <c:pt idx="13">
                  <c:v>4.9556578840953963E-3</c:v>
                </c:pt>
                <c:pt idx="14">
                  <c:v>4.7986172147944303E-3</c:v>
                </c:pt>
                <c:pt idx="15">
                  <c:v>4.8430551747527528E-3</c:v>
                </c:pt>
                <c:pt idx="16">
                  <c:v>4.8722070859745009E-3</c:v>
                </c:pt>
                <c:pt idx="17">
                  <c:v>4.8502200899708456E-3</c:v>
                </c:pt>
                <c:pt idx="18">
                  <c:v>4.8342515330258001E-3</c:v>
                </c:pt>
                <c:pt idx="19">
                  <c:v>4.8034676274140908E-3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Chg_S_pos_den!$A$19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Chg_S_pos_den!$B$19:$U$19</c:f>
              <c:numCache>
                <c:formatCode>General</c:formatCode>
                <c:ptCount val="20"/>
                <c:pt idx="0">
                  <c:v>2.0398700435468281E-3</c:v>
                </c:pt>
                <c:pt idx="1">
                  <c:v>2.3900179003124122E-3</c:v>
                </c:pt>
                <c:pt idx="2">
                  <c:v>2.8670489813789435E-3</c:v>
                </c:pt>
                <c:pt idx="3">
                  <c:v>3.1476510314234463E-3</c:v>
                </c:pt>
                <c:pt idx="4">
                  <c:v>3.3041235632004376E-3</c:v>
                </c:pt>
                <c:pt idx="5">
                  <c:v>3.4969741848375458E-3</c:v>
                </c:pt>
                <c:pt idx="6">
                  <c:v>3.5745697682682373E-3</c:v>
                </c:pt>
                <c:pt idx="7">
                  <c:v>3.6633466011158251E-3</c:v>
                </c:pt>
                <c:pt idx="8">
                  <c:v>3.6947763487874207E-3</c:v>
                </c:pt>
                <c:pt idx="9">
                  <c:v>3.7119385398732964E-3</c:v>
                </c:pt>
                <c:pt idx="10">
                  <c:v>3.8219339884911483E-3</c:v>
                </c:pt>
                <c:pt idx="11">
                  <c:v>3.8786774891505144E-3</c:v>
                </c:pt>
                <c:pt idx="12">
                  <c:v>3.9104604069207394E-3</c:v>
                </c:pt>
                <c:pt idx="13">
                  <c:v>3.9493678936340934E-3</c:v>
                </c:pt>
                <c:pt idx="14">
                  <c:v>3.9277954706959228E-3</c:v>
                </c:pt>
                <c:pt idx="15">
                  <c:v>4.0397637243422234E-3</c:v>
                </c:pt>
                <c:pt idx="16">
                  <c:v>3.9702349580213892E-3</c:v>
                </c:pt>
                <c:pt idx="17">
                  <c:v>4.02769952304078E-3</c:v>
                </c:pt>
                <c:pt idx="18">
                  <c:v>3.9698167275320426E-3</c:v>
                </c:pt>
                <c:pt idx="19">
                  <c:v>3.9440739341545976E-3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Chg_S_pos_den!$A$20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Chg_S_pos_den!$B$20:$U$20</c:f>
              <c:numCache>
                <c:formatCode>General</c:formatCode>
                <c:ptCount val="20"/>
                <c:pt idx="0">
                  <c:v>2.1287161467955741E-3</c:v>
                </c:pt>
                <c:pt idx="1">
                  <c:v>2.569736415541772E-3</c:v>
                </c:pt>
                <c:pt idx="2">
                  <c:v>3.0946131254770849E-3</c:v>
                </c:pt>
                <c:pt idx="3">
                  <c:v>3.3476216476753212E-3</c:v>
                </c:pt>
                <c:pt idx="4">
                  <c:v>3.5747394643654896E-3</c:v>
                </c:pt>
                <c:pt idx="5">
                  <c:v>3.7567268602064583E-3</c:v>
                </c:pt>
                <c:pt idx="6">
                  <c:v>3.8570218192962857E-3</c:v>
                </c:pt>
                <c:pt idx="7">
                  <c:v>4.0349572833481197E-3</c:v>
                </c:pt>
                <c:pt idx="8">
                  <c:v>4.1589284907030235E-3</c:v>
                </c:pt>
                <c:pt idx="9">
                  <c:v>4.1798123338704441E-3</c:v>
                </c:pt>
                <c:pt idx="10">
                  <c:v>4.1502848368730159E-3</c:v>
                </c:pt>
                <c:pt idx="11">
                  <c:v>4.255050792491423E-3</c:v>
                </c:pt>
                <c:pt idx="12">
                  <c:v>4.297733943689438E-3</c:v>
                </c:pt>
                <c:pt idx="13">
                  <c:v>4.3077074728136242E-3</c:v>
                </c:pt>
                <c:pt idx="14">
                  <c:v>4.3913518397685819E-3</c:v>
                </c:pt>
                <c:pt idx="15">
                  <c:v>4.3969562697477897E-3</c:v>
                </c:pt>
                <c:pt idx="16">
                  <c:v>4.4209702394601034E-3</c:v>
                </c:pt>
                <c:pt idx="17">
                  <c:v>4.4558672257078748E-3</c:v>
                </c:pt>
                <c:pt idx="18">
                  <c:v>4.5220939034120965E-3</c:v>
                </c:pt>
                <c:pt idx="19">
                  <c:v>4.5031549106464234E-3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Chg_S_pos_den!$A$21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Chg_S_pos_den!$B$21:$U$21</c:f>
              <c:numCache>
                <c:formatCode>General</c:formatCode>
                <c:ptCount val="20"/>
                <c:pt idx="0">
                  <c:v>2.1164558254305335E-3</c:v>
                </c:pt>
                <c:pt idx="1">
                  <c:v>2.5574221263293955E-3</c:v>
                </c:pt>
                <c:pt idx="2">
                  <c:v>3.0750103592740614E-3</c:v>
                </c:pt>
                <c:pt idx="3">
                  <c:v>3.3294860825230192E-3</c:v>
                </c:pt>
                <c:pt idx="4">
                  <c:v>3.5341176396275755E-3</c:v>
                </c:pt>
                <c:pt idx="5">
                  <c:v>3.7342254862179651E-3</c:v>
                </c:pt>
                <c:pt idx="6">
                  <c:v>3.8010404786082484E-3</c:v>
                </c:pt>
                <c:pt idx="7">
                  <c:v>3.9294274447705382E-3</c:v>
                </c:pt>
                <c:pt idx="8">
                  <c:v>3.9899250701601026E-3</c:v>
                </c:pt>
                <c:pt idx="9">
                  <c:v>4.0922722676802522E-3</c:v>
                </c:pt>
                <c:pt idx="10">
                  <c:v>4.1846117980393191E-3</c:v>
                </c:pt>
                <c:pt idx="11">
                  <c:v>4.2237995765653695E-3</c:v>
                </c:pt>
                <c:pt idx="12">
                  <c:v>4.2311358834023968E-3</c:v>
                </c:pt>
                <c:pt idx="13">
                  <c:v>4.3165741008090314E-3</c:v>
                </c:pt>
                <c:pt idx="14">
                  <c:v>4.3848657980647488E-3</c:v>
                </c:pt>
                <c:pt idx="15">
                  <c:v>4.4097893810899772E-3</c:v>
                </c:pt>
                <c:pt idx="16">
                  <c:v>4.4400741457813553E-3</c:v>
                </c:pt>
                <c:pt idx="17">
                  <c:v>4.445645016225303E-3</c:v>
                </c:pt>
                <c:pt idx="18">
                  <c:v>4.4977069015284584E-3</c:v>
                </c:pt>
                <c:pt idx="19">
                  <c:v>4.5728673831903583E-3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Chg_S_pos_den!$A$22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Chg_S_pos_den!$B$22:$U$22</c:f>
              <c:numCache>
                <c:formatCode>General</c:formatCode>
                <c:ptCount val="20"/>
                <c:pt idx="0">
                  <c:v>1.9642468032990811E-3</c:v>
                </c:pt>
                <c:pt idx="1">
                  <c:v>2.3159846457453722E-3</c:v>
                </c:pt>
                <c:pt idx="2">
                  <c:v>2.7163169934155892E-3</c:v>
                </c:pt>
                <c:pt idx="3">
                  <c:v>2.8764277725915723E-3</c:v>
                </c:pt>
                <c:pt idx="4">
                  <c:v>3.0306063273475292E-3</c:v>
                </c:pt>
                <c:pt idx="5">
                  <c:v>3.1923828350375579E-3</c:v>
                </c:pt>
                <c:pt idx="6">
                  <c:v>3.3232061194834986E-3</c:v>
                </c:pt>
                <c:pt idx="7">
                  <c:v>3.4004180359953947E-3</c:v>
                </c:pt>
                <c:pt idx="8">
                  <c:v>3.5066919770367156E-3</c:v>
                </c:pt>
                <c:pt idx="9">
                  <c:v>3.5284015980455367E-3</c:v>
                </c:pt>
                <c:pt idx="10">
                  <c:v>3.6579964903951556E-3</c:v>
                </c:pt>
                <c:pt idx="11">
                  <c:v>3.6214125197266611E-3</c:v>
                </c:pt>
                <c:pt idx="12">
                  <c:v>3.6367093607342811E-3</c:v>
                </c:pt>
                <c:pt idx="13">
                  <c:v>3.73529543166832E-3</c:v>
                </c:pt>
                <c:pt idx="14">
                  <c:v>3.8297741629932762E-3</c:v>
                </c:pt>
                <c:pt idx="15">
                  <c:v>3.8853761473782999E-3</c:v>
                </c:pt>
                <c:pt idx="16">
                  <c:v>3.9866717238912592E-3</c:v>
                </c:pt>
                <c:pt idx="17">
                  <c:v>3.9933803098540265E-3</c:v>
                </c:pt>
                <c:pt idx="18">
                  <c:v>4.0648355415415375E-3</c:v>
                </c:pt>
                <c:pt idx="19">
                  <c:v>4.0428897230182807E-3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Chg_S_pos_den!$A$23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Chg_S_pos_den!$B$23:$U$23</c:f>
              <c:numCache>
                <c:formatCode>General</c:formatCode>
                <c:ptCount val="20"/>
                <c:pt idx="0">
                  <c:v>2.1180460011506978E-3</c:v>
                </c:pt>
                <c:pt idx="1">
                  <c:v>2.5637723246073221E-3</c:v>
                </c:pt>
                <c:pt idx="2">
                  <c:v>3.0737812757718756E-3</c:v>
                </c:pt>
                <c:pt idx="3">
                  <c:v>3.3044590390597997E-3</c:v>
                </c:pt>
                <c:pt idx="4">
                  <c:v>3.5047158883446858E-3</c:v>
                </c:pt>
                <c:pt idx="5">
                  <c:v>3.7148142012253089E-3</c:v>
                </c:pt>
                <c:pt idx="6">
                  <c:v>3.8255486563759772E-3</c:v>
                </c:pt>
                <c:pt idx="7">
                  <c:v>3.9699211832310384E-3</c:v>
                </c:pt>
                <c:pt idx="8">
                  <c:v>4.1117466111124041E-3</c:v>
                </c:pt>
                <c:pt idx="9">
                  <c:v>4.1259736061081062E-3</c:v>
                </c:pt>
                <c:pt idx="10">
                  <c:v>4.1372494862654211E-3</c:v>
                </c:pt>
                <c:pt idx="11">
                  <c:v>4.2189747424250671E-3</c:v>
                </c:pt>
                <c:pt idx="12">
                  <c:v>4.2556360977095628E-3</c:v>
                </c:pt>
                <c:pt idx="13">
                  <c:v>4.3762093089122784E-3</c:v>
                </c:pt>
                <c:pt idx="14">
                  <c:v>4.4737146605829574E-3</c:v>
                </c:pt>
                <c:pt idx="15">
                  <c:v>4.4580261975206174E-3</c:v>
                </c:pt>
                <c:pt idx="16">
                  <c:v>4.419059427235127E-3</c:v>
                </c:pt>
                <c:pt idx="17">
                  <c:v>4.3954508390663229E-3</c:v>
                </c:pt>
                <c:pt idx="18">
                  <c:v>4.5681063819019508E-3</c:v>
                </c:pt>
                <c:pt idx="19">
                  <c:v>4.5838976396448397E-3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Chg_S_pos_den!$A$24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Chg_S_pos_den!$B$24:$U$24</c:f>
              <c:numCache>
                <c:formatCode>General</c:formatCode>
                <c:ptCount val="20"/>
                <c:pt idx="0">
                  <c:v>2.0123825251649251E-3</c:v>
                </c:pt>
                <c:pt idx="1">
                  <c:v>2.3473970022917733E-3</c:v>
                </c:pt>
                <c:pt idx="2">
                  <c:v>2.7650853376570998E-3</c:v>
                </c:pt>
                <c:pt idx="3">
                  <c:v>2.9269257594882366E-3</c:v>
                </c:pt>
                <c:pt idx="4">
                  <c:v>3.0875090460996697E-3</c:v>
                </c:pt>
                <c:pt idx="5">
                  <c:v>3.3210840104946392E-3</c:v>
                </c:pt>
                <c:pt idx="6">
                  <c:v>3.3841268406464655E-3</c:v>
                </c:pt>
                <c:pt idx="7">
                  <c:v>3.6089628155785728E-3</c:v>
                </c:pt>
                <c:pt idx="8">
                  <c:v>3.6185035432962057E-3</c:v>
                </c:pt>
                <c:pt idx="9">
                  <c:v>3.6338019746761604E-3</c:v>
                </c:pt>
                <c:pt idx="10">
                  <c:v>3.6989692554582126E-3</c:v>
                </c:pt>
                <c:pt idx="11">
                  <c:v>3.7522468146257487E-3</c:v>
                </c:pt>
                <c:pt idx="12">
                  <c:v>3.739277364642512E-3</c:v>
                </c:pt>
                <c:pt idx="13">
                  <c:v>3.7817202214906818E-3</c:v>
                </c:pt>
                <c:pt idx="14">
                  <c:v>3.7845802280187827E-3</c:v>
                </c:pt>
                <c:pt idx="15">
                  <c:v>3.8507854074551337E-3</c:v>
                </c:pt>
                <c:pt idx="16">
                  <c:v>3.8560460599179648E-3</c:v>
                </c:pt>
                <c:pt idx="17">
                  <c:v>3.8930831652394787E-3</c:v>
                </c:pt>
                <c:pt idx="18">
                  <c:v>3.8910595503250664E-3</c:v>
                </c:pt>
                <c:pt idx="19">
                  <c:v>3.8922406204067606E-3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Chg_S_pos_den!$A$25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Chg_S_pos_den!$B$25:$U$25</c:f>
              <c:numCache>
                <c:formatCode>General</c:formatCode>
                <c:ptCount val="20"/>
                <c:pt idx="0">
                  <c:v>2.1142590157650271E-3</c:v>
                </c:pt>
                <c:pt idx="1">
                  <c:v>2.5376538568773564E-3</c:v>
                </c:pt>
                <c:pt idx="2">
                  <c:v>3.0465705017760653E-3</c:v>
                </c:pt>
                <c:pt idx="3">
                  <c:v>3.3207447628636555E-3</c:v>
                </c:pt>
                <c:pt idx="4">
                  <c:v>3.544368727014476E-3</c:v>
                </c:pt>
                <c:pt idx="5">
                  <c:v>3.7022536038878156E-3</c:v>
                </c:pt>
                <c:pt idx="6">
                  <c:v>3.7748003777372356E-3</c:v>
                </c:pt>
                <c:pt idx="7">
                  <c:v>3.8809687564687265E-3</c:v>
                </c:pt>
                <c:pt idx="8">
                  <c:v>4.0246667000225821E-3</c:v>
                </c:pt>
                <c:pt idx="9">
                  <c:v>4.1656585726376448E-3</c:v>
                </c:pt>
                <c:pt idx="10">
                  <c:v>4.2866689668252913E-3</c:v>
                </c:pt>
                <c:pt idx="11">
                  <c:v>4.3532131623387482E-3</c:v>
                </c:pt>
                <c:pt idx="12">
                  <c:v>4.418058430849108E-3</c:v>
                </c:pt>
                <c:pt idx="13">
                  <c:v>4.4781006342232291E-3</c:v>
                </c:pt>
                <c:pt idx="14">
                  <c:v>4.3979465148876193E-3</c:v>
                </c:pt>
                <c:pt idx="15">
                  <c:v>4.3263245414195736E-3</c:v>
                </c:pt>
                <c:pt idx="16">
                  <c:v>4.4346821980018941E-3</c:v>
                </c:pt>
                <c:pt idx="17">
                  <c:v>4.3647745415512839E-3</c:v>
                </c:pt>
                <c:pt idx="18">
                  <c:v>4.4625134032849501E-3</c:v>
                </c:pt>
                <c:pt idx="19">
                  <c:v>4.5281026596919564E-3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Chg_S_pos_den!$A$26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Chg_S_pos_den!$B$26:$U$26</c:f>
              <c:numCache>
                <c:formatCode>General</c:formatCode>
                <c:ptCount val="20"/>
                <c:pt idx="0">
                  <c:v>1.8388263311644587E-3</c:v>
                </c:pt>
                <c:pt idx="1">
                  <c:v>2.6304744564868815E-3</c:v>
                </c:pt>
                <c:pt idx="2">
                  <c:v>3.6561549398776588E-3</c:v>
                </c:pt>
                <c:pt idx="3">
                  <c:v>4.284352097117132E-3</c:v>
                </c:pt>
                <c:pt idx="4">
                  <c:v>4.8334864982516436E-3</c:v>
                </c:pt>
                <c:pt idx="5">
                  <c:v>5.2828254667613289E-3</c:v>
                </c:pt>
                <c:pt idx="6">
                  <c:v>5.5505151087737407E-3</c:v>
                </c:pt>
                <c:pt idx="7">
                  <c:v>5.7873132241113238E-3</c:v>
                </c:pt>
                <c:pt idx="8">
                  <c:v>6.1361240437220787E-3</c:v>
                </c:pt>
                <c:pt idx="9">
                  <c:v>6.2503101364159144E-3</c:v>
                </c:pt>
                <c:pt idx="10">
                  <c:v>6.3621676057439309E-3</c:v>
                </c:pt>
                <c:pt idx="11">
                  <c:v>6.5596491561666472E-3</c:v>
                </c:pt>
                <c:pt idx="12">
                  <c:v>6.5685729234901758E-3</c:v>
                </c:pt>
                <c:pt idx="13">
                  <c:v>6.6400317281918413E-3</c:v>
                </c:pt>
                <c:pt idx="14">
                  <c:v>6.7635712163553793E-3</c:v>
                </c:pt>
                <c:pt idx="15">
                  <c:v>6.8254630731846965E-3</c:v>
                </c:pt>
                <c:pt idx="16">
                  <c:v>6.8792476971518048E-3</c:v>
                </c:pt>
                <c:pt idx="17">
                  <c:v>7.0109750030916684E-3</c:v>
                </c:pt>
                <c:pt idx="18">
                  <c:v>7.0074451799395383E-3</c:v>
                </c:pt>
                <c:pt idx="19">
                  <c:v>6.9835795945286609E-3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Chg_S_pos_den!$A$27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Chg_S_pos_den!$B$27:$U$27</c:f>
              <c:numCache>
                <c:formatCode>General</c:formatCode>
                <c:ptCount val="20"/>
                <c:pt idx="0">
                  <c:v>2.0372128314595883E-3</c:v>
                </c:pt>
                <c:pt idx="1">
                  <c:v>2.3897404831785003E-3</c:v>
                </c:pt>
                <c:pt idx="2">
                  <c:v>2.7289128255946001E-3</c:v>
                </c:pt>
                <c:pt idx="3">
                  <c:v>2.8215851838897408E-3</c:v>
                </c:pt>
                <c:pt idx="4">
                  <c:v>2.9663442820035413E-3</c:v>
                </c:pt>
                <c:pt idx="5">
                  <c:v>3.0960598611680873E-3</c:v>
                </c:pt>
                <c:pt idx="6">
                  <c:v>3.2633703280093556E-3</c:v>
                </c:pt>
                <c:pt idx="7">
                  <c:v>3.3365108303746427E-3</c:v>
                </c:pt>
                <c:pt idx="8">
                  <c:v>3.3522063205697621E-3</c:v>
                </c:pt>
                <c:pt idx="9">
                  <c:v>3.397388887533684E-3</c:v>
                </c:pt>
                <c:pt idx="10">
                  <c:v>3.4809780835934252E-3</c:v>
                </c:pt>
                <c:pt idx="11">
                  <c:v>3.5533469580508494E-3</c:v>
                </c:pt>
                <c:pt idx="12">
                  <c:v>3.6593042112460588E-3</c:v>
                </c:pt>
                <c:pt idx="13">
                  <c:v>3.6880976745584356E-3</c:v>
                </c:pt>
                <c:pt idx="14">
                  <c:v>3.6624640579420967E-3</c:v>
                </c:pt>
                <c:pt idx="15">
                  <c:v>3.62329850589806E-3</c:v>
                </c:pt>
                <c:pt idx="16">
                  <c:v>3.6641755840941957E-3</c:v>
                </c:pt>
                <c:pt idx="17">
                  <c:v>3.6458358088759745E-3</c:v>
                </c:pt>
                <c:pt idx="18">
                  <c:v>3.6799854418521935E-3</c:v>
                </c:pt>
                <c:pt idx="19">
                  <c:v>3.7355971649422198E-3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Chg_S_pos_den!$A$28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Chg_S_pos_den!$B$28:$U$28</c:f>
              <c:numCache>
                <c:formatCode>General</c:formatCode>
                <c:ptCount val="20"/>
                <c:pt idx="0">
                  <c:v>2.0224737910447478E-3</c:v>
                </c:pt>
                <c:pt idx="1">
                  <c:v>2.403274660508437E-3</c:v>
                </c:pt>
                <c:pt idx="2">
                  <c:v>2.86167262305361E-3</c:v>
                </c:pt>
                <c:pt idx="3">
                  <c:v>3.0928445367619088E-3</c:v>
                </c:pt>
                <c:pt idx="4">
                  <c:v>3.2859027276231248E-3</c:v>
                </c:pt>
                <c:pt idx="5">
                  <c:v>3.4966609080063996E-3</c:v>
                </c:pt>
                <c:pt idx="6">
                  <c:v>3.6336473601709732E-3</c:v>
                </c:pt>
                <c:pt idx="7">
                  <c:v>3.7095462086894136E-3</c:v>
                </c:pt>
                <c:pt idx="8">
                  <c:v>3.8647286339342289E-3</c:v>
                </c:pt>
                <c:pt idx="9">
                  <c:v>4.0301769364071496E-3</c:v>
                </c:pt>
                <c:pt idx="10">
                  <c:v>4.0963878028323691E-3</c:v>
                </c:pt>
                <c:pt idx="11">
                  <c:v>4.1773396354431308E-3</c:v>
                </c:pt>
                <c:pt idx="12">
                  <c:v>4.2197575847338457E-3</c:v>
                </c:pt>
                <c:pt idx="13">
                  <c:v>4.2940359471937729E-3</c:v>
                </c:pt>
                <c:pt idx="14">
                  <c:v>4.3177206105416309E-3</c:v>
                </c:pt>
                <c:pt idx="15">
                  <c:v>4.2327498979025492E-3</c:v>
                </c:pt>
                <c:pt idx="16">
                  <c:v>4.2866389500836634E-3</c:v>
                </c:pt>
                <c:pt idx="17">
                  <c:v>4.2874677619638936E-3</c:v>
                </c:pt>
                <c:pt idx="18">
                  <c:v>4.3009524961751446E-3</c:v>
                </c:pt>
                <c:pt idx="19">
                  <c:v>4.3727919515479672E-3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Chg_S_pos_den!$A$29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Chg_S_pos_den!$B$29:$U$29</c:f>
              <c:numCache>
                <c:formatCode>General</c:formatCode>
                <c:ptCount val="20"/>
                <c:pt idx="0">
                  <c:v>2.064100343414053E-3</c:v>
                </c:pt>
                <c:pt idx="1">
                  <c:v>2.3859934866891012E-3</c:v>
                </c:pt>
                <c:pt idx="2">
                  <c:v>2.7898071707911092E-3</c:v>
                </c:pt>
                <c:pt idx="3">
                  <c:v>2.8972487325778741E-3</c:v>
                </c:pt>
                <c:pt idx="4">
                  <c:v>3.1012050313704242E-3</c:v>
                </c:pt>
                <c:pt idx="5">
                  <c:v>3.2085681971707027E-3</c:v>
                </c:pt>
                <c:pt idx="6">
                  <c:v>3.2507840494088681E-3</c:v>
                </c:pt>
                <c:pt idx="7">
                  <c:v>3.2871905776562112E-3</c:v>
                </c:pt>
                <c:pt idx="8">
                  <c:v>3.3459781745326651E-3</c:v>
                </c:pt>
                <c:pt idx="9">
                  <c:v>3.3443147671871078E-3</c:v>
                </c:pt>
                <c:pt idx="10">
                  <c:v>3.3998936306113615E-3</c:v>
                </c:pt>
                <c:pt idx="11">
                  <c:v>3.4329236399477416E-3</c:v>
                </c:pt>
                <c:pt idx="12">
                  <c:v>3.3847344880167077E-3</c:v>
                </c:pt>
                <c:pt idx="13">
                  <c:v>3.3127635910936634E-3</c:v>
                </c:pt>
                <c:pt idx="14">
                  <c:v>3.2876191929208944E-3</c:v>
                </c:pt>
                <c:pt idx="15">
                  <c:v>3.3154528574375901E-3</c:v>
                </c:pt>
                <c:pt idx="16">
                  <c:v>3.3573025909452215E-3</c:v>
                </c:pt>
                <c:pt idx="17">
                  <c:v>3.3214821825297324E-3</c:v>
                </c:pt>
                <c:pt idx="18">
                  <c:v>3.4143436411038265E-3</c:v>
                </c:pt>
                <c:pt idx="19">
                  <c:v>3.4489001946108396E-3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Chg_S_pos_den!$A$30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Chg_S_pos_den!$B$30:$U$30</c:f>
              <c:numCache>
                <c:formatCode>General</c:formatCode>
                <c:ptCount val="20"/>
                <c:pt idx="0">
                  <c:v>1.6866170035226486E-3</c:v>
                </c:pt>
                <c:pt idx="1">
                  <c:v>1.8370778487389573E-3</c:v>
                </c:pt>
                <c:pt idx="2">
                  <c:v>1.9055655307196405E-3</c:v>
                </c:pt>
                <c:pt idx="3">
                  <c:v>1.8792119247876275E-3</c:v>
                </c:pt>
                <c:pt idx="4">
                  <c:v>1.8973112052580133E-3</c:v>
                </c:pt>
                <c:pt idx="5">
                  <c:v>1.8683425836030693E-3</c:v>
                </c:pt>
                <c:pt idx="6">
                  <c:v>1.8946297746399606E-3</c:v>
                </c:pt>
                <c:pt idx="7">
                  <c:v>1.9222621426378257E-3</c:v>
                </c:pt>
                <c:pt idx="8">
                  <c:v>1.9294743696252553E-3</c:v>
                </c:pt>
                <c:pt idx="9">
                  <c:v>2.0014632070391842E-3</c:v>
                </c:pt>
                <c:pt idx="10">
                  <c:v>2.0134798880764868E-3</c:v>
                </c:pt>
                <c:pt idx="11">
                  <c:v>1.8770080355527874E-3</c:v>
                </c:pt>
                <c:pt idx="12">
                  <c:v>1.8948253599168205E-3</c:v>
                </c:pt>
                <c:pt idx="13">
                  <c:v>1.8176916745449385E-3</c:v>
                </c:pt>
                <c:pt idx="14">
                  <c:v>1.7745427754236754E-3</c:v>
                </c:pt>
                <c:pt idx="15">
                  <c:v>1.7442781479859043E-3</c:v>
                </c:pt>
                <c:pt idx="16">
                  <c:v>1.7639524645341879E-3</c:v>
                </c:pt>
                <c:pt idx="17">
                  <c:v>1.7686902207255672E-3</c:v>
                </c:pt>
                <c:pt idx="18">
                  <c:v>1.776203251745872E-3</c:v>
                </c:pt>
                <c:pt idx="19">
                  <c:v>1.8221241890253013E-3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Chg_S_pos_den!$A$31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Chg_S_pos_den!$B$31:$U$31</c:f>
              <c:numCache>
                <c:formatCode>General</c:formatCode>
                <c:ptCount val="20"/>
                <c:pt idx="0">
                  <c:v>2.0696599409240272E-3</c:v>
                </c:pt>
                <c:pt idx="1">
                  <c:v>2.3512135799186639E-3</c:v>
                </c:pt>
                <c:pt idx="2">
                  <c:v>2.6442279585310062E-3</c:v>
                </c:pt>
                <c:pt idx="3">
                  <c:v>2.8413104440746075E-3</c:v>
                </c:pt>
                <c:pt idx="4">
                  <c:v>3.0849726404654863E-3</c:v>
                </c:pt>
                <c:pt idx="5">
                  <c:v>3.30758339324096E-3</c:v>
                </c:pt>
                <c:pt idx="6">
                  <c:v>3.5333307047990484E-3</c:v>
                </c:pt>
                <c:pt idx="7">
                  <c:v>3.7566454223098068E-3</c:v>
                </c:pt>
                <c:pt idx="8">
                  <c:v>3.8607479924195037E-3</c:v>
                </c:pt>
                <c:pt idx="9">
                  <c:v>3.9867468971243984E-3</c:v>
                </c:pt>
                <c:pt idx="10">
                  <c:v>4.1628743661425291E-3</c:v>
                </c:pt>
                <c:pt idx="11">
                  <c:v>4.3736577780882175E-3</c:v>
                </c:pt>
                <c:pt idx="12">
                  <c:v>4.4367945091400825E-3</c:v>
                </c:pt>
                <c:pt idx="13">
                  <c:v>4.5276659314526088E-3</c:v>
                </c:pt>
                <c:pt idx="14">
                  <c:v>4.5647917013987727E-3</c:v>
                </c:pt>
                <c:pt idx="15">
                  <c:v>4.5328582118605411E-3</c:v>
                </c:pt>
                <c:pt idx="16">
                  <c:v>4.6787515139577315E-3</c:v>
                </c:pt>
                <c:pt idx="17">
                  <c:v>4.5835558454072499E-3</c:v>
                </c:pt>
                <c:pt idx="18">
                  <c:v>4.644478160417069E-3</c:v>
                </c:pt>
                <c:pt idx="19">
                  <c:v>4.6431928238059349E-3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Chg_S_pos_den!$A$32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Chg_S_pos_den!$B$32:$U$32</c:f>
              <c:numCache>
                <c:formatCode>General</c:formatCode>
                <c:ptCount val="20"/>
                <c:pt idx="0">
                  <c:v>1.8939748631110105E-3</c:v>
                </c:pt>
                <c:pt idx="1">
                  <c:v>2.5634671453155225E-3</c:v>
                </c:pt>
                <c:pt idx="2">
                  <c:v>3.3754139632744141E-3</c:v>
                </c:pt>
                <c:pt idx="3">
                  <c:v>3.9667373942515478E-3</c:v>
                </c:pt>
                <c:pt idx="4">
                  <c:v>4.5840295940225454E-3</c:v>
                </c:pt>
                <c:pt idx="5">
                  <c:v>4.7719411751163121E-3</c:v>
                </c:pt>
                <c:pt idx="6">
                  <c:v>5.0661726061964488E-3</c:v>
                </c:pt>
                <c:pt idx="7">
                  <c:v>5.4135633539293109E-3</c:v>
                </c:pt>
                <c:pt idx="8">
                  <c:v>5.5337628462322503E-3</c:v>
                </c:pt>
                <c:pt idx="9">
                  <c:v>5.7190268931090488E-3</c:v>
                </c:pt>
                <c:pt idx="10">
                  <c:v>5.9889661641511528E-3</c:v>
                </c:pt>
                <c:pt idx="11">
                  <c:v>6.2420405800543248E-3</c:v>
                </c:pt>
                <c:pt idx="12">
                  <c:v>6.3106511626852104E-3</c:v>
                </c:pt>
                <c:pt idx="13">
                  <c:v>6.4427022415172348E-3</c:v>
                </c:pt>
                <c:pt idx="14">
                  <c:v>6.5195317527807816E-3</c:v>
                </c:pt>
                <c:pt idx="15">
                  <c:v>6.8552183159374643E-3</c:v>
                </c:pt>
                <c:pt idx="16">
                  <c:v>7.1396617028205963E-3</c:v>
                </c:pt>
                <c:pt idx="17">
                  <c:v>7.0708626546025282E-3</c:v>
                </c:pt>
                <c:pt idx="18">
                  <c:v>6.9147095363366337E-3</c:v>
                </c:pt>
                <c:pt idx="19">
                  <c:v>7.1370168218324202E-3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Chg_S_pos_den!$A$33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Chg_S_pos_den!$B$33:$U$33</c:f>
              <c:numCache>
                <c:formatCode>General</c:formatCode>
                <c:ptCount val="20"/>
                <c:pt idx="0">
                  <c:v>1.9660278798688162E-3</c:v>
                </c:pt>
                <c:pt idx="1">
                  <c:v>2.6764873824511298E-3</c:v>
                </c:pt>
                <c:pt idx="2">
                  <c:v>3.5438591574414964E-3</c:v>
                </c:pt>
                <c:pt idx="3">
                  <c:v>4.127351801154912E-3</c:v>
                </c:pt>
                <c:pt idx="4">
                  <c:v>4.3802671458038527E-3</c:v>
                </c:pt>
                <c:pt idx="5">
                  <c:v>4.7736124058922486E-3</c:v>
                </c:pt>
                <c:pt idx="6">
                  <c:v>5.0887371159622167E-3</c:v>
                </c:pt>
                <c:pt idx="7">
                  <c:v>5.4392716510419702E-3</c:v>
                </c:pt>
                <c:pt idx="8">
                  <c:v>5.6226530538627667E-3</c:v>
                </c:pt>
                <c:pt idx="9">
                  <c:v>5.8409681247126657E-3</c:v>
                </c:pt>
                <c:pt idx="10">
                  <c:v>6.0688091247105835E-3</c:v>
                </c:pt>
                <c:pt idx="11">
                  <c:v>6.2421317156258127E-3</c:v>
                </c:pt>
                <c:pt idx="12">
                  <c:v>6.4367700060798741E-3</c:v>
                </c:pt>
                <c:pt idx="13">
                  <c:v>6.6304337187913223E-3</c:v>
                </c:pt>
                <c:pt idx="14">
                  <c:v>6.7637947531525352E-3</c:v>
                </c:pt>
                <c:pt idx="15">
                  <c:v>6.7162752921849193E-3</c:v>
                </c:pt>
                <c:pt idx="16">
                  <c:v>6.7584112481579705E-3</c:v>
                </c:pt>
                <c:pt idx="17">
                  <c:v>6.8607348365860542E-3</c:v>
                </c:pt>
                <c:pt idx="18">
                  <c:v>6.9369173487406604E-3</c:v>
                </c:pt>
                <c:pt idx="19">
                  <c:v>7.0766915150381636E-3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Chg_S_pos_den!$A$34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Chg_S_pos_den!$B$34:$U$34</c:f>
              <c:numCache>
                <c:formatCode>General</c:formatCode>
                <c:ptCount val="20"/>
                <c:pt idx="0">
                  <c:v>1.9609307101244762E-3</c:v>
                </c:pt>
                <c:pt idx="1">
                  <c:v>2.6944549111566373E-3</c:v>
                </c:pt>
                <c:pt idx="2">
                  <c:v>3.4905659605832268E-3</c:v>
                </c:pt>
                <c:pt idx="3">
                  <c:v>4.081618034375083E-3</c:v>
                </c:pt>
                <c:pt idx="4">
                  <c:v>4.4370567728936336E-3</c:v>
                </c:pt>
                <c:pt idx="5">
                  <c:v>4.7656974651331795E-3</c:v>
                </c:pt>
                <c:pt idx="6">
                  <c:v>5.0707075744635512E-3</c:v>
                </c:pt>
                <c:pt idx="7">
                  <c:v>5.2613567660352101E-3</c:v>
                </c:pt>
                <c:pt idx="8">
                  <c:v>5.4656760104439331E-3</c:v>
                </c:pt>
                <c:pt idx="9">
                  <c:v>5.8169303290547944E-3</c:v>
                </c:pt>
                <c:pt idx="10">
                  <c:v>6.0282276897678346E-3</c:v>
                </c:pt>
                <c:pt idx="11">
                  <c:v>6.034483774321686E-3</c:v>
                </c:pt>
                <c:pt idx="12">
                  <c:v>6.2493310491145712E-3</c:v>
                </c:pt>
                <c:pt idx="13">
                  <c:v>6.4562880620597238E-3</c:v>
                </c:pt>
                <c:pt idx="14">
                  <c:v>6.6154012816346253E-3</c:v>
                </c:pt>
                <c:pt idx="15">
                  <c:v>6.7061394902324222E-3</c:v>
                </c:pt>
                <c:pt idx="16">
                  <c:v>6.8105676895021446E-3</c:v>
                </c:pt>
                <c:pt idx="17">
                  <c:v>6.7085440912684584E-3</c:v>
                </c:pt>
                <c:pt idx="18">
                  <c:v>6.7896820173945667E-3</c:v>
                </c:pt>
                <c:pt idx="19">
                  <c:v>6.8527517150545406E-3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Chg_S_pos_den!$A$35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Chg_S_pos_den!$B$35:$U$35</c:f>
              <c:numCache>
                <c:formatCode>General</c:formatCode>
                <c:ptCount val="20"/>
                <c:pt idx="0">
                  <c:v>1.7713535283704657E-3</c:v>
                </c:pt>
                <c:pt idx="1">
                  <c:v>1.996204734679507E-3</c:v>
                </c:pt>
                <c:pt idx="2">
                  <c:v>2.2781734774952544E-3</c:v>
                </c:pt>
                <c:pt idx="3">
                  <c:v>2.4598821900257452E-3</c:v>
                </c:pt>
                <c:pt idx="4">
                  <c:v>2.6001747370258152E-3</c:v>
                </c:pt>
                <c:pt idx="5">
                  <c:v>2.6871125064374555E-3</c:v>
                </c:pt>
                <c:pt idx="6">
                  <c:v>2.8664515734241626E-3</c:v>
                </c:pt>
                <c:pt idx="7">
                  <c:v>2.9456536546034347E-3</c:v>
                </c:pt>
                <c:pt idx="8">
                  <c:v>3.0302636649987206E-3</c:v>
                </c:pt>
                <c:pt idx="9">
                  <c:v>3.0781561118368075E-3</c:v>
                </c:pt>
                <c:pt idx="10">
                  <c:v>3.1052484843612765E-3</c:v>
                </c:pt>
                <c:pt idx="11">
                  <c:v>3.0801910440192617E-3</c:v>
                </c:pt>
                <c:pt idx="12">
                  <c:v>3.074936377178419E-3</c:v>
                </c:pt>
                <c:pt idx="13">
                  <c:v>3.0915962016526835E-3</c:v>
                </c:pt>
                <c:pt idx="14">
                  <c:v>3.1172115949327367E-3</c:v>
                </c:pt>
                <c:pt idx="15">
                  <c:v>3.1410254671838372E-3</c:v>
                </c:pt>
                <c:pt idx="16">
                  <c:v>3.1679283207293437E-3</c:v>
                </c:pt>
                <c:pt idx="17">
                  <c:v>3.2875250291193991E-3</c:v>
                </c:pt>
                <c:pt idx="18">
                  <c:v>3.3081593993468552E-3</c:v>
                </c:pt>
                <c:pt idx="19">
                  <c:v>3.3149623877958656E-3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Chg_S_pos_den!$A$36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Chg_S_pos_den!$B$36:$U$36</c:f>
              <c:numCache>
                <c:formatCode>General</c:formatCode>
                <c:ptCount val="20"/>
                <c:pt idx="0">
                  <c:v>1.7955291746669945E-3</c:v>
                </c:pt>
                <c:pt idx="1">
                  <c:v>2.049162976281901E-3</c:v>
                </c:pt>
                <c:pt idx="2">
                  <c:v>2.3944985776684457E-3</c:v>
                </c:pt>
                <c:pt idx="3">
                  <c:v>2.6201531703726124E-3</c:v>
                </c:pt>
                <c:pt idx="4">
                  <c:v>2.8181477751744594E-3</c:v>
                </c:pt>
                <c:pt idx="5">
                  <c:v>2.9884725385195291E-3</c:v>
                </c:pt>
                <c:pt idx="6">
                  <c:v>3.1340449253748973E-3</c:v>
                </c:pt>
                <c:pt idx="7">
                  <c:v>3.2581784399517348E-3</c:v>
                </c:pt>
                <c:pt idx="8">
                  <c:v>3.2848305110645629E-3</c:v>
                </c:pt>
                <c:pt idx="9">
                  <c:v>3.4189117545522789E-3</c:v>
                </c:pt>
                <c:pt idx="10">
                  <c:v>3.4545517732579023E-3</c:v>
                </c:pt>
                <c:pt idx="11">
                  <c:v>3.4909554784085168E-3</c:v>
                </c:pt>
                <c:pt idx="12">
                  <c:v>3.5890212931059102E-3</c:v>
                </c:pt>
                <c:pt idx="13">
                  <c:v>3.5705848877344258E-3</c:v>
                </c:pt>
                <c:pt idx="14">
                  <c:v>3.5501172415809143E-3</c:v>
                </c:pt>
                <c:pt idx="15">
                  <c:v>3.5877789867906655E-3</c:v>
                </c:pt>
                <c:pt idx="16">
                  <c:v>3.6139650099703199E-3</c:v>
                </c:pt>
                <c:pt idx="17">
                  <c:v>3.6630558008295057E-3</c:v>
                </c:pt>
                <c:pt idx="18">
                  <c:v>3.629191389529168E-3</c:v>
                </c:pt>
                <c:pt idx="19">
                  <c:v>3.6191655522970481E-3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Chg_S_pos_den!$A$37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Chg_S_pos_den!$B$2:$U$2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Chg_S_pos_den!$B$37:$U$37</c:f>
              <c:numCache>
                <c:formatCode>General</c:formatCode>
                <c:ptCount val="20"/>
                <c:pt idx="0">
                  <c:v>2.0098009093084471E-3</c:v>
                </c:pt>
                <c:pt idx="1">
                  <c:v>2.3133651510412871E-3</c:v>
                </c:pt>
                <c:pt idx="2">
                  <c:v>2.7814639050902962E-3</c:v>
                </c:pt>
                <c:pt idx="3">
                  <c:v>3.143153651384786E-3</c:v>
                </c:pt>
                <c:pt idx="4">
                  <c:v>3.4416673825899348E-3</c:v>
                </c:pt>
                <c:pt idx="5">
                  <c:v>3.6991391228261409E-3</c:v>
                </c:pt>
                <c:pt idx="6">
                  <c:v>3.8562616023290718E-3</c:v>
                </c:pt>
                <c:pt idx="7">
                  <c:v>3.9593047606987994E-3</c:v>
                </c:pt>
                <c:pt idx="8">
                  <c:v>4.0020018817270306E-3</c:v>
                </c:pt>
                <c:pt idx="9">
                  <c:v>4.0521425415100398E-3</c:v>
                </c:pt>
                <c:pt idx="10">
                  <c:v>4.0949099104967621E-3</c:v>
                </c:pt>
                <c:pt idx="11">
                  <c:v>4.0662402272138862E-3</c:v>
                </c:pt>
                <c:pt idx="12">
                  <c:v>4.0900900273996427E-3</c:v>
                </c:pt>
                <c:pt idx="13">
                  <c:v>4.0690211732870175E-3</c:v>
                </c:pt>
                <c:pt idx="14">
                  <c:v>4.1220550786638171E-3</c:v>
                </c:pt>
                <c:pt idx="15">
                  <c:v>4.0929739949008542E-3</c:v>
                </c:pt>
                <c:pt idx="16">
                  <c:v>4.0733558511736176E-3</c:v>
                </c:pt>
                <c:pt idx="17">
                  <c:v>4.1360873112521214E-3</c:v>
                </c:pt>
                <c:pt idx="18">
                  <c:v>4.2419073200672145E-3</c:v>
                </c:pt>
                <c:pt idx="19">
                  <c:v>4.2788515562292113E-3</c:v>
                </c:pt>
              </c:numCache>
            </c:numRef>
          </c:yVal>
          <c:smooth val="1"/>
        </c:ser>
        <c:axId val="98715136"/>
        <c:axId val="98717056"/>
      </c:scatterChart>
      <c:valAx>
        <c:axId val="9871513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717056"/>
        <c:crosses val="autoZero"/>
        <c:crossBetween val="midCat"/>
      </c:valAx>
      <c:valAx>
        <c:axId val="98717056"/>
        <c:scaling>
          <c:orientation val="minMax"/>
        </c:scaling>
        <c:axPos val="l"/>
        <c:numFmt formatCode="General" sourceLinked="1"/>
        <c:tickLblPos val="nextTo"/>
        <c:crossAx val="987151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830522973181609"/>
          <c:y val="7.9861475648877231E-2"/>
          <c:w val="0.24137784843667195"/>
          <c:h val="0.86590167849130595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Chg_T_neg!$B$3:$U$3</c:f>
              <c:numCache>
                <c:formatCode>General</c:formatCode>
                <c:ptCount val="20"/>
                <c:pt idx="0">
                  <c:v>-15.799189999999999</c:v>
                </c:pt>
                <c:pt idx="1">
                  <c:v>-10.694900000000001</c:v>
                </c:pt>
                <c:pt idx="2">
                  <c:v>-6.7988619999999997</c:v>
                </c:pt>
                <c:pt idx="3">
                  <c:v>-4.7622039999999997</c:v>
                </c:pt>
                <c:pt idx="4">
                  <c:v>-3.6246399999999999</c:v>
                </c:pt>
                <c:pt idx="5">
                  <c:v>-2.928442</c:v>
                </c:pt>
                <c:pt idx="6">
                  <c:v>-2.44041</c:v>
                </c:pt>
                <c:pt idx="7">
                  <c:v>-2.1214189999999999</c:v>
                </c:pt>
                <c:pt idx="8">
                  <c:v>-1.831936</c:v>
                </c:pt>
                <c:pt idx="9">
                  <c:v>-1.5913060000000001</c:v>
                </c:pt>
                <c:pt idx="10">
                  <c:v>-1.441689</c:v>
                </c:pt>
                <c:pt idx="11">
                  <c:v>-1.3367720000000001</c:v>
                </c:pt>
                <c:pt idx="12">
                  <c:v>-1.231409</c:v>
                </c:pt>
                <c:pt idx="13">
                  <c:v>-1.134501</c:v>
                </c:pt>
                <c:pt idx="14">
                  <c:v>-1.043561</c:v>
                </c:pt>
                <c:pt idx="15">
                  <c:v>-0.98653550000000001</c:v>
                </c:pt>
                <c:pt idx="16">
                  <c:v>-0.91894169999999997</c:v>
                </c:pt>
                <c:pt idx="17">
                  <c:v>-0.87243309999999996</c:v>
                </c:pt>
                <c:pt idx="18">
                  <c:v>-0.84412339999999997</c:v>
                </c:pt>
                <c:pt idx="19">
                  <c:v>-0.7932321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Chg_T_neg!$B$21:$U$21</c:f>
              <c:numCache>
                <c:formatCode>General</c:formatCode>
                <c:ptCount val="20"/>
                <c:pt idx="0">
                  <c:v>-53.038350000000001</c:v>
                </c:pt>
                <c:pt idx="1">
                  <c:v>-34.093679999999999</c:v>
                </c:pt>
                <c:pt idx="2">
                  <c:v>-20.323899999999998</c:v>
                </c:pt>
                <c:pt idx="3">
                  <c:v>-13.5402</c:v>
                </c:pt>
                <c:pt idx="4">
                  <c:v>-9.9595369999999992</c:v>
                </c:pt>
                <c:pt idx="5">
                  <c:v>-7.5927720000000001</c:v>
                </c:pt>
                <c:pt idx="6">
                  <c:v>-6.1892569999999996</c:v>
                </c:pt>
                <c:pt idx="7">
                  <c:v>-5.1735239999999996</c:v>
                </c:pt>
                <c:pt idx="8">
                  <c:v>-4.4453370000000003</c:v>
                </c:pt>
                <c:pt idx="9">
                  <c:v>-3.8485140000000002</c:v>
                </c:pt>
                <c:pt idx="10">
                  <c:v>-3.422946</c:v>
                </c:pt>
                <c:pt idx="11">
                  <c:v>-3.063631</c:v>
                </c:pt>
                <c:pt idx="12">
                  <c:v>-2.8129780000000002</c:v>
                </c:pt>
                <c:pt idx="13">
                  <c:v>-2.5971489999999999</c:v>
                </c:pt>
                <c:pt idx="14">
                  <c:v>-2.3975759999999999</c:v>
                </c:pt>
                <c:pt idx="15">
                  <c:v>-2.2418849999999999</c:v>
                </c:pt>
                <c:pt idx="16">
                  <c:v>-2.090195</c:v>
                </c:pt>
                <c:pt idx="17">
                  <c:v>-1.9746440000000001</c:v>
                </c:pt>
                <c:pt idx="18">
                  <c:v>-1.829243</c:v>
                </c:pt>
                <c:pt idx="19">
                  <c:v>-1.6985490000000001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Chg_T_neg!$B$37:$U$37</c:f>
              <c:numCache>
                <c:formatCode>General</c:formatCode>
                <c:ptCount val="20"/>
                <c:pt idx="0">
                  <c:v>-136.49109999999999</c:v>
                </c:pt>
                <c:pt idx="1">
                  <c:v>-89.574479999999994</c:v>
                </c:pt>
                <c:pt idx="2">
                  <c:v>-53.381970000000003</c:v>
                </c:pt>
                <c:pt idx="3">
                  <c:v>-35.345190000000002</c:v>
                </c:pt>
                <c:pt idx="4">
                  <c:v>-25.61018</c:v>
                </c:pt>
                <c:pt idx="5">
                  <c:v>-19.55179</c:v>
                </c:pt>
                <c:pt idx="6">
                  <c:v>-15.44666</c:v>
                </c:pt>
                <c:pt idx="7">
                  <c:v>-12.81317</c:v>
                </c:pt>
                <c:pt idx="8">
                  <c:v>-10.827730000000001</c:v>
                </c:pt>
                <c:pt idx="9">
                  <c:v>-9.2565760000000008</c:v>
                </c:pt>
                <c:pt idx="10">
                  <c:v>-8.1134360000000001</c:v>
                </c:pt>
                <c:pt idx="11">
                  <c:v>-7.1471920000000004</c:v>
                </c:pt>
                <c:pt idx="12">
                  <c:v>-6.3852000000000002</c:v>
                </c:pt>
                <c:pt idx="13">
                  <c:v>-5.7773389999999996</c:v>
                </c:pt>
                <c:pt idx="14">
                  <c:v>-5.2375080000000001</c:v>
                </c:pt>
                <c:pt idx="15">
                  <c:v>-4.7901030000000002</c:v>
                </c:pt>
                <c:pt idx="16">
                  <c:v>-4.4689439999999996</c:v>
                </c:pt>
                <c:pt idx="17">
                  <c:v>-4.1550589999999996</c:v>
                </c:pt>
                <c:pt idx="18">
                  <c:v>-3.852239</c:v>
                </c:pt>
                <c:pt idx="19">
                  <c:v>-3.5968260000000001</c:v>
                </c:pt>
              </c:numCache>
            </c:numRef>
          </c:yVal>
          <c:smooth val="1"/>
        </c:ser>
        <c:axId val="98948224"/>
        <c:axId val="98950144"/>
      </c:scatterChart>
      <c:valAx>
        <c:axId val="9894822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950144"/>
        <c:crosses val="autoZero"/>
        <c:crossBetween val="midCat"/>
      </c:valAx>
      <c:valAx>
        <c:axId val="98950144"/>
        <c:scaling>
          <c:orientation val="minMax"/>
        </c:scaling>
        <c:axPos val="l"/>
        <c:numFmt formatCode="General" sourceLinked="1"/>
        <c:tickLblPos val="nextTo"/>
        <c:crossAx val="98948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Chg_T_neg!$A$3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Chg_T_neg!$B$3:$U$3</c:f>
              <c:numCache>
                <c:formatCode>General</c:formatCode>
                <c:ptCount val="20"/>
                <c:pt idx="0">
                  <c:v>-15.799189999999999</c:v>
                </c:pt>
                <c:pt idx="1">
                  <c:v>-10.694900000000001</c:v>
                </c:pt>
                <c:pt idx="2">
                  <c:v>-6.7988619999999997</c:v>
                </c:pt>
                <c:pt idx="3">
                  <c:v>-4.7622039999999997</c:v>
                </c:pt>
                <c:pt idx="4">
                  <c:v>-3.6246399999999999</c:v>
                </c:pt>
                <c:pt idx="5">
                  <c:v>-2.928442</c:v>
                </c:pt>
                <c:pt idx="6">
                  <c:v>-2.44041</c:v>
                </c:pt>
                <c:pt idx="7">
                  <c:v>-2.1214189999999999</c:v>
                </c:pt>
                <c:pt idx="8">
                  <c:v>-1.831936</c:v>
                </c:pt>
                <c:pt idx="9">
                  <c:v>-1.5913060000000001</c:v>
                </c:pt>
                <c:pt idx="10">
                  <c:v>-1.441689</c:v>
                </c:pt>
                <c:pt idx="11">
                  <c:v>-1.3367720000000001</c:v>
                </c:pt>
                <c:pt idx="12">
                  <c:v>-1.231409</c:v>
                </c:pt>
                <c:pt idx="13">
                  <c:v>-1.134501</c:v>
                </c:pt>
                <c:pt idx="14">
                  <c:v>-1.043561</c:v>
                </c:pt>
                <c:pt idx="15">
                  <c:v>-0.98653550000000001</c:v>
                </c:pt>
                <c:pt idx="16">
                  <c:v>-0.91894169999999997</c:v>
                </c:pt>
                <c:pt idx="17">
                  <c:v>-0.87243309999999996</c:v>
                </c:pt>
                <c:pt idx="18">
                  <c:v>-0.84412339999999997</c:v>
                </c:pt>
                <c:pt idx="19">
                  <c:v>-0.7932321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Chg_T_neg!$A$4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Chg_T_neg!$B$4:$U$4</c:f>
              <c:numCache>
                <c:formatCode>General</c:formatCode>
                <c:ptCount val="20"/>
                <c:pt idx="0">
                  <c:v>-19.900670000000002</c:v>
                </c:pt>
                <c:pt idx="1">
                  <c:v>-13.63463</c:v>
                </c:pt>
                <c:pt idx="2">
                  <c:v>-8.3348619999999993</c:v>
                </c:pt>
                <c:pt idx="3">
                  <c:v>-5.7701989999999999</c:v>
                </c:pt>
                <c:pt idx="4">
                  <c:v>-4.352017</c:v>
                </c:pt>
                <c:pt idx="5">
                  <c:v>-3.433656</c:v>
                </c:pt>
                <c:pt idx="6">
                  <c:v>-2.941182</c:v>
                </c:pt>
                <c:pt idx="7">
                  <c:v>-2.4729130000000001</c:v>
                </c:pt>
                <c:pt idx="8">
                  <c:v>-2.1819449999999998</c:v>
                </c:pt>
                <c:pt idx="9">
                  <c:v>-1.936628</c:v>
                </c:pt>
                <c:pt idx="10">
                  <c:v>-1.746586</c:v>
                </c:pt>
                <c:pt idx="11">
                  <c:v>-1.5554410000000001</c:v>
                </c:pt>
                <c:pt idx="12">
                  <c:v>-1.4414819999999999</c:v>
                </c:pt>
                <c:pt idx="13">
                  <c:v>-1.3371679999999999</c:v>
                </c:pt>
                <c:pt idx="14">
                  <c:v>-1.2413000000000001</c:v>
                </c:pt>
                <c:pt idx="15">
                  <c:v>-1.1708179999999999</c:v>
                </c:pt>
                <c:pt idx="16">
                  <c:v>-1.104052</c:v>
                </c:pt>
                <c:pt idx="17">
                  <c:v>-1.051134</c:v>
                </c:pt>
                <c:pt idx="18">
                  <c:v>-1.0072110000000001</c:v>
                </c:pt>
                <c:pt idx="19">
                  <c:v>-0.97105710000000001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Chg_T_neg!$A$5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Chg_T_neg!$B$5:$U$5</c:f>
              <c:numCache>
                <c:formatCode>General</c:formatCode>
                <c:ptCount val="20"/>
                <c:pt idx="0">
                  <c:v>-36.546059999999997</c:v>
                </c:pt>
                <c:pt idx="1">
                  <c:v>-25.303049999999999</c:v>
                </c:pt>
                <c:pt idx="2">
                  <c:v>-16.691459999999999</c:v>
                </c:pt>
                <c:pt idx="3">
                  <c:v>-12.11712</c:v>
                </c:pt>
                <c:pt idx="4">
                  <c:v>-9.4130800000000008</c:v>
                </c:pt>
                <c:pt idx="5">
                  <c:v>-7.5029539999999999</c:v>
                </c:pt>
                <c:pt idx="6">
                  <c:v>-6.132142</c:v>
                </c:pt>
                <c:pt idx="7">
                  <c:v>-5.2534660000000004</c:v>
                </c:pt>
                <c:pt idx="8">
                  <c:v>-4.6832000000000003</c:v>
                </c:pt>
                <c:pt idx="9">
                  <c:v>-4.1247410000000002</c:v>
                </c:pt>
                <c:pt idx="10">
                  <c:v>-3.7662040000000001</c:v>
                </c:pt>
                <c:pt idx="11">
                  <c:v>-3.426517</c:v>
                </c:pt>
                <c:pt idx="12">
                  <c:v>-3.1342029999999999</c:v>
                </c:pt>
                <c:pt idx="13">
                  <c:v>-2.9433379999999998</c:v>
                </c:pt>
                <c:pt idx="14">
                  <c:v>-2.7747929999999998</c:v>
                </c:pt>
                <c:pt idx="15">
                  <c:v>-2.5635940000000002</c:v>
                </c:pt>
                <c:pt idx="16">
                  <c:v>-2.3818169999999999</c:v>
                </c:pt>
                <c:pt idx="17">
                  <c:v>-2.2603070000000001</c:v>
                </c:pt>
                <c:pt idx="18">
                  <c:v>-2.1618659999999998</c:v>
                </c:pt>
                <c:pt idx="19">
                  <c:v>-2.0606719999999998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Chg_T_neg!$A$6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Chg_T_neg!$B$6:$U$6</c:f>
              <c:numCache>
                <c:formatCode>General</c:formatCode>
                <c:ptCount val="20"/>
                <c:pt idx="0">
                  <c:v>-11.063739999999999</c:v>
                </c:pt>
                <c:pt idx="1">
                  <c:v>-6.3908769999999997</c:v>
                </c:pt>
                <c:pt idx="2">
                  <c:v>-3.6437279999999999</c:v>
                </c:pt>
                <c:pt idx="3">
                  <c:v>-2.4801549999999999</c:v>
                </c:pt>
                <c:pt idx="4">
                  <c:v>-1.806624</c:v>
                </c:pt>
                <c:pt idx="5">
                  <c:v>-1.41106</c:v>
                </c:pt>
                <c:pt idx="6">
                  <c:v>-1.1270180000000001</c:v>
                </c:pt>
                <c:pt idx="7">
                  <c:v>-0.94133500000000003</c:v>
                </c:pt>
                <c:pt idx="8">
                  <c:v>-0.82815899999999998</c:v>
                </c:pt>
                <c:pt idx="9">
                  <c:v>-0.72827039999999998</c:v>
                </c:pt>
                <c:pt idx="10">
                  <c:v>-0.65802309999999997</c:v>
                </c:pt>
                <c:pt idx="11">
                  <c:v>-0.58755970000000002</c:v>
                </c:pt>
                <c:pt idx="12">
                  <c:v>-0.55776009999999998</c:v>
                </c:pt>
                <c:pt idx="13">
                  <c:v>-0.50737860000000001</c:v>
                </c:pt>
                <c:pt idx="14">
                  <c:v>-0.47616140000000001</c:v>
                </c:pt>
                <c:pt idx="15">
                  <c:v>-0.42828100000000002</c:v>
                </c:pt>
                <c:pt idx="16">
                  <c:v>-0.41632609999999998</c:v>
                </c:pt>
                <c:pt idx="17">
                  <c:v>-0.39600550000000001</c:v>
                </c:pt>
                <c:pt idx="18">
                  <c:v>-0.36294650000000001</c:v>
                </c:pt>
                <c:pt idx="19">
                  <c:v>-0.34640080000000001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Chg_T_neg!$A$7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Chg_T_neg!$B$7:$U$7</c:f>
              <c:numCache>
                <c:formatCode>General</c:formatCode>
                <c:ptCount val="20"/>
                <c:pt idx="0">
                  <c:v>-11.0059</c:v>
                </c:pt>
                <c:pt idx="1">
                  <c:v>-6.3293290000000004</c:v>
                </c:pt>
                <c:pt idx="2">
                  <c:v>-3.6326710000000002</c:v>
                </c:pt>
                <c:pt idx="3">
                  <c:v>-2.4584830000000002</c:v>
                </c:pt>
                <c:pt idx="4">
                  <c:v>-1.8190679999999999</c:v>
                </c:pt>
                <c:pt idx="5">
                  <c:v>-1.4503509999999999</c:v>
                </c:pt>
                <c:pt idx="6">
                  <c:v>-1.182053</c:v>
                </c:pt>
                <c:pt idx="7">
                  <c:v>-1.0039549999999999</c:v>
                </c:pt>
                <c:pt idx="8">
                  <c:v>-0.89964390000000005</c:v>
                </c:pt>
                <c:pt idx="9">
                  <c:v>-0.8025622</c:v>
                </c:pt>
                <c:pt idx="10">
                  <c:v>-0.68771559999999998</c:v>
                </c:pt>
                <c:pt idx="11">
                  <c:v>-0.63312250000000003</c:v>
                </c:pt>
                <c:pt idx="12">
                  <c:v>-0.55319229999999997</c:v>
                </c:pt>
                <c:pt idx="13">
                  <c:v>-0.51650759999999996</c:v>
                </c:pt>
                <c:pt idx="14">
                  <c:v>-0.4772864</c:v>
                </c:pt>
                <c:pt idx="15">
                  <c:v>-0.45276889999999997</c:v>
                </c:pt>
                <c:pt idx="16">
                  <c:v>-0.43104880000000001</c:v>
                </c:pt>
                <c:pt idx="17">
                  <c:v>-0.38690219999999997</c:v>
                </c:pt>
                <c:pt idx="18">
                  <c:v>-0.37015720000000002</c:v>
                </c:pt>
                <c:pt idx="19">
                  <c:v>-0.35970679999999999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Chg_T_neg!$A$8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Chg_T_neg!$B$8:$U$8</c:f>
              <c:numCache>
                <c:formatCode>General</c:formatCode>
                <c:ptCount val="20"/>
                <c:pt idx="0">
                  <c:v>-11.781040000000001</c:v>
                </c:pt>
                <c:pt idx="1">
                  <c:v>-6.9610019999999997</c:v>
                </c:pt>
                <c:pt idx="2">
                  <c:v>-3.870714</c:v>
                </c:pt>
                <c:pt idx="3">
                  <c:v>-2.6581809999999999</c:v>
                </c:pt>
                <c:pt idx="4">
                  <c:v>-1.9465710000000001</c:v>
                </c:pt>
                <c:pt idx="5">
                  <c:v>-1.509107</c:v>
                </c:pt>
                <c:pt idx="6">
                  <c:v>-1.22279</c:v>
                </c:pt>
                <c:pt idx="7">
                  <c:v>-1.0172669999999999</c:v>
                </c:pt>
                <c:pt idx="8">
                  <c:v>-0.89634190000000002</c:v>
                </c:pt>
                <c:pt idx="9">
                  <c:v>-0.77664129999999998</c:v>
                </c:pt>
                <c:pt idx="10">
                  <c:v>-0.69598369999999998</c:v>
                </c:pt>
                <c:pt idx="11">
                  <c:v>-0.64092959999999999</c:v>
                </c:pt>
                <c:pt idx="12">
                  <c:v>-0.57195569999999996</c:v>
                </c:pt>
                <c:pt idx="13">
                  <c:v>-0.51499470000000003</c:v>
                </c:pt>
                <c:pt idx="14">
                  <c:v>-0.45633469999999998</c:v>
                </c:pt>
                <c:pt idx="15">
                  <c:v>-0.4241489</c:v>
                </c:pt>
                <c:pt idx="16">
                  <c:v>-0.39632899999999999</c:v>
                </c:pt>
                <c:pt idx="17">
                  <c:v>-0.36496580000000001</c:v>
                </c:pt>
                <c:pt idx="18">
                  <c:v>-0.34555560000000002</c:v>
                </c:pt>
                <c:pt idx="19">
                  <c:v>-0.32712960000000002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Chg_T_neg!$A$9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Chg_T_neg!$B$9:$U$9</c:f>
              <c:numCache>
                <c:formatCode>General</c:formatCode>
                <c:ptCount val="20"/>
                <c:pt idx="0">
                  <c:v>-11.36872</c:v>
                </c:pt>
                <c:pt idx="1">
                  <c:v>-6.7194130000000003</c:v>
                </c:pt>
                <c:pt idx="2">
                  <c:v>-3.774473</c:v>
                </c:pt>
                <c:pt idx="3">
                  <c:v>-2.5017100000000001</c:v>
                </c:pt>
                <c:pt idx="4">
                  <c:v>-1.8555330000000001</c:v>
                </c:pt>
                <c:pt idx="5">
                  <c:v>-1.4143680000000001</c:v>
                </c:pt>
                <c:pt idx="6">
                  <c:v>-1.181983</c:v>
                </c:pt>
                <c:pt idx="7">
                  <c:v>-1.007406</c:v>
                </c:pt>
                <c:pt idx="8">
                  <c:v>-0.86147399999999996</c:v>
                </c:pt>
                <c:pt idx="9">
                  <c:v>-0.76050169999999995</c:v>
                </c:pt>
                <c:pt idx="10">
                  <c:v>-0.67746289999999998</c:v>
                </c:pt>
                <c:pt idx="11">
                  <c:v>-0.59840720000000003</c:v>
                </c:pt>
                <c:pt idx="12">
                  <c:v>-0.55382969999999998</c:v>
                </c:pt>
                <c:pt idx="13">
                  <c:v>-0.50523220000000002</c:v>
                </c:pt>
                <c:pt idx="14">
                  <c:v>-0.47406910000000002</c:v>
                </c:pt>
                <c:pt idx="15">
                  <c:v>-0.44006499999999998</c:v>
                </c:pt>
                <c:pt idx="16">
                  <c:v>-0.4019084</c:v>
                </c:pt>
                <c:pt idx="17">
                  <c:v>-0.37755300000000003</c:v>
                </c:pt>
                <c:pt idx="18">
                  <c:v>-0.34681190000000001</c:v>
                </c:pt>
                <c:pt idx="19">
                  <c:v>-0.33464389999999999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Chg_T_neg!$A$10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Chg_T_neg!$B$10:$U$10</c:f>
              <c:numCache>
                <c:formatCode>General</c:formatCode>
                <c:ptCount val="20"/>
                <c:pt idx="0">
                  <c:v>-16.45635</c:v>
                </c:pt>
                <c:pt idx="1">
                  <c:v>-9.5047119999999996</c:v>
                </c:pt>
                <c:pt idx="2">
                  <c:v>-5.2762469999999997</c:v>
                </c:pt>
                <c:pt idx="3">
                  <c:v>-3.5009519999999998</c:v>
                </c:pt>
                <c:pt idx="4">
                  <c:v>-2.495746</c:v>
                </c:pt>
                <c:pt idx="5">
                  <c:v>-1.931435</c:v>
                </c:pt>
                <c:pt idx="6">
                  <c:v>-1.528302</c:v>
                </c:pt>
                <c:pt idx="7">
                  <c:v>-1.260753</c:v>
                </c:pt>
                <c:pt idx="8">
                  <c:v>-1.1140479999999999</c:v>
                </c:pt>
                <c:pt idx="9">
                  <c:v>-0.98345260000000001</c:v>
                </c:pt>
                <c:pt idx="10">
                  <c:v>-0.90319660000000002</c:v>
                </c:pt>
                <c:pt idx="11">
                  <c:v>-0.79985550000000005</c:v>
                </c:pt>
                <c:pt idx="12">
                  <c:v>-0.7292286</c:v>
                </c:pt>
                <c:pt idx="13">
                  <c:v>-0.64278480000000005</c:v>
                </c:pt>
                <c:pt idx="14">
                  <c:v>-0.60358889999999998</c:v>
                </c:pt>
                <c:pt idx="15">
                  <c:v>-0.5593861</c:v>
                </c:pt>
                <c:pt idx="16">
                  <c:v>-0.52277549999999995</c:v>
                </c:pt>
                <c:pt idx="17">
                  <c:v>-0.47776220000000003</c:v>
                </c:pt>
                <c:pt idx="18">
                  <c:v>-0.45642680000000002</c:v>
                </c:pt>
                <c:pt idx="19">
                  <c:v>-0.4278826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Chg_T_neg!$A$11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Chg_T_neg!$B$11:$U$11</c:f>
              <c:numCache>
                <c:formatCode>General</c:formatCode>
                <c:ptCount val="20"/>
                <c:pt idx="0">
                  <c:v>-16.824960000000001</c:v>
                </c:pt>
                <c:pt idx="1">
                  <c:v>-9.8782180000000004</c:v>
                </c:pt>
                <c:pt idx="2">
                  <c:v>-5.5313699999999999</c:v>
                </c:pt>
                <c:pt idx="3">
                  <c:v>-3.67747</c:v>
                </c:pt>
                <c:pt idx="4">
                  <c:v>-2.7208389999999998</c:v>
                </c:pt>
                <c:pt idx="5">
                  <c:v>-2.161975</c:v>
                </c:pt>
                <c:pt idx="6">
                  <c:v>-1.7473860000000001</c:v>
                </c:pt>
                <c:pt idx="7">
                  <c:v>-1.4311799999999999</c:v>
                </c:pt>
                <c:pt idx="8">
                  <c:v>-1.244734</c:v>
                </c:pt>
                <c:pt idx="9">
                  <c:v>-1.0431379999999999</c:v>
                </c:pt>
                <c:pt idx="10">
                  <c:v>-0.96160970000000001</c:v>
                </c:pt>
                <c:pt idx="11">
                  <c:v>-0.85053259999999997</c:v>
                </c:pt>
                <c:pt idx="12">
                  <c:v>-0.75611419999999996</c:v>
                </c:pt>
                <c:pt idx="13">
                  <c:v>-0.69112589999999996</c:v>
                </c:pt>
                <c:pt idx="14">
                  <c:v>-0.65828679999999995</c:v>
                </c:pt>
                <c:pt idx="15">
                  <c:v>-0.58271600000000001</c:v>
                </c:pt>
                <c:pt idx="16">
                  <c:v>-0.55231609999999998</c:v>
                </c:pt>
                <c:pt idx="17">
                  <c:v>-0.5196636</c:v>
                </c:pt>
                <c:pt idx="18">
                  <c:v>-0.48652020000000001</c:v>
                </c:pt>
                <c:pt idx="19">
                  <c:v>-0.47737659999999998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Chg_T_neg!$A$12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Chg_T_neg!$B$12:$U$12</c:f>
              <c:numCache>
                <c:formatCode>General</c:formatCode>
                <c:ptCount val="20"/>
                <c:pt idx="0">
                  <c:v>-13.00731</c:v>
                </c:pt>
                <c:pt idx="1">
                  <c:v>-7.7629299999999999</c:v>
                </c:pt>
                <c:pt idx="2">
                  <c:v>-4.5430849999999996</c:v>
                </c:pt>
                <c:pt idx="3">
                  <c:v>-3.1200079999999999</c:v>
                </c:pt>
                <c:pt idx="4">
                  <c:v>-2.3000349999999998</c:v>
                </c:pt>
                <c:pt idx="5">
                  <c:v>-1.796009</c:v>
                </c:pt>
                <c:pt idx="6">
                  <c:v>-1.546894</c:v>
                </c:pt>
                <c:pt idx="7">
                  <c:v>-1.3085340000000001</c:v>
                </c:pt>
                <c:pt idx="8">
                  <c:v>-1.137764</c:v>
                </c:pt>
                <c:pt idx="9">
                  <c:v>-1.0310029999999999</c:v>
                </c:pt>
                <c:pt idx="10">
                  <c:v>-0.94539399999999996</c:v>
                </c:pt>
                <c:pt idx="11">
                  <c:v>-0.88384209999999996</c:v>
                </c:pt>
                <c:pt idx="12">
                  <c:v>-0.80243909999999996</c:v>
                </c:pt>
                <c:pt idx="13">
                  <c:v>-0.73615520000000001</c:v>
                </c:pt>
                <c:pt idx="14">
                  <c:v>-0.67198440000000004</c:v>
                </c:pt>
                <c:pt idx="15">
                  <c:v>-0.63209490000000002</c:v>
                </c:pt>
                <c:pt idx="16">
                  <c:v>-0.60277420000000004</c:v>
                </c:pt>
                <c:pt idx="17">
                  <c:v>-0.56246260000000003</c:v>
                </c:pt>
                <c:pt idx="18">
                  <c:v>-0.53240940000000003</c:v>
                </c:pt>
                <c:pt idx="19">
                  <c:v>-0.50987780000000005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Chg_T_neg!$A$13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Chg_T_neg!$B$13:$U$13</c:f>
              <c:numCache>
                <c:formatCode>General</c:formatCode>
                <c:ptCount val="20"/>
                <c:pt idx="0">
                  <c:v>-12.8895</c:v>
                </c:pt>
                <c:pt idx="1">
                  <c:v>-7.7575789999999998</c:v>
                </c:pt>
                <c:pt idx="2">
                  <c:v>-4.5836170000000003</c:v>
                </c:pt>
                <c:pt idx="3">
                  <c:v>-3.1301220000000001</c:v>
                </c:pt>
                <c:pt idx="4">
                  <c:v>-2.3712559999999998</c:v>
                </c:pt>
                <c:pt idx="5">
                  <c:v>-1.8755580000000001</c:v>
                </c:pt>
                <c:pt idx="6">
                  <c:v>-1.5470809999999999</c:v>
                </c:pt>
                <c:pt idx="7">
                  <c:v>-1.3161849999999999</c:v>
                </c:pt>
                <c:pt idx="8">
                  <c:v>-1.135618</c:v>
                </c:pt>
                <c:pt idx="9">
                  <c:v>-1.023806</c:v>
                </c:pt>
                <c:pt idx="10">
                  <c:v>-0.92450739999999998</c:v>
                </c:pt>
                <c:pt idx="11">
                  <c:v>-0.85258420000000001</c:v>
                </c:pt>
                <c:pt idx="12">
                  <c:v>-0.79549930000000002</c:v>
                </c:pt>
                <c:pt idx="13">
                  <c:v>-0.74118539999999999</c:v>
                </c:pt>
                <c:pt idx="14">
                  <c:v>-0.67445580000000005</c:v>
                </c:pt>
                <c:pt idx="15">
                  <c:v>-0.64494899999999999</c:v>
                </c:pt>
                <c:pt idx="16">
                  <c:v>-0.59532430000000003</c:v>
                </c:pt>
                <c:pt idx="17">
                  <c:v>-0.56955699999999998</c:v>
                </c:pt>
                <c:pt idx="18">
                  <c:v>-0.545678</c:v>
                </c:pt>
                <c:pt idx="19">
                  <c:v>-0.51916929999999994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Chg_T_neg!$A$14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Chg_T_neg!$B$14:$U$14</c:f>
              <c:numCache>
                <c:formatCode>General</c:formatCode>
                <c:ptCount val="20"/>
                <c:pt idx="0">
                  <c:v>-12.67628</c:v>
                </c:pt>
                <c:pt idx="1">
                  <c:v>-7.4859999999999998</c:v>
                </c:pt>
                <c:pt idx="2">
                  <c:v>-4.2897169999999996</c:v>
                </c:pt>
                <c:pt idx="3">
                  <c:v>-2.9016160000000002</c:v>
                </c:pt>
                <c:pt idx="4">
                  <c:v>-2.1849940000000001</c:v>
                </c:pt>
                <c:pt idx="5">
                  <c:v>-1.7343850000000001</c:v>
                </c:pt>
                <c:pt idx="6">
                  <c:v>-1.437649</c:v>
                </c:pt>
                <c:pt idx="7">
                  <c:v>-1.2210460000000001</c:v>
                </c:pt>
                <c:pt idx="8">
                  <c:v>-1.0512600000000001</c:v>
                </c:pt>
                <c:pt idx="9">
                  <c:v>-0.93729079999999998</c:v>
                </c:pt>
                <c:pt idx="10">
                  <c:v>-0.8735908</c:v>
                </c:pt>
                <c:pt idx="11">
                  <c:v>-0.80345759999999999</c:v>
                </c:pt>
                <c:pt idx="12">
                  <c:v>-0.74847580000000002</c:v>
                </c:pt>
                <c:pt idx="13">
                  <c:v>-0.69430270000000005</c:v>
                </c:pt>
                <c:pt idx="14">
                  <c:v>-0.63062759999999995</c:v>
                </c:pt>
                <c:pt idx="15">
                  <c:v>-0.60992579999999996</c:v>
                </c:pt>
                <c:pt idx="16">
                  <c:v>-0.58458319999999997</c:v>
                </c:pt>
                <c:pt idx="17">
                  <c:v>-0.55068629999999996</c:v>
                </c:pt>
                <c:pt idx="18">
                  <c:v>-0.52781199999999995</c:v>
                </c:pt>
                <c:pt idx="19">
                  <c:v>-0.51094119999999998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Chg_T_neg!$A$15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Chg_T_neg!$B$15:$U$15</c:f>
              <c:numCache>
                <c:formatCode>General</c:formatCode>
                <c:ptCount val="20"/>
                <c:pt idx="0">
                  <c:v>-25.135929999999998</c:v>
                </c:pt>
                <c:pt idx="1">
                  <c:v>-16.792300000000001</c:v>
                </c:pt>
                <c:pt idx="2">
                  <c:v>-10.374610000000001</c:v>
                </c:pt>
                <c:pt idx="3">
                  <c:v>-7.0422289999999998</c:v>
                </c:pt>
                <c:pt idx="4">
                  <c:v>-5.3633240000000004</c:v>
                </c:pt>
                <c:pt idx="5">
                  <c:v>-4.2823690000000001</c:v>
                </c:pt>
                <c:pt idx="6">
                  <c:v>-3.536708</c:v>
                </c:pt>
                <c:pt idx="7">
                  <c:v>-3.0615570000000001</c:v>
                </c:pt>
                <c:pt idx="8">
                  <c:v>-2.645483</c:v>
                </c:pt>
                <c:pt idx="9">
                  <c:v>-2.3531200000000001</c:v>
                </c:pt>
                <c:pt idx="10">
                  <c:v>-2.1426430000000001</c:v>
                </c:pt>
                <c:pt idx="11">
                  <c:v>-1.938358</c:v>
                </c:pt>
                <c:pt idx="12">
                  <c:v>-1.7877689999999999</c:v>
                </c:pt>
                <c:pt idx="13">
                  <c:v>-1.6688259999999999</c:v>
                </c:pt>
                <c:pt idx="14">
                  <c:v>-1.5599400000000001</c:v>
                </c:pt>
                <c:pt idx="15">
                  <c:v>-1.4807140000000001</c:v>
                </c:pt>
                <c:pt idx="16">
                  <c:v>-1.37219</c:v>
                </c:pt>
                <c:pt idx="17">
                  <c:v>-1.2795460000000001</c:v>
                </c:pt>
                <c:pt idx="18">
                  <c:v>-1.2156640000000001</c:v>
                </c:pt>
                <c:pt idx="19">
                  <c:v>-1.14638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Chg_T_neg!$A$16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Chg_T_neg!$B$16:$U$16</c:f>
              <c:numCache>
                <c:formatCode>General</c:formatCode>
                <c:ptCount val="20"/>
                <c:pt idx="0">
                  <c:v>-29.91356</c:v>
                </c:pt>
                <c:pt idx="1">
                  <c:v>-17.63869</c:v>
                </c:pt>
                <c:pt idx="2">
                  <c:v>-9.9665230000000005</c:v>
                </c:pt>
                <c:pt idx="3">
                  <c:v>-6.7714920000000003</c:v>
                </c:pt>
                <c:pt idx="4">
                  <c:v>-5.0581019999999999</c:v>
                </c:pt>
                <c:pt idx="5">
                  <c:v>-3.912261</c:v>
                </c:pt>
                <c:pt idx="6">
                  <c:v>-3.2103709999999999</c:v>
                </c:pt>
                <c:pt idx="7">
                  <c:v>-2.755328</c:v>
                </c:pt>
                <c:pt idx="8">
                  <c:v>-2.443759</c:v>
                </c:pt>
                <c:pt idx="9">
                  <c:v>-2.1024400000000001</c:v>
                </c:pt>
                <c:pt idx="10">
                  <c:v>-1.8871690000000001</c:v>
                </c:pt>
                <c:pt idx="11">
                  <c:v>-1.718262</c:v>
                </c:pt>
                <c:pt idx="12">
                  <c:v>-1.5989640000000001</c:v>
                </c:pt>
                <c:pt idx="13">
                  <c:v>-1.4713590000000001</c:v>
                </c:pt>
                <c:pt idx="14">
                  <c:v>-1.36358</c:v>
                </c:pt>
                <c:pt idx="15">
                  <c:v>-1.247635</c:v>
                </c:pt>
                <c:pt idx="16">
                  <c:v>-1.1685030000000001</c:v>
                </c:pt>
                <c:pt idx="17">
                  <c:v>-1.098719</c:v>
                </c:pt>
                <c:pt idx="18">
                  <c:v>-1.0545770000000001</c:v>
                </c:pt>
                <c:pt idx="19">
                  <c:v>-1.02772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Chg_T_neg!$A$17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Chg_T_neg!$B$17:$U$17</c:f>
              <c:numCache>
                <c:formatCode>General</c:formatCode>
                <c:ptCount val="20"/>
                <c:pt idx="0">
                  <c:v>-31.372199999999999</c:v>
                </c:pt>
                <c:pt idx="1">
                  <c:v>-18.140999999999998</c:v>
                </c:pt>
                <c:pt idx="2">
                  <c:v>-10.09137</c:v>
                </c:pt>
                <c:pt idx="3">
                  <c:v>-6.8230050000000002</c:v>
                </c:pt>
                <c:pt idx="4">
                  <c:v>-5.1053369999999996</c:v>
                </c:pt>
                <c:pt idx="5">
                  <c:v>-4.014907</c:v>
                </c:pt>
                <c:pt idx="6">
                  <c:v>-3.2985259999999998</c:v>
                </c:pt>
                <c:pt idx="7">
                  <c:v>-2.7837100000000001</c:v>
                </c:pt>
                <c:pt idx="8">
                  <c:v>-2.3944830000000001</c:v>
                </c:pt>
                <c:pt idx="9">
                  <c:v>-2.1767150000000002</c:v>
                </c:pt>
                <c:pt idx="10">
                  <c:v>-1.9154279999999999</c:v>
                </c:pt>
                <c:pt idx="11">
                  <c:v>-1.7392510000000001</c:v>
                </c:pt>
                <c:pt idx="12">
                  <c:v>-1.6075489999999999</c:v>
                </c:pt>
                <c:pt idx="13">
                  <c:v>-1.473034</c:v>
                </c:pt>
                <c:pt idx="14">
                  <c:v>-1.398668</c:v>
                </c:pt>
                <c:pt idx="15">
                  <c:v>-1.3141050000000001</c:v>
                </c:pt>
                <c:pt idx="16">
                  <c:v>-1.2200139999999999</c:v>
                </c:pt>
                <c:pt idx="17">
                  <c:v>-1.1469609999999999</c:v>
                </c:pt>
                <c:pt idx="18">
                  <c:v>-1.087672</c:v>
                </c:pt>
                <c:pt idx="19">
                  <c:v>-1.02643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Chg_T_neg!$A$18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Chg_T_neg!$B$18:$U$18</c:f>
              <c:numCache>
                <c:formatCode>General</c:formatCode>
                <c:ptCount val="20"/>
                <c:pt idx="0">
                  <c:v>-30.41526</c:v>
                </c:pt>
                <c:pt idx="1">
                  <c:v>-17.47082</c:v>
                </c:pt>
                <c:pt idx="2">
                  <c:v>-9.6458539999999999</c:v>
                </c:pt>
                <c:pt idx="3">
                  <c:v>-6.5435429999999997</c:v>
                </c:pt>
                <c:pt idx="4">
                  <c:v>-4.7288129999999997</c:v>
                </c:pt>
                <c:pt idx="5">
                  <c:v>-3.7184179999999998</c:v>
                </c:pt>
                <c:pt idx="6">
                  <c:v>-3.066821</c:v>
                </c:pt>
                <c:pt idx="7">
                  <c:v>-2.6524700000000001</c:v>
                </c:pt>
                <c:pt idx="8">
                  <c:v>-2.2949540000000002</c:v>
                </c:pt>
                <c:pt idx="9">
                  <c:v>-2.0696659999999998</c:v>
                </c:pt>
                <c:pt idx="10">
                  <c:v>-1.8311900000000001</c:v>
                </c:pt>
                <c:pt idx="11">
                  <c:v>-1.6760930000000001</c:v>
                </c:pt>
                <c:pt idx="12">
                  <c:v>-1.5287630000000001</c:v>
                </c:pt>
                <c:pt idx="13">
                  <c:v>-1.3851249999999999</c:v>
                </c:pt>
                <c:pt idx="14">
                  <c:v>-1.304354</c:v>
                </c:pt>
                <c:pt idx="15">
                  <c:v>-1.2273240000000001</c:v>
                </c:pt>
                <c:pt idx="16">
                  <c:v>-1.1510149999999999</c:v>
                </c:pt>
                <c:pt idx="17">
                  <c:v>-1.102573</c:v>
                </c:pt>
                <c:pt idx="18">
                  <c:v>-1.069669</c:v>
                </c:pt>
                <c:pt idx="19">
                  <c:v>-1.025239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Chg_T_neg!$A$19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Chg_T_neg!$B$19:$U$19</c:f>
              <c:numCache>
                <c:formatCode>General</c:formatCode>
                <c:ptCount val="20"/>
                <c:pt idx="0">
                  <c:v>-53.104590000000002</c:v>
                </c:pt>
                <c:pt idx="1">
                  <c:v>-34.338810000000002</c:v>
                </c:pt>
                <c:pt idx="2">
                  <c:v>-20.178889999999999</c:v>
                </c:pt>
                <c:pt idx="3">
                  <c:v>-13.666969999999999</c:v>
                </c:pt>
                <c:pt idx="4">
                  <c:v>-10.02209</c:v>
                </c:pt>
                <c:pt idx="5">
                  <c:v>-7.8634719999999998</c:v>
                </c:pt>
                <c:pt idx="6">
                  <c:v>-6.2858400000000003</c:v>
                </c:pt>
                <c:pt idx="7">
                  <c:v>-5.3141280000000002</c:v>
                </c:pt>
                <c:pt idx="8">
                  <c:v>-4.6024839999999996</c:v>
                </c:pt>
                <c:pt idx="9">
                  <c:v>-3.9383780000000002</c:v>
                </c:pt>
                <c:pt idx="10">
                  <c:v>-3.503368</c:v>
                </c:pt>
                <c:pt idx="11">
                  <c:v>-3.1530390000000001</c:v>
                </c:pt>
                <c:pt idx="12">
                  <c:v>-2.8315649999999999</c:v>
                </c:pt>
                <c:pt idx="13">
                  <c:v>-2.6101480000000001</c:v>
                </c:pt>
                <c:pt idx="14">
                  <c:v>-2.4296500000000001</c:v>
                </c:pt>
                <c:pt idx="15">
                  <c:v>-2.289358</c:v>
                </c:pt>
                <c:pt idx="16">
                  <c:v>-2.1458689999999998</c:v>
                </c:pt>
                <c:pt idx="17">
                  <c:v>-2.01552</c:v>
                </c:pt>
                <c:pt idx="18">
                  <c:v>-1.880979</c:v>
                </c:pt>
                <c:pt idx="19">
                  <c:v>-1.790567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Chg_T_neg!$A$20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Chg_T_neg!$B$20:$U$20</c:f>
              <c:numCache>
                <c:formatCode>General</c:formatCode>
                <c:ptCount val="20"/>
                <c:pt idx="0">
                  <c:v>-52.929450000000003</c:v>
                </c:pt>
                <c:pt idx="1">
                  <c:v>-33.884390000000003</c:v>
                </c:pt>
                <c:pt idx="2">
                  <c:v>-20.151859999999999</c:v>
                </c:pt>
                <c:pt idx="3">
                  <c:v>-13.496969999999999</c:v>
                </c:pt>
                <c:pt idx="4">
                  <c:v>-9.9035189999999993</c:v>
                </c:pt>
                <c:pt idx="5">
                  <c:v>-7.5930799999999996</c:v>
                </c:pt>
                <c:pt idx="6">
                  <c:v>-6.1650530000000003</c:v>
                </c:pt>
                <c:pt idx="7">
                  <c:v>-5.1580199999999996</c:v>
                </c:pt>
                <c:pt idx="8">
                  <c:v>-4.3839389999999998</c:v>
                </c:pt>
                <c:pt idx="9">
                  <c:v>-3.8883740000000002</c:v>
                </c:pt>
                <c:pt idx="10">
                  <c:v>-3.487778</c:v>
                </c:pt>
                <c:pt idx="11">
                  <c:v>-3.0670109999999999</c:v>
                </c:pt>
                <c:pt idx="12">
                  <c:v>-2.7958759999999998</c:v>
                </c:pt>
                <c:pt idx="13">
                  <c:v>-2.565995</c:v>
                </c:pt>
                <c:pt idx="14">
                  <c:v>-2.333631</c:v>
                </c:pt>
                <c:pt idx="15">
                  <c:v>-2.1371760000000002</c:v>
                </c:pt>
                <c:pt idx="16">
                  <c:v>-2.0199090000000002</c:v>
                </c:pt>
                <c:pt idx="17">
                  <c:v>-1.8903920000000001</c:v>
                </c:pt>
                <c:pt idx="18">
                  <c:v>-1.775201</c:v>
                </c:pt>
                <c:pt idx="19">
                  <c:v>-1.6977409999999999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Chg_T_neg!$A$21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Chg_T_neg!$B$21:$U$21</c:f>
              <c:numCache>
                <c:formatCode>General</c:formatCode>
                <c:ptCount val="20"/>
                <c:pt idx="0">
                  <c:v>-53.038350000000001</c:v>
                </c:pt>
                <c:pt idx="1">
                  <c:v>-34.093679999999999</c:v>
                </c:pt>
                <c:pt idx="2">
                  <c:v>-20.323899999999998</c:v>
                </c:pt>
                <c:pt idx="3">
                  <c:v>-13.5402</c:v>
                </c:pt>
                <c:pt idx="4">
                  <c:v>-9.9595369999999992</c:v>
                </c:pt>
                <c:pt idx="5">
                  <c:v>-7.5927720000000001</c:v>
                </c:pt>
                <c:pt idx="6">
                  <c:v>-6.1892569999999996</c:v>
                </c:pt>
                <c:pt idx="7">
                  <c:v>-5.1735239999999996</c:v>
                </c:pt>
                <c:pt idx="8">
                  <c:v>-4.4453370000000003</c:v>
                </c:pt>
                <c:pt idx="9">
                  <c:v>-3.8485140000000002</c:v>
                </c:pt>
                <c:pt idx="10">
                  <c:v>-3.422946</c:v>
                </c:pt>
                <c:pt idx="11">
                  <c:v>-3.063631</c:v>
                </c:pt>
                <c:pt idx="12">
                  <c:v>-2.8129780000000002</c:v>
                </c:pt>
                <c:pt idx="13">
                  <c:v>-2.5971489999999999</c:v>
                </c:pt>
                <c:pt idx="14">
                  <c:v>-2.3975759999999999</c:v>
                </c:pt>
                <c:pt idx="15">
                  <c:v>-2.2418849999999999</c:v>
                </c:pt>
                <c:pt idx="16">
                  <c:v>-2.090195</c:v>
                </c:pt>
                <c:pt idx="17">
                  <c:v>-1.9746440000000001</c:v>
                </c:pt>
                <c:pt idx="18">
                  <c:v>-1.829243</c:v>
                </c:pt>
                <c:pt idx="19">
                  <c:v>-1.6985490000000001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Chg_T_neg!$A$22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Chg_T_neg!$B$22:$U$22</c:f>
              <c:numCache>
                <c:formatCode>General</c:formatCode>
                <c:ptCount val="20"/>
                <c:pt idx="0">
                  <c:v>-52.981650000000002</c:v>
                </c:pt>
                <c:pt idx="1">
                  <c:v>-34.276330000000002</c:v>
                </c:pt>
                <c:pt idx="2">
                  <c:v>-20.434249999999999</c:v>
                </c:pt>
                <c:pt idx="3">
                  <c:v>-13.72498</c:v>
                </c:pt>
                <c:pt idx="4">
                  <c:v>-10.06934</c:v>
                </c:pt>
                <c:pt idx="5">
                  <c:v>-7.913227</c:v>
                </c:pt>
                <c:pt idx="6">
                  <c:v>-6.4325029999999996</c:v>
                </c:pt>
                <c:pt idx="7">
                  <c:v>-5.3807720000000003</c:v>
                </c:pt>
                <c:pt idx="8">
                  <c:v>-4.5324049999999998</c:v>
                </c:pt>
                <c:pt idx="9">
                  <c:v>-3.9084989999999999</c:v>
                </c:pt>
                <c:pt idx="10">
                  <c:v>-3.3902519999999998</c:v>
                </c:pt>
                <c:pt idx="11">
                  <c:v>-3.1086520000000002</c:v>
                </c:pt>
                <c:pt idx="12">
                  <c:v>-2.8158029999999998</c:v>
                </c:pt>
                <c:pt idx="13">
                  <c:v>-2.5681780000000001</c:v>
                </c:pt>
                <c:pt idx="14">
                  <c:v>-2.3664900000000002</c:v>
                </c:pt>
                <c:pt idx="15">
                  <c:v>-2.2149230000000002</c:v>
                </c:pt>
                <c:pt idx="16">
                  <c:v>-2.0523069999999999</c:v>
                </c:pt>
                <c:pt idx="17">
                  <c:v>-1.923905</c:v>
                </c:pt>
                <c:pt idx="18">
                  <c:v>-1.8067930000000001</c:v>
                </c:pt>
                <c:pt idx="19">
                  <c:v>-1.6977199999999999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Chg_T_neg!$A$23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Chg_T_neg!$B$23:$U$23</c:f>
              <c:numCache>
                <c:formatCode>General</c:formatCode>
                <c:ptCount val="20"/>
                <c:pt idx="0">
                  <c:v>-53.267870000000002</c:v>
                </c:pt>
                <c:pt idx="1">
                  <c:v>-34.440770000000001</c:v>
                </c:pt>
                <c:pt idx="2">
                  <c:v>-20.465039999999998</c:v>
                </c:pt>
                <c:pt idx="3">
                  <c:v>-13.612299999999999</c:v>
                </c:pt>
                <c:pt idx="4">
                  <c:v>-9.9865870000000001</c:v>
                </c:pt>
                <c:pt idx="5">
                  <c:v>-7.6955739999999997</c:v>
                </c:pt>
                <c:pt idx="6">
                  <c:v>-6.2238309999999997</c:v>
                </c:pt>
                <c:pt idx="7">
                  <c:v>-5.2809929999999996</c:v>
                </c:pt>
                <c:pt idx="8">
                  <c:v>-4.5026279999999996</c:v>
                </c:pt>
                <c:pt idx="9">
                  <c:v>-3.9047589999999999</c:v>
                </c:pt>
                <c:pt idx="10">
                  <c:v>-3.4697640000000001</c:v>
                </c:pt>
                <c:pt idx="11">
                  <c:v>-3.1078079999999999</c:v>
                </c:pt>
                <c:pt idx="12">
                  <c:v>-2.8267440000000001</c:v>
                </c:pt>
                <c:pt idx="13">
                  <c:v>-2.5724649999999998</c:v>
                </c:pt>
                <c:pt idx="14">
                  <c:v>-2.3735010000000001</c:v>
                </c:pt>
                <c:pt idx="15">
                  <c:v>-2.1844420000000002</c:v>
                </c:pt>
                <c:pt idx="16">
                  <c:v>-1.986904</c:v>
                </c:pt>
                <c:pt idx="17">
                  <c:v>-1.8881349999999999</c:v>
                </c:pt>
                <c:pt idx="18">
                  <c:v>-1.775334</c:v>
                </c:pt>
                <c:pt idx="19">
                  <c:v>-1.6787209999999999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Chg_T_neg!$A$24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Chg_T_neg!$B$24:$U$24</c:f>
              <c:numCache>
                <c:formatCode>General</c:formatCode>
                <c:ptCount val="20"/>
                <c:pt idx="0">
                  <c:v>-52.526000000000003</c:v>
                </c:pt>
                <c:pt idx="1">
                  <c:v>-33.96904</c:v>
                </c:pt>
                <c:pt idx="2">
                  <c:v>-19.897500000000001</c:v>
                </c:pt>
                <c:pt idx="3">
                  <c:v>-13.40218</c:v>
                </c:pt>
                <c:pt idx="4">
                  <c:v>-9.9042750000000002</c:v>
                </c:pt>
                <c:pt idx="5">
                  <c:v>-7.5478040000000002</c:v>
                </c:pt>
                <c:pt idx="6">
                  <c:v>-5.9894670000000003</c:v>
                </c:pt>
                <c:pt idx="7">
                  <c:v>-4.9976649999999996</c:v>
                </c:pt>
                <c:pt idx="8">
                  <c:v>-4.328665</c:v>
                </c:pt>
                <c:pt idx="9">
                  <c:v>-3.7798799999999999</c:v>
                </c:pt>
                <c:pt idx="10">
                  <c:v>-3.3286159999999998</c:v>
                </c:pt>
                <c:pt idx="11">
                  <c:v>-2.9990839999999999</c:v>
                </c:pt>
                <c:pt idx="12">
                  <c:v>-2.7328130000000002</c:v>
                </c:pt>
                <c:pt idx="13">
                  <c:v>-2.498821</c:v>
                </c:pt>
                <c:pt idx="14">
                  <c:v>-2.3489460000000002</c:v>
                </c:pt>
                <c:pt idx="15">
                  <c:v>-2.198788</c:v>
                </c:pt>
                <c:pt idx="16">
                  <c:v>-2.0058590000000001</c:v>
                </c:pt>
                <c:pt idx="17">
                  <c:v>-1.881966</c:v>
                </c:pt>
                <c:pt idx="18">
                  <c:v>-1.7621150000000001</c:v>
                </c:pt>
                <c:pt idx="19">
                  <c:v>-1.6809050000000001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Chg_T_neg!$A$25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Chg_T_neg!$B$25:$U$25</c:f>
              <c:numCache>
                <c:formatCode>General</c:formatCode>
                <c:ptCount val="20"/>
                <c:pt idx="0">
                  <c:v>-53.187869999999997</c:v>
                </c:pt>
                <c:pt idx="1">
                  <c:v>-34.399039999999999</c:v>
                </c:pt>
                <c:pt idx="2">
                  <c:v>-20.40485</c:v>
                </c:pt>
                <c:pt idx="3">
                  <c:v>-13.55354</c:v>
                </c:pt>
                <c:pt idx="4">
                  <c:v>-9.999136</c:v>
                </c:pt>
                <c:pt idx="5">
                  <c:v>-7.690925</c:v>
                </c:pt>
                <c:pt idx="6">
                  <c:v>-6.1674660000000001</c:v>
                </c:pt>
                <c:pt idx="7">
                  <c:v>-5.2393530000000004</c:v>
                </c:pt>
                <c:pt idx="8">
                  <c:v>-4.454771</c:v>
                </c:pt>
                <c:pt idx="9">
                  <c:v>-3.8792990000000001</c:v>
                </c:pt>
                <c:pt idx="10">
                  <c:v>-3.421589</c:v>
                </c:pt>
                <c:pt idx="11">
                  <c:v>-3.0567519999999999</c:v>
                </c:pt>
                <c:pt idx="12">
                  <c:v>-2.7675649999999998</c:v>
                </c:pt>
                <c:pt idx="13">
                  <c:v>-2.5913029999999999</c:v>
                </c:pt>
                <c:pt idx="14">
                  <c:v>-2.3862559999999999</c:v>
                </c:pt>
                <c:pt idx="15">
                  <c:v>-2.2298930000000001</c:v>
                </c:pt>
                <c:pt idx="16">
                  <c:v>-2.0557919999999998</c:v>
                </c:pt>
                <c:pt idx="17">
                  <c:v>-1.9254070000000001</c:v>
                </c:pt>
                <c:pt idx="18">
                  <c:v>-1.78799</c:v>
                </c:pt>
                <c:pt idx="19">
                  <c:v>-1.6679299999999999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Chg_T_neg!$A$26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Chg_T_neg!$B$26:$U$26</c:f>
              <c:numCache>
                <c:formatCode>General</c:formatCode>
                <c:ptCount val="20"/>
                <c:pt idx="0">
                  <c:v>-55.882669999999997</c:v>
                </c:pt>
                <c:pt idx="1">
                  <c:v>-31.03978</c:v>
                </c:pt>
                <c:pt idx="2">
                  <c:v>-16.832660000000001</c:v>
                </c:pt>
                <c:pt idx="3">
                  <c:v>-10.770479999999999</c:v>
                </c:pt>
                <c:pt idx="4">
                  <c:v>-7.6115269999999997</c:v>
                </c:pt>
                <c:pt idx="5">
                  <c:v>-5.7564310000000001</c:v>
                </c:pt>
                <c:pt idx="6">
                  <c:v>-4.6230630000000001</c:v>
                </c:pt>
                <c:pt idx="7">
                  <c:v>-3.8025190000000002</c:v>
                </c:pt>
                <c:pt idx="8">
                  <c:v>-3.120009</c:v>
                </c:pt>
                <c:pt idx="9">
                  <c:v>-2.7413729999999998</c:v>
                </c:pt>
                <c:pt idx="10">
                  <c:v>-2.3757779999999999</c:v>
                </c:pt>
                <c:pt idx="11">
                  <c:v>-2.1182919999999998</c:v>
                </c:pt>
                <c:pt idx="12">
                  <c:v>-1.9896130000000001</c:v>
                </c:pt>
                <c:pt idx="13">
                  <c:v>-1.776948</c:v>
                </c:pt>
                <c:pt idx="14">
                  <c:v>-1.6353800000000001</c:v>
                </c:pt>
                <c:pt idx="15">
                  <c:v>-1.5082439999999999</c:v>
                </c:pt>
                <c:pt idx="16">
                  <c:v>-1.4087449999999999</c:v>
                </c:pt>
                <c:pt idx="17">
                  <c:v>-1.289177</c:v>
                </c:pt>
                <c:pt idx="18">
                  <c:v>-1.1971909999999999</c:v>
                </c:pt>
                <c:pt idx="19">
                  <c:v>-1.1420049999999999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Chg_T_neg!$A$27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Chg_T_neg!$B$27:$U$27</c:f>
              <c:numCache>
                <c:formatCode>General</c:formatCode>
                <c:ptCount val="20"/>
                <c:pt idx="0">
                  <c:v>-52.859670000000001</c:v>
                </c:pt>
                <c:pt idx="1">
                  <c:v>-34.435009999999998</c:v>
                </c:pt>
                <c:pt idx="2">
                  <c:v>-20.51707</c:v>
                </c:pt>
                <c:pt idx="3">
                  <c:v>-13.981529999999999</c:v>
                </c:pt>
                <c:pt idx="4">
                  <c:v>-10.321210000000001</c:v>
                </c:pt>
                <c:pt idx="5">
                  <c:v>-8.0824099999999994</c:v>
                </c:pt>
                <c:pt idx="6">
                  <c:v>-6.4927229999999998</c:v>
                </c:pt>
                <c:pt idx="7">
                  <c:v>-5.4222900000000003</c:v>
                </c:pt>
                <c:pt idx="8">
                  <c:v>-4.6406720000000004</c:v>
                </c:pt>
                <c:pt idx="9">
                  <c:v>-4.0074389999999998</c:v>
                </c:pt>
                <c:pt idx="10">
                  <c:v>-3.6054740000000001</c:v>
                </c:pt>
                <c:pt idx="11">
                  <c:v>-3.1430380000000002</c:v>
                </c:pt>
                <c:pt idx="12">
                  <c:v>-2.8079000000000001</c:v>
                </c:pt>
                <c:pt idx="13">
                  <c:v>-2.5528680000000001</c:v>
                </c:pt>
                <c:pt idx="14">
                  <c:v>-2.378139</c:v>
                </c:pt>
                <c:pt idx="15">
                  <c:v>-2.244605</c:v>
                </c:pt>
                <c:pt idx="16">
                  <c:v>-2.096848</c:v>
                </c:pt>
                <c:pt idx="17">
                  <c:v>-1.9462269999999999</c:v>
                </c:pt>
                <c:pt idx="18">
                  <c:v>-1.8296669999999999</c:v>
                </c:pt>
                <c:pt idx="19">
                  <c:v>-1.738526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Chg_T_neg!$A$28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Chg_T_neg!$B$28:$U$28</c:f>
              <c:numCache>
                <c:formatCode>General</c:formatCode>
                <c:ptCount val="20"/>
                <c:pt idx="0">
                  <c:v>-52.366070000000001</c:v>
                </c:pt>
                <c:pt idx="1">
                  <c:v>-33.635939999999998</c:v>
                </c:pt>
                <c:pt idx="2">
                  <c:v>-19.802520000000001</c:v>
                </c:pt>
                <c:pt idx="3">
                  <c:v>-13.20712</c:v>
                </c:pt>
                <c:pt idx="4">
                  <c:v>-9.7572670000000006</c:v>
                </c:pt>
                <c:pt idx="5">
                  <c:v>-7.5000660000000003</c:v>
                </c:pt>
                <c:pt idx="6">
                  <c:v>-5.9826280000000001</c:v>
                </c:pt>
                <c:pt idx="7">
                  <c:v>-4.955921</c:v>
                </c:pt>
                <c:pt idx="8">
                  <c:v>-4.2675890000000001</c:v>
                </c:pt>
                <c:pt idx="9">
                  <c:v>-3.6744219999999999</c:v>
                </c:pt>
                <c:pt idx="10">
                  <c:v>-3.3062450000000001</c:v>
                </c:pt>
                <c:pt idx="11">
                  <c:v>-2.9612889999999998</c:v>
                </c:pt>
                <c:pt idx="12">
                  <c:v>-2.6949390000000002</c:v>
                </c:pt>
                <c:pt idx="13">
                  <c:v>-2.4728059999999998</c:v>
                </c:pt>
                <c:pt idx="14">
                  <c:v>-2.2665630000000001</c:v>
                </c:pt>
                <c:pt idx="15">
                  <c:v>-2.1171959999999999</c:v>
                </c:pt>
                <c:pt idx="16">
                  <c:v>-1.9798990000000001</c:v>
                </c:pt>
                <c:pt idx="17">
                  <c:v>-1.8471569999999999</c:v>
                </c:pt>
                <c:pt idx="18">
                  <c:v>-1.739422</c:v>
                </c:pt>
                <c:pt idx="19">
                  <c:v>-1.6302570000000001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Chg_T_neg!$A$29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Chg_T_neg!$B$29:$U$29</c:f>
              <c:numCache>
                <c:formatCode>General</c:formatCode>
                <c:ptCount val="20"/>
                <c:pt idx="0">
                  <c:v>-56.163849999999996</c:v>
                </c:pt>
                <c:pt idx="1">
                  <c:v>-36.445419999999999</c:v>
                </c:pt>
                <c:pt idx="2">
                  <c:v>-21.820430000000002</c:v>
                </c:pt>
                <c:pt idx="3">
                  <c:v>-15.05781</c:v>
                </c:pt>
                <c:pt idx="4">
                  <c:v>-10.9903</c:v>
                </c:pt>
                <c:pt idx="5">
                  <c:v>-8.4800500000000003</c:v>
                </c:pt>
                <c:pt idx="6">
                  <c:v>-6.7910570000000003</c:v>
                </c:pt>
                <c:pt idx="7">
                  <c:v>-5.5766590000000003</c:v>
                </c:pt>
                <c:pt idx="8">
                  <c:v>-4.7592639999999999</c:v>
                </c:pt>
                <c:pt idx="9">
                  <c:v>-4.2090449999999997</c:v>
                </c:pt>
                <c:pt idx="10">
                  <c:v>-3.6880860000000002</c:v>
                </c:pt>
                <c:pt idx="11">
                  <c:v>-3.4113699999999998</c:v>
                </c:pt>
                <c:pt idx="12">
                  <c:v>-3.102007</c:v>
                </c:pt>
                <c:pt idx="13">
                  <c:v>-2.8439969999999999</c:v>
                </c:pt>
                <c:pt idx="14">
                  <c:v>-2.63287</c:v>
                </c:pt>
                <c:pt idx="15">
                  <c:v>-2.4528400000000001</c:v>
                </c:pt>
                <c:pt idx="16">
                  <c:v>-2.2763429999999998</c:v>
                </c:pt>
                <c:pt idx="17">
                  <c:v>-2.1608649999999998</c:v>
                </c:pt>
                <c:pt idx="18">
                  <c:v>-2.0291060000000001</c:v>
                </c:pt>
                <c:pt idx="19">
                  <c:v>-1.8918699999999999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Chg_T_neg!$A$30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Chg_T_neg!$B$30:$U$30</c:f>
              <c:numCache>
                <c:formatCode>General</c:formatCode>
                <c:ptCount val="20"/>
                <c:pt idx="0">
                  <c:v>-61.293050000000001</c:v>
                </c:pt>
                <c:pt idx="1">
                  <c:v>-39.387949999999996</c:v>
                </c:pt>
                <c:pt idx="2">
                  <c:v>-23.21715</c:v>
                </c:pt>
                <c:pt idx="3">
                  <c:v>-16.090720000000001</c:v>
                </c:pt>
                <c:pt idx="4">
                  <c:v>-11.86576</c:v>
                </c:pt>
                <c:pt idx="5">
                  <c:v>-9.0791109999999993</c:v>
                </c:pt>
                <c:pt idx="6">
                  <c:v>-7.390314</c:v>
                </c:pt>
                <c:pt idx="7">
                  <c:v>-6.1720600000000001</c:v>
                </c:pt>
                <c:pt idx="8">
                  <c:v>-5.2121259999999996</c:v>
                </c:pt>
                <c:pt idx="9">
                  <c:v>-4.4883449999999998</c:v>
                </c:pt>
                <c:pt idx="10">
                  <c:v>-3.9400590000000002</c:v>
                </c:pt>
                <c:pt idx="11">
                  <c:v>-3.530567</c:v>
                </c:pt>
                <c:pt idx="12">
                  <c:v>-3.1722839999999999</c:v>
                </c:pt>
                <c:pt idx="13">
                  <c:v>-2.9475210000000001</c:v>
                </c:pt>
                <c:pt idx="14">
                  <c:v>-2.7173120000000002</c:v>
                </c:pt>
                <c:pt idx="15">
                  <c:v>-2.537598</c:v>
                </c:pt>
                <c:pt idx="16">
                  <c:v>-2.3455879999999998</c:v>
                </c:pt>
                <c:pt idx="17">
                  <c:v>-2.165079</c:v>
                </c:pt>
                <c:pt idx="18">
                  <c:v>-2.029989</c:v>
                </c:pt>
                <c:pt idx="19">
                  <c:v>-1.9005019999999999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Chg_T_neg!$A$31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Chg_T_neg!$B$31:$U$31</c:f>
              <c:numCache>
                <c:formatCode>General</c:formatCode>
                <c:ptCount val="20"/>
                <c:pt idx="0">
                  <c:v>-62.685070000000003</c:v>
                </c:pt>
                <c:pt idx="1">
                  <c:v>-39.479320000000001</c:v>
                </c:pt>
                <c:pt idx="2">
                  <c:v>-23.941289999999999</c:v>
                </c:pt>
                <c:pt idx="3">
                  <c:v>-16.606059999999999</c:v>
                </c:pt>
                <c:pt idx="4">
                  <c:v>-12.34247</c:v>
                </c:pt>
                <c:pt idx="5">
                  <c:v>-9.3591829999999998</c:v>
                </c:pt>
                <c:pt idx="6">
                  <c:v>-7.5169509999999997</c:v>
                </c:pt>
                <c:pt idx="7">
                  <c:v>-6.1999880000000003</c:v>
                </c:pt>
                <c:pt idx="8">
                  <c:v>-5.2221320000000002</c:v>
                </c:pt>
                <c:pt idx="9">
                  <c:v>-4.5532260000000004</c:v>
                </c:pt>
                <c:pt idx="10">
                  <c:v>-3.9864280000000001</c:v>
                </c:pt>
                <c:pt idx="11">
                  <c:v>-3.5183710000000001</c:v>
                </c:pt>
                <c:pt idx="12">
                  <c:v>-3.1559309999999998</c:v>
                </c:pt>
                <c:pt idx="13">
                  <c:v>-2.9367719999999999</c:v>
                </c:pt>
                <c:pt idx="14">
                  <c:v>-2.6578439999999999</c:v>
                </c:pt>
                <c:pt idx="15">
                  <c:v>-2.44983</c:v>
                </c:pt>
                <c:pt idx="16">
                  <c:v>-2.277514</c:v>
                </c:pt>
                <c:pt idx="17">
                  <c:v>-2.1372049999999998</c:v>
                </c:pt>
                <c:pt idx="18">
                  <c:v>-2.0203440000000001</c:v>
                </c:pt>
                <c:pt idx="19">
                  <c:v>-1.922407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Chg_T_neg!$A$32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Chg_T_neg!$B$32:$U$32</c:f>
              <c:numCache>
                <c:formatCode>General</c:formatCode>
                <c:ptCount val="20"/>
                <c:pt idx="0">
                  <c:v>-71.187449999999998</c:v>
                </c:pt>
                <c:pt idx="1">
                  <c:v>-41.865450000000003</c:v>
                </c:pt>
                <c:pt idx="2">
                  <c:v>-22.920020000000001</c:v>
                </c:pt>
                <c:pt idx="3">
                  <c:v>-15.02872</c:v>
                </c:pt>
                <c:pt idx="4">
                  <c:v>-10.77289</c:v>
                </c:pt>
                <c:pt idx="5">
                  <c:v>-8.425421</c:v>
                </c:pt>
                <c:pt idx="6">
                  <c:v>-6.7652190000000001</c:v>
                </c:pt>
                <c:pt idx="7">
                  <c:v>-5.5138749999999996</c:v>
                </c:pt>
                <c:pt idx="8">
                  <c:v>-4.6874849999999997</c:v>
                </c:pt>
                <c:pt idx="9">
                  <c:v>-4.0405410000000002</c:v>
                </c:pt>
                <c:pt idx="10">
                  <c:v>-3.577369</c:v>
                </c:pt>
                <c:pt idx="11">
                  <c:v>-3.210181</c:v>
                </c:pt>
                <c:pt idx="12">
                  <c:v>-2.9250729999999998</c:v>
                </c:pt>
                <c:pt idx="13">
                  <c:v>-2.6739419999999998</c:v>
                </c:pt>
                <c:pt idx="14">
                  <c:v>-2.4108999999999998</c:v>
                </c:pt>
                <c:pt idx="15">
                  <c:v>-2.213873</c:v>
                </c:pt>
                <c:pt idx="16">
                  <c:v>-2.0236260000000001</c:v>
                </c:pt>
                <c:pt idx="17">
                  <c:v>-1.875046</c:v>
                </c:pt>
                <c:pt idx="18">
                  <c:v>-1.767509</c:v>
                </c:pt>
                <c:pt idx="19">
                  <c:v>-1.642142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Chg_T_neg!$A$33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Chg_T_neg!$B$33:$U$33</c:f>
              <c:numCache>
                <c:formatCode>General</c:formatCode>
                <c:ptCount val="20"/>
                <c:pt idx="0">
                  <c:v>-70.879329999999996</c:v>
                </c:pt>
                <c:pt idx="1">
                  <c:v>-40.138710000000003</c:v>
                </c:pt>
                <c:pt idx="2">
                  <c:v>-21.952850000000002</c:v>
                </c:pt>
                <c:pt idx="3">
                  <c:v>-14.38805</c:v>
                </c:pt>
                <c:pt idx="4">
                  <c:v>-10.735279999999999</c:v>
                </c:pt>
                <c:pt idx="5">
                  <c:v>-8.3638030000000008</c:v>
                </c:pt>
                <c:pt idx="6">
                  <c:v>-6.7156419999999999</c:v>
                </c:pt>
                <c:pt idx="7">
                  <c:v>-5.5145249999999999</c:v>
                </c:pt>
                <c:pt idx="8">
                  <c:v>-4.7048800000000002</c:v>
                </c:pt>
                <c:pt idx="9">
                  <c:v>-4.0615389999999998</c:v>
                </c:pt>
                <c:pt idx="10">
                  <c:v>-3.5557639999999999</c:v>
                </c:pt>
                <c:pt idx="11">
                  <c:v>-3.1130070000000001</c:v>
                </c:pt>
                <c:pt idx="12">
                  <c:v>-2.8525830000000001</c:v>
                </c:pt>
                <c:pt idx="13">
                  <c:v>-2.5872130000000002</c:v>
                </c:pt>
                <c:pt idx="14">
                  <c:v>-2.3454790000000001</c:v>
                </c:pt>
                <c:pt idx="15">
                  <c:v>-2.2010640000000001</c:v>
                </c:pt>
                <c:pt idx="16">
                  <c:v>-2.0169609999999998</c:v>
                </c:pt>
                <c:pt idx="17">
                  <c:v>-1.859702</c:v>
                </c:pt>
                <c:pt idx="18">
                  <c:v>-1.7294430000000001</c:v>
                </c:pt>
                <c:pt idx="19">
                  <c:v>-1.609901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Chg_T_neg!$A$34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Chg_T_neg!$B$34:$U$34</c:f>
              <c:numCache>
                <c:formatCode>General</c:formatCode>
                <c:ptCount val="20"/>
                <c:pt idx="0">
                  <c:v>-70.267150000000001</c:v>
                </c:pt>
                <c:pt idx="1">
                  <c:v>-39.597200000000001</c:v>
                </c:pt>
                <c:pt idx="2">
                  <c:v>-21.909089999999999</c:v>
                </c:pt>
                <c:pt idx="3">
                  <c:v>-14.518140000000001</c:v>
                </c:pt>
                <c:pt idx="4">
                  <c:v>-10.69125</c:v>
                </c:pt>
                <c:pt idx="5">
                  <c:v>-8.2964289999999998</c:v>
                </c:pt>
                <c:pt idx="6">
                  <c:v>-6.7242610000000003</c:v>
                </c:pt>
                <c:pt idx="7">
                  <c:v>-5.6186850000000002</c:v>
                </c:pt>
                <c:pt idx="8">
                  <c:v>-4.749924</c:v>
                </c:pt>
                <c:pt idx="9">
                  <c:v>-4.0469629999999999</c:v>
                </c:pt>
                <c:pt idx="10">
                  <c:v>-3.5146320000000002</c:v>
                </c:pt>
                <c:pt idx="11">
                  <c:v>-3.1363810000000001</c:v>
                </c:pt>
                <c:pt idx="12">
                  <c:v>-2.8326129999999998</c:v>
                </c:pt>
                <c:pt idx="13">
                  <c:v>-2.57016</c:v>
                </c:pt>
                <c:pt idx="14">
                  <c:v>-2.3553519999999999</c:v>
                </c:pt>
                <c:pt idx="15">
                  <c:v>-2.1690290000000001</c:v>
                </c:pt>
                <c:pt idx="16">
                  <c:v>-1.9823409999999999</c:v>
                </c:pt>
                <c:pt idx="17">
                  <c:v>-1.869116</c:v>
                </c:pt>
                <c:pt idx="18">
                  <c:v>-1.7653730000000001</c:v>
                </c:pt>
                <c:pt idx="19">
                  <c:v>-1.66811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Chg_T_neg!$A$35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Chg_T_neg!$B$35:$U$35</c:f>
              <c:numCache>
                <c:formatCode>General</c:formatCode>
                <c:ptCount val="20"/>
                <c:pt idx="0">
                  <c:v>-128.7808</c:v>
                </c:pt>
                <c:pt idx="1">
                  <c:v>-85.378230000000002</c:v>
                </c:pt>
                <c:pt idx="2">
                  <c:v>-51.196449999999999</c:v>
                </c:pt>
                <c:pt idx="3">
                  <c:v>-34.567909999999998</c:v>
                </c:pt>
                <c:pt idx="4">
                  <c:v>-25.346399999999999</c:v>
                </c:pt>
                <c:pt idx="5">
                  <c:v>-19.493590000000001</c:v>
                </c:pt>
                <c:pt idx="6">
                  <c:v>-15.35042</c:v>
                </c:pt>
                <c:pt idx="7">
                  <c:v>-12.548489999999999</c:v>
                </c:pt>
                <c:pt idx="8">
                  <c:v>-10.260719999999999</c:v>
                </c:pt>
                <c:pt idx="9">
                  <c:v>-8.7317300000000007</c:v>
                </c:pt>
                <c:pt idx="10">
                  <c:v>-7.6603490000000001</c:v>
                </c:pt>
                <c:pt idx="11">
                  <c:v>-6.8607360000000002</c:v>
                </c:pt>
                <c:pt idx="12">
                  <c:v>-6.1107889999999996</c:v>
                </c:pt>
                <c:pt idx="13">
                  <c:v>-5.4868420000000002</c:v>
                </c:pt>
                <c:pt idx="14">
                  <c:v>-4.9737130000000001</c:v>
                </c:pt>
                <c:pt idx="15">
                  <c:v>-4.6062409999999998</c:v>
                </c:pt>
                <c:pt idx="16">
                  <c:v>-4.2238689999999997</c:v>
                </c:pt>
                <c:pt idx="17">
                  <c:v>-3.8868330000000002</c:v>
                </c:pt>
                <c:pt idx="18">
                  <c:v>-3.5836459999999999</c:v>
                </c:pt>
                <c:pt idx="19">
                  <c:v>-3.3239519999999998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Chg_T_neg!$A$36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Chg_T_neg!$B$36:$U$36</c:f>
              <c:numCache>
                <c:formatCode>General</c:formatCode>
                <c:ptCount val="20"/>
                <c:pt idx="0">
                  <c:v>-137.9092</c:v>
                </c:pt>
                <c:pt idx="1">
                  <c:v>-90.548400000000001</c:v>
                </c:pt>
                <c:pt idx="2">
                  <c:v>-54.751440000000002</c:v>
                </c:pt>
                <c:pt idx="3">
                  <c:v>-37.326300000000003</c:v>
                </c:pt>
                <c:pt idx="4">
                  <c:v>-27.496849999999998</c:v>
                </c:pt>
                <c:pt idx="5">
                  <c:v>-21.19472</c:v>
                </c:pt>
                <c:pt idx="6">
                  <c:v>-16.951619999999998</c:v>
                </c:pt>
                <c:pt idx="7">
                  <c:v>-13.90555</c:v>
                </c:pt>
                <c:pt idx="8">
                  <c:v>-11.84282</c:v>
                </c:pt>
                <c:pt idx="9">
                  <c:v>-10.15343</c:v>
                </c:pt>
                <c:pt idx="10">
                  <c:v>-8.8871000000000002</c:v>
                </c:pt>
                <c:pt idx="11">
                  <c:v>-7.9343500000000002</c:v>
                </c:pt>
                <c:pt idx="12">
                  <c:v>-7.0609279999999996</c:v>
                </c:pt>
                <c:pt idx="13">
                  <c:v>-6.4136160000000002</c:v>
                </c:pt>
                <c:pt idx="14">
                  <c:v>-5.9061659999999998</c:v>
                </c:pt>
                <c:pt idx="15">
                  <c:v>-5.4793700000000003</c:v>
                </c:pt>
                <c:pt idx="16">
                  <c:v>-5.103999</c:v>
                </c:pt>
                <c:pt idx="17">
                  <c:v>-4.7490860000000001</c:v>
                </c:pt>
                <c:pt idx="18">
                  <c:v>-4.408849</c:v>
                </c:pt>
                <c:pt idx="19">
                  <c:v>-4.1149180000000003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Chg_T_neg!$A$37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Chg_T_neg!$B$2:$U$2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Chg_T_neg!$B$37:$U$37</c:f>
              <c:numCache>
                <c:formatCode>General</c:formatCode>
                <c:ptCount val="20"/>
                <c:pt idx="0">
                  <c:v>-136.49109999999999</c:v>
                </c:pt>
                <c:pt idx="1">
                  <c:v>-89.574479999999994</c:v>
                </c:pt>
                <c:pt idx="2">
                  <c:v>-53.381970000000003</c:v>
                </c:pt>
                <c:pt idx="3">
                  <c:v>-35.345190000000002</c:v>
                </c:pt>
                <c:pt idx="4">
                  <c:v>-25.61018</c:v>
                </c:pt>
                <c:pt idx="5">
                  <c:v>-19.55179</c:v>
                </c:pt>
                <c:pt idx="6">
                  <c:v>-15.44666</c:v>
                </c:pt>
                <c:pt idx="7">
                  <c:v>-12.81317</c:v>
                </c:pt>
                <c:pt idx="8">
                  <c:v>-10.827730000000001</c:v>
                </c:pt>
                <c:pt idx="9">
                  <c:v>-9.2565760000000008</c:v>
                </c:pt>
                <c:pt idx="10">
                  <c:v>-8.1134360000000001</c:v>
                </c:pt>
                <c:pt idx="11">
                  <c:v>-7.1471920000000004</c:v>
                </c:pt>
                <c:pt idx="12">
                  <c:v>-6.3852000000000002</c:v>
                </c:pt>
                <c:pt idx="13">
                  <c:v>-5.7773389999999996</c:v>
                </c:pt>
                <c:pt idx="14">
                  <c:v>-5.2375080000000001</c:v>
                </c:pt>
                <c:pt idx="15">
                  <c:v>-4.7901030000000002</c:v>
                </c:pt>
                <c:pt idx="16">
                  <c:v>-4.4689439999999996</c:v>
                </c:pt>
                <c:pt idx="17">
                  <c:v>-4.1550589999999996</c:v>
                </c:pt>
                <c:pt idx="18">
                  <c:v>-3.852239</c:v>
                </c:pt>
                <c:pt idx="19">
                  <c:v>-3.5968260000000001</c:v>
                </c:pt>
              </c:numCache>
            </c:numRef>
          </c:yVal>
          <c:smooth val="1"/>
        </c:ser>
        <c:axId val="99017472"/>
        <c:axId val="99019392"/>
      </c:scatterChart>
      <c:valAx>
        <c:axId val="99017472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019392"/>
        <c:crosses val="autoZero"/>
        <c:crossBetween val="midCat"/>
      </c:valAx>
      <c:valAx>
        <c:axId val="99019392"/>
        <c:scaling>
          <c:orientation val="minMax"/>
        </c:scaling>
        <c:axPos val="l"/>
        <c:numFmt formatCode="General" sourceLinked="1"/>
        <c:tickLblPos val="nextTo"/>
        <c:crossAx val="99017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529720141407491"/>
          <c:y val="7.9861475648877231E-2"/>
          <c:w val="0.29595472961437724"/>
          <c:h val="0.87427461978211629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Chg_neg_A!$B$3:$U$3</c:f>
              <c:numCache>
                <c:formatCode>General</c:formatCode>
                <c:ptCount val="20"/>
                <c:pt idx="0">
                  <c:v>1688.43</c:v>
                </c:pt>
                <c:pt idx="1">
                  <c:v>1125.2739999999999</c:v>
                </c:pt>
                <c:pt idx="2">
                  <c:v>687.31219999999996</c:v>
                </c:pt>
                <c:pt idx="3">
                  <c:v>469.14550000000003</c:v>
                </c:pt>
                <c:pt idx="4">
                  <c:v>347.16739999999999</c:v>
                </c:pt>
                <c:pt idx="5">
                  <c:v>274.00700000000001</c:v>
                </c:pt>
                <c:pt idx="6">
                  <c:v>226.11199999999999</c:v>
                </c:pt>
                <c:pt idx="7">
                  <c:v>191.80070000000001</c:v>
                </c:pt>
                <c:pt idx="8">
                  <c:v>167.0001</c:v>
                </c:pt>
                <c:pt idx="9">
                  <c:v>146.13810000000001</c:v>
                </c:pt>
                <c:pt idx="10">
                  <c:v>131.6481</c:v>
                </c:pt>
                <c:pt idx="11">
                  <c:v>120.3079</c:v>
                </c:pt>
                <c:pt idx="12">
                  <c:v>109.90389999999999</c:v>
                </c:pt>
                <c:pt idx="13">
                  <c:v>99.000900000000001</c:v>
                </c:pt>
                <c:pt idx="14">
                  <c:v>91.821920000000006</c:v>
                </c:pt>
                <c:pt idx="15">
                  <c:v>85.794899999999998</c:v>
                </c:pt>
                <c:pt idx="16">
                  <c:v>80.025980000000004</c:v>
                </c:pt>
                <c:pt idx="17">
                  <c:v>75.504999999999995</c:v>
                </c:pt>
                <c:pt idx="18">
                  <c:v>73.767009999999999</c:v>
                </c:pt>
                <c:pt idx="19">
                  <c:v>70.199060000000003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Chg_neg_A!$B$21:$U$21</c:f>
              <c:numCache>
                <c:formatCode>General</c:formatCode>
                <c:ptCount val="20"/>
                <c:pt idx="0">
                  <c:v>7096.92</c:v>
                </c:pt>
                <c:pt idx="1">
                  <c:v>4519.7370000000001</c:v>
                </c:pt>
                <c:pt idx="2">
                  <c:v>2568.8939999999998</c:v>
                </c:pt>
                <c:pt idx="3">
                  <c:v>1673.2539999999999</c:v>
                </c:pt>
                <c:pt idx="4">
                  <c:v>1212.473</c:v>
                </c:pt>
                <c:pt idx="5">
                  <c:v>939.83389999999997</c:v>
                </c:pt>
                <c:pt idx="6">
                  <c:v>758.11540000000002</c:v>
                </c:pt>
                <c:pt idx="7">
                  <c:v>637.99580000000003</c:v>
                </c:pt>
                <c:pt idx="8">
                  <c:v>551.22389999999996</c:v>
                </c:pt>
                <c:pt idx="9">
                  <c:v>483.91930000000002</c:v>
                </c:pt>
                <c:pt idx="10">
                  <c:v>429.44380000000001</c:v>
                </c:pt>
                <c:pt idx="11">
                  <c:v>386.0582</c:v>
                </c:pt>
                <c:pt idx="12">
                  <c:v>350.97460000000001</c:v>
                </c:pt>
                <c:pt idx="13">
                  <c:v>325.58620000000002</c:v>
                </c:pt>
                <c:pt idx="14">
                  <c:v>303.27960000000002</c:v>
                </c:pt>
                <c:pt idx="15">
                  <c:v>281.75380000000001</c:v>
                </c:pt>
                <c:pt idx="16">
                  <c:v>264.4237</c:v>
                </c:pt>
                <c:pt idx="17">
                  <c:v>250.6026</c:v>
                </c:pt>
                <c:pt idx="18">
                  <c:v>230.68100000000001</c:v>
                </c:pt>
                <c:pt idx="19">
                  <c:v>216.96559999999999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Chg_neg_A!$B$37:$U$37</c:f>
              <c:numCache>
                <c:formatCode>General</c:formatCode>
                <c:ptCount val="20"/>
                <c:pt idx="0">
                  <c:v>15716.65</c:v>
                </c:pt>
                <c:pt idx="1">
                  <c:v>10330.219999999999</c:v>
                </c:pt>
                <c:pt idx="2">
                  <c:v>6103.2610000000004</c:v>
                </c:pt>
                <c:pt idx="3">
                  <c:v>4036.0070000000001</c:v>
                </c:pt>
                <c:pt idx="4">
                  <c:v>2911.04</c:v>
                </c:pt>
                <c:pt idx="5">
                  <c:v>2210.9650000000001</c:v>
                </c:pt>
                <c:pt idx="6">
                  <c:v>1744.3050000000001</c:v>
                </c:pt>
                <c:pt idx="7">
                  <c:v>1442.8489999999999</c:v>
                </c:pt>
                <c:pt idx="8">
                  <c:v>1211.973</c:v>
                </c:pt>
                <c:pt idx="9">
                  <c:v>1026.6990000000001</c:v>
                </c:pt>
                <c:pt idx="10">
                  <c:v>901.56230000000005</c:v>
                </c:pt>
                <c:pt idx="11">
                  <c:v>790.73649999999998</c:v>
                </c:pt>
                <c:pt idx="12">
                  <c:v>699.65890000000002</c:v>
                </c:pt>
                <c:pt idx="13">
                  <c:v>632.95950000000005</c:v>
                </c:pt>
                <c:pt idx="14">
                  <c:v>573.50289999999995</c:v>
                </c:pt>
                <c:pt idx="15">
                  <c:v>523.26930000000004</c:v>
                </c:pt>
                <c:pt idx="16">
                  <c:v>482.8963</c:v>
                </c:pt>
                <c:pt idx="17">
                  <c:v>444.90309999999999</c:v>
                </c:pt>
                <c:pt idx="18">
                  <c:v>408.45549999999997</c:v>
                </c:pt>
                <c:pt idx="19">
                  <c:v>378.96319999999997</c:v>
                </c:pt>
              </c:numCache>
            </c:numRef>
          </c:yVal>
          <c:smooth val="1"/>
        </c:ser>
        <c:axId val="60114816"/>
        <c:axId val="60465152"/>
      </c:scatterChart>
      <c:valAx>
        <c:axId val="6011481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65152"/>
        <c:crosses val="autoZero"/>
        <c:crossBetween val="midCat"/>
      </c:valAx>
      <c:valAx>
        <c:axId val="60465152"/>
        <c:scaling>
          <c:orientation val="minMax"/>
        </c:scaling>
        <c:axPos val="l"/>
        <c:numFmt formatCode="General" sourceLinked="1"/>
        <c:tickLblPos val="nextTo"/>
        <c:crossAx val="60114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750174978127723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Chg_neg_A!$A$3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Chg_neg_A!$B$3:$U$3</c:f>
              <c:numCache>
                <c:formatCode>General</c:formatCode>
                <c:ptCount val="20"/>
                <c:pt idx="0">
                  <c:v>1688.43</c:v>
                </c:pt>
                <c:pt idx="1">
                  <c:v>1125.2739999999999</c:v>
                </c:pt>
                <c:pt idx="2">
                  <c:v>687.31219999999996</c:v>
                </c:pt>
                <c:pt idx="3">
                  <c:v>469.14550000000003</c:v>
                </c:pt>
                <c:pt idx="4">
                  <c:v>347.16739999999999</c:v>
                </c:pt>
                <c:pt idx="5">
                  <c:v>274.00700000000001</c:v>
                </c:pt>
                <c:pt idx="6">
                  <c:v>226.11199999999999</c:v>
                </c:pt>
                <c:pt idx="7">
                  <c:v>191.80070000000001</c:v>
                </c:pt>
                <c:pt idx="8">
                  <c:v>167.0001</c:v>
                </c:pt>
                <c:pt idx="9">
                  <c:v>146.13810000000001</c:v>
                </c:pt>
                <c:pt idx="10">
                  <c:v>131.6481</c:v>
                </c:pt>
                <c:pt idx="11">
                  <c:v>120.3079</c:v>
                </c:pt>
                <c:pt idx="12">
                  <c:v>109.90389999999999</c:v>
                </c:pt>
                <c:pt idx="13">
                  <c:v>99.000900000000001</c:v>
                </c:pt>
                <c:pt idx="14">
                  <c:v>91.821920000000006</c:v>
                </c:pt>
                <c:pt idx="15">
                  <c:v>85.794899999999998</c:v>
                </c:pt>
                <c:pt idx="16">
                  <c:v>80.025980000000004</c:v>
                </c:pt>
                <c:pt idx="17">
                  <c:v>75.504999999999995</c:v>
                </c:pt>
                <c:pt idx="18">
                  <c:v>73.767009999999999</c:v>
                </c:pt>
                <c:pt idx="19">
                  <c:v>70.199060000000003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Chg_neg_A!$A$4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Chg_neg_A!$B$4:$U$4</c:f>
              <c:numCache>
                <c:formatCode>General</c:formatCode>
                <c:ptCount val="20"/>
                <c:pt idx="0">
                  <c:v>2167.181</c:v>
                </c:pt>
                <c:pt idx="1">
                  <c:v>1427.194</c:v>
                </c:pt>
                <c:pt idx="2">
                  <c:v>835.82669999999996</c:v>
                </c:pt>
                <c:pt idx="3">
                  <c:v>559.19719999999995</c:v>
                </c:pt>
                <c:pt idx="4">
                  <c:v>416.04610000000002</c:v>
                </c:pt>
                <c:pt idx="5">
                  <c:v>326.87360000000001</c:v>
                </c:pt>
                <c:pt idx="6">
                  <c:v>276.01920000000001</c:v>
                </c:pt>
                <c:pt idx="7">
                  <c:v>234.59180000000001</c:v>
                </c:pt>
                <c:pt idx="8">
                  <c:v>205.36920000000001</c:v>
                </c:pt>
                <c:pt idx="9">
                  <c:v>182.75399999999999</c:v>
                </c:pt>
                <c:pt idx="10">
                  <c:v>165.35990000000001</c:v>
                </c:pt>
                <c:pt idx="11">
                  <c:v>146.03210000000001</c:v>
                </c:pt>
                <c:pt idx="12">
                  <c:v>135.04490000000001</c:v>
                </c:pt>
                <c:pt idx="13">
                  <c:v>126.6519</c:v>
                </c:pt>
                <c:pt idx="14">
                  <c:v>117.0609</c:v>
                </c:pt>
                <c:pt idx="15">
                  <c:v>109.8028</c:v>
                </c:pt>
                <c:pt idx="16">
                  <c:v>102.5749</c:v>
                </c:pt>
                <c:pt idx="17">
                  <c:v>96.795950000000005</c:v>
                </c:pt>
                <c:pt idx="18">
                  <c:v>91.700999999999993</c:v>
                </c:pt>
                <c:pt idx="19">
                  <c:v>88.134990000000002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Chg_neg_A!$A$5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Chg_neg_A!$B$5:$U$5</c:f>
              <c:numCache>
                <c:formatCode>General</c:formatCode>
                <c:ptCount val="20"/>
                <c:pt idx="0">
                  <c:v>3756.076</c:v>
                </c:pt>
                <c:pt idx="1">
                  <c:v>2468.31</c:v>
                </c:pt>
                <c:pt idx="2">
                  <c:v>1516.7180000000001</c:v>
                </c:pt>
                <c:pt idx="3">
                  <c:v>1045.038</c:v>
                </c:pt>
                <c:pt idx="4">
                  <c:v>786.26729999999998</c:v>
                </c:pt>
                <c:pt idx="5">
                  <c:v>617.30930000000001</c:v>
                </c:pt>
                <c:pt idx="6">
                  <c:v>501.60390000000001</c:v>
                </c:pt>
                <c:pt idx="7">
                  <c:v>422.54950000000002</c:v>
                </c:pt>
                <c:pt idx="8">
                  <c:v>371.30810000000002</c:v>
                </c:pt>
                <c:pt idx="9">
                  <c:v>322.11279999999999</c:v>
                </c:pt>
                <c:pt idx="10">
                  <c:v>291.88310000000001</c:v>
                </c:pt>
                <c:pt idx="11">
                  <c:v>263.71010000000001</c:v>
                </c:pt>
                <c:pt idx="12">
                  <c:v>241.10470000000001</c:v>
                </c:pt>
                <c:pt idx="13">
                  <c:v>222.3604</c:v>
                </c:pt>
                <c:pt idx="14">
                  <c:v>206.78639999999999</c:v>
                </c:pt>
                <c:pt idx="15">
                  <c:v>189.8528</c:v>
                </c:pt>
                <c:pt idx="16">
                  <c:v>176.65090000000001</c:v>
                </c:pt>
                <c:pt idx="17">
                  <c:v>166.15309999999999</c:v>
                </c:pt>
                <c:pt idx="18">
                  <c:v>159.87090000000001</c:v>
                </c:pt>
                <c:pt idx="19">
                  <c:v>151.9709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Chg_neg_A!$A$6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Chg_neg_A!$B$6:$U$6</c:f>
              <c:numCache>
                <c:formatCode>General</c:formatCode>
                <c:ptCount val="20"/>
                <c:pt idx="0">
                  <c:v>1147.242</c:v>
                </c:pt>
                <c:pt idx="1">
                  <c:v>612.23159999999996</c:v>
                </c:pt>
                <c:pt idx="2">
                  <c:v>339.90069999999997</c:v>
                </c:pt>
                <c:pt idx="3">
                  <c:v>226.45580000000001</c:v>
                </c:pt>
                <c:pt idx="4">
                  <c:v>162.6097</c:v>
                </c:pt>
                <c:pt idx="5">
                  <c:v>125.8428</c:v>
                </c:pt>
                <c:pt idx="6">
                  <c:v>99.914940000000001</c:v>
                </c:pt>
                <c:pt idx="7">
                  <c:v>83.044049999999999</c:v>
                </c:pt>
                <c:pt idx="8">
                  <c:v>71.076070000000001</c:v>
                </c:pt>
                <c:pt idx="9">
                  <c:v>62.317010000000003</c:v>
                </c:pt>
                <c:pt idx="10">
                  <c:v>55.326999999999998</c:v>
                </c:pt>
                <c:pt idx="11">
                  <c:v>49.584989999999998</c:v>
                </c:pt>
                <c:pt idx="12">
                  <c:v>46.89</c:v>
                </c:pt>
                <c:pt idx="13">
                  <c:v>42.371000000000002</c:v>
                </c:pt>
                <c:pt idx="14">
                  <c:v>39.043999999999997</c:v>
                </c:pt>
                <c:pt idx="15">
                  <c:v>35.482999999999997</c:v>
                </c:pt>
                <c:pt idx="16">
                  <c:v>34.055999999999997</c:v>
                </c:pt>
                <c:pt idx="17">
                  <c:v>32.143000000000001</c:v>
                </c:pt>
                <c:pt idx="18">
                  <c:v>29.555</c:v>
                </c:pt>
                <c:pt idx="19">
                  <c:v>28.33201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Chg_neg_A!$A$7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Chg_neg_A!$B$7:$U$7</c:f>
              <c:numCache>
                <c:formatCode>General</c:formatCode>
                <c:ptCount val="20"/>
                <c:pt idx="0">
                  <c:v>1128.7</c:v>
                </c:pt>
                <c:pt idx="1">
                  <c:v>617.46690000000001</c:v>
                </c:pt>
                <c:pt idx="2">
                  <c:v>349.48430000000002</c:v>
                </c:pt>
                <c:pt idx="3">
                  <c:v>233.64869999999999</c:v>
                </c:pt>
                <c:pt idx="4">
                  <c:v>173.66290000000001</c:v>
                </c:pt>
                <c:pt idx="5">
                  <c:v>136.8366</c:v>
                </c:pt>
                <c:pt idx="6">
                  <c:v>112.8378</c:v>
                </c:pt>
                <c:pt idx="7">
                  <c:v>95.33502</c:v>
                </c:pt>
                <c:pt idx="8">
                  <c:v>84.986040000000003</c:v>
                </c:pt>
                <c:pt idx="9">
                  <c:v>75.508030000000005</c:v>
                </c:pt>
                <c:pt idx="10">
                  <c:v>65.400019999999998</c:v>
                </c:pt>
                <c:pt idx="11">
                  <c:v>59.377000000000002</c:v>
                </c:pt>
                <c:pt idx="12">
                  <c:v>52.694989999999997</c:v>
                </c:pt>
                <c:pt idx="13">
                  <c:v>47.933010000000003</c:v>
                </c:pt>
                <c:pt idx="14">
                  <c:v>44.568010000000001</c:v>
                </c:pt>
                <c:pt idx="15">
                  <c:v>42.911000000000001</c:v>
                </c:pt>
                <c:pt idx="16">
                  <c:v>40.704000000000001</c:v>
                </c:pt>
                <c:pt idx="17">
                  <c:v>36.917999999999999</c:v>
                </c:pt>
                <c:pt idx="18">
                  <c:v>35.03199</c:v>
                </c:pt>
                <c:pt idx="19">
                  <c:v>33.841000000000001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Chg_neg_A!$A$8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Chg_neg_A!$B$8:$U$8</c:f>
              <c:numCache>
                <c:formatCode>General</c:formatCode>
                <c:ptCount val="20"/>
                <c:pt idx="0">
                  <c:v>1154.9929999999999</c:v>
                </c:pt>
                <c:pt idx="1">
                  <c:v>637.89359999999999</c:v>
                </c:pt>
                <c:pt idx="2">
                  <c:v>344.298</c:v>
                </c:pt>
                <c:pt idx="3">
                  <c:v>228.56399999999999</c:v>
                </c:pt>
                <c:pt idx="4">
                  <c:v>165.1747</c:v>
                </c:pt>
                <c:pt idx="5">
                  <c:v>127.5245</c:v>
                </c:pt>
                <c:pt idx="6">
                  <c:v>102.0299</c:v>
                </c:pt>
                <c:pt idx="7">
                  <c:v>84.076980000000006</c:v>
                </c:pt>
                <c:pt idx="8">
                  <c:v>74.20805</c:v>
                </c:pt>
                <c:pt idx="9">
                  <c:v>62.830010000000001</c:v>
                </c:pt>
                <c:pt idx="10">
                  <c:v>55.614989999999999</c:v>
                </c:pt>
                <c:pt idx="11">
                  <c:v>51.499980000000001</c:v>
                </c:pt>
                <c:pt idx="12">
                  <c:v>45.513010000000001</c:v>
                </c:pt>
                <c:pt idx="13">
                  <c:v>41.197009999999999</c:v>
                </c:pt>
                <c:pt idx="14">
                  <c:v>37.610010000000003</c:v>
                </c:pt>
                <c:pt idx="15">
                  <c:v>35.244990000000001</c:v>
                </c:pt>
                <c:pt idx="16">
                  <c:v>32.82799</c:v>
                </c:pt>
                <c:pt idx="17">
                  <c:v>30.18899</c:v>
                </c:pt>
                <c:pt idx="18">
                  <c:v>28.318989999999999</c:v>
                </c:pt>
                <c:pt idx="19">
                  <c:v>26.91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Chg_neg_A!$A$9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Chg_neg_A!$B$9:$U$9</c:f>
              <c:numCache>
                <c:formatCode>General</c:formatCode>
                <c:ptCount val="20"/>
                <c:pt idx="0">
                  <c:v>1118.1679999999999</c:v>
                </c:pt>
                <c:pt idx="1">
                  <c:v>607.00130000000001</c:v>
                </c:pt>
                <c:pt idx="2">
                  <c:v>327.99689999999998</c:v>
                </c:pt>
                <c:pt idx="3">
                  <c:v>220.3759</c:v>
                </c:pt>
                <c:pt idx="4">
                  <c:v>159.0566</c:v>
                </c:pt>
                <c:pt idx="5">
                  <c:v>119.76560000000001</c:v>
                </c:pt>
                <c:pt idx="6">
                  <c:v>100.0309</c:v>
                </c:pt>
                <c:pt idx="7">
                  <c:v>86.387990000000002</c:v>
                </c:pt>
                <c:pt idx="8">
                  <c:v>75.309060000000002</c:v>
                </c:pt>
                <c:pt idx="9">
                  <c:v>67.046030000000002</c:v>
                </c:pt>
                <c:pt idx="10">
                  <c:v>59.095019999999998</c:v>
                </c:pt>
                <c:pt idx="11">
                  <c:v>52.402999999999999</c:v>
                </c:pt>
                <c:pt idx="12">
                  <c:v>49.008000000000003</c:v>
                </c:pt>
                <c:pt idx="13">
                  <c:v>45.126010000000001</c:v>
                </c:pt>
                <c:pt idx="14">
                  <c:v>41.999029999999998</c:v>
                </c:pt>
                <c:pt idx="15">
                  <c:v>38.462000000000003</c:v>
                </c:pt>
                <c:pt idx="16">
                  <c:v>35.608989999999999</c:v>
                </c:pt>
                <c:pt idx="17">
                  <c:v>33.708970000000001</c:v>
                </c:pt>
                <c:pt idx="18">
                  <c:v>31.35999</c:v>
                </c:pt>
                <c:pt idx="19">
                  <c:v>30.420999999999999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Chg_neg_A!$A$10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Chg_neg_A!$B$10:$U$10</c:f>
              <c:numCache>
                <c:formatCode>General</c:formatCode>
                <c:ptCount val="20"/>
                <c:pt idx="0">
                  <c:v>1637.0440000000001</c:v>
                </c:pt>
                <c:pt idx="1">
                  <c:v>874.19280000000003</c:v>
                </c:pt>
                <c:pt idx="2">
                  <c:v>472.01819999999998</c:v>
                </c:pt>
                <c:pt idx="3">
                  <c:v>309.41070000000002</c:v>
                </c:pt>
                <c:pt idx="4">
                  <c:v>221.16300000000001</c:v>
                </c:pt>
                <c:pt idx="5">
                  <c:v>169.0145</c:v>
                </c:pt>
                <c:pt idx="6">
                  <c:v>132.8407</c:v>
                </c:pt>
                <c:pt idx="7">
                  <c:v>111.542</c:v>
                </c:pt>
                <c:pt idx="8">
                  <c:v>96.580070000000006</c:v>
                </c:pt>
                <c:pt idx="9">
                  <c:v>85.822109999999995</c:v>
                </c:pt>
                <c:pt idx="10">
                  <c:v>77.555149999999998</c:v>
                </c:pt>
                <c:pt idx="11">
                  <c:v>69.409099999999995</c:v>
                </c:pt>
                <c:pt idx="12">
                  <c:v>63.609969999999997</c:v>
                </c:pt>
                <c:pt idx="13">
                  <c:v>57.226990000000001</c:v>
                </c:pt>
                <c:pt idx="14">
                  <c:v>52.894010000000002</c:v>
                </c:pt>
                <c:pt idx="15">
                  <c:v>49.601019999999998</c:v>
                </c:pt>
                <c:pt idx="16">
                  <c:v>46.246009999999998</c:v>
                </c:pt>
                <c:pt idx="17">
                  <c:v>42.90701</c:v>
                </c:pt>
                <c:pt idx="18">
                  <c:v>40.79598</c:v>
                </c:pt>
                <c:pt idx="19">
                  <c:v>37.76099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Chg_neg_A!$A$11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Chg_neg_A!$B$11:$U$11</c:f>
              <c:numCache>
                <c:formatCode>General</c:formatCode>
                <c:ptCount val="20"/>
                <c:pt idx="0">
                  <c:v>1659.19</c:v>
                </c:pt>
                <c:pt idx="1">
                  <c:v>893.47860000000003</c:v>
                </c:pt>
                <c:pt idx="2">
                  <c:v>486.98110000000003</c:v>
                </c:pt>
                <c:pt idx="3">
                  <c:v>312.9751</c:v>
                </c:pt>
                <c:pt idx="4">
                  <c:v>226.97880000000001</c:v>
                </c:pt>
                <c:pt idx="5">
                  <c:v>176.92769999999999</c:v>
                </c:pt>
                <c:pt idx="6">
                  <c:v>141.94069999999999</c:v>
                </c:pt>
                <c:pt idx="7">
                  <c:v>118.238</c:v>
                </c:pt>
                <c:pt idx="8">
                  <c:v>100.8441</c:v>
                </c:pt>
                <c:pt idx="9">
                  <c:v>85.338099999999997</c:v>
                </c:pt>
                <c:pt idx="10">
                  <c:v>75.447100000000006</c:v>
                </c:pt>
                <c:pt idx="11">
                  <c:v>65.655029999999996</c:v>
                </c:pt>
                <c:pt idx="12">
                  <c:v>58.930970000000002</c:v>
                </c:pt>
                <c:pt idx="13">
                  <c:v>53.678989999999999</c:v>
                </c:pt>
                <c:pt idx="14">
                  <c:v>50.789009999999998</c:v>
                </c:pt>
                <c:pt idx="15">
                  <c:v>45.825009999999999</c:v>
                </c:pt>
                <c:pt idx="16">
                  <c:v>42.927010000000003</c:v>
                </c:pt>
                <c:pt idx="17">
                  <c:v>40.307989999999997</c:v>
                </c:pt>
                <c:pt idx="18">
                  <c:v>37.750999999999998</c:v>
                </c:pt>
                <c:pt idx="19">
                  <c:v>37.047989999999999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Chg_neg_A!$A$12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Chg_neg_A!$B$12:$U$12</c:f>
              <c:numCache>
                <c:formatCode>General</c:formatCode>
                <c:ptCount val="20"/>
                <c:pt idx="0">
                  <c:v>1226.3779999999999</c:v>
                </c:pt>
                <c:pt idx="1">
                  <c:v>705.48739999999998</c:v>
                </c:pt>
                <c:pt idx="2">
                  <c:v>404.64670000000001</c:v>
                </c:pt>
                <c:pt idx="3">
                  <c:v>276.72129999999999</c:v>
                </c:pt>
                <c:pt idx="4">
                  <c:v>205.11189999999999</c:v>
                </c:pt>
                <c:pt idx="5">
                  <c:v>159.8236</c:v>
                </c:pt>
                <c:pt idx="6">
                  <c:v>132.92169999999999</c:v>
                </c:pt>
                <c:pt idx="7">
                  <c:v>114.04600000000001</c:v>
                </c:pt>
                <c:pt idx="8">
                  <c:v>99.760120000000001</c:v>
                </c:pt>
                <c:pt idx="9">
                  <c:v>90.930170000000004</c:v>
                </c:pt>
                <c:pt idx="10">
                  <c:v>81.511179999999996</c:v>
                </c:pt>
                <c:pt idx="11">
                  <c:v>75.867109999999997</c:v>
                </c:pt>
                <c:pt idx="12">
                  <c:v>69.373980000000003</c:v>
                </c:pt>
                <c:pt idx="13">
                  <c:v>64.102940000000004</c:v>
                </c:pt>
                <c:pt idx="14">
                  <c:v>58.38897</c:v>
                </c:pt>
                <c:pt idx="15">
                  <c:v>54.84498</c:v>
                </c:pt>
                <c:pt idx="16">
                  <c:v>52.874989999999997</c:v>
                </c:pt>
                <c:pt idx="17">
                  <c:v>49.313980000000001</c:v>
                </c:pt>
                <c:pt idx="18">
                  <c:v>46.732990000000001</c:v>
                </c:pt>
                <c:pt idx="19">
                  <c:v>44.386989999999997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Chg_neg_A!$A$13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Chg_neg_A!$B$13:$U$13</c:f>
              <c:numCache>
                <c:formatCode>General</c:formatCode>
                <c:ptCount val="20"/>
                <c:pt idx="0">
                  <c:v>1215.99</c:v>
                </c:pt>
                <c:pt idx="1">
                  <c:v>701.94129999999996</c:v>
                </c:pt>
                <c:pt idx="2">
                  <c:v>415.68259999999998</c:v>
                </c:pt>
                <c:pt idx="3">
                  <c:v>280.09539999999998</c:v>
                </c:pt>
                <c:pt idx="4">
                  <c:v>212.56890000000001</c:v>
                </c:pt>
                <c:pt idx="5">
                  <c:v>165.12569999999999</c:v>
                </c:pt>
                <c:pt idx="6">
                  <c:v>136.65479999999999</c:v>
                </c:pt>
                <c:pt idx="7">
                  <c:v>115.66</c:v>
                </c:pt>
                <c:pt idx="8">
                  <c:v>99.574100000000001</c:v>
                </c:pt>
                <c:pt idx="9">
                  <c:v>87.885130000000004</c:v>
                </c:pt>
                <c:pt idx="10">
                  <c:v>80.266159999999999</c:v>
                </c:pt>
                <c:pt idx="11">
                  <c:v>72.801090000000002</c:v>
                </c:pt>
                <c:pt idx="12">
                  <c:v>67.731999999999999</c:v>
                </c:pt>
                <c:pt idx="13">
                  <c:v>62.246960000000001</c:v>
                </c:pt>
                <c:pt idx="14">
                  <c:v>57.226999999999997</c:v>
                </c:pt>
                <c:pt idx="15">
                  <c:v>54.357999999999997</c:v>
                </c:pt>
                <c:pt idx="16">
                  <c:v>50.499020000000002</c:v>
                </c:pt>
                <c:pt idx="17">
                  <c:v>48.128990000000002</c:v>
                </c:pt>
                <c:pt idx="18">
                  <c:v>45.086979999999997</c:v>
                </c:pt>
                <c:pt idx="19">
                  <c:v>42.985990000000001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Chg_neg_A!$A$14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Chg_neg_A!$B$14:$U$14</c:f>
              <c:numCache>
                <c:formatCode>General</c:formatCode>
                <c:ptCount val="20"/>
                <c:pt idx="0">
                  <c:v>1207.0509999999999</c:v>
                </c:pt>
                <c:pt idx="1">
                  <c:v>687.51350000000002</c:v>
                </c:pt>
                <c:pt idx="2">
                  <c:v>389.86090000000002</c:v>
                </c:pt>
                <c:pt idx="3">
                  <c:v>263.17660000000001</c:v>
                </c:pt>
                <c:pt idx="4">
                  <c:v>195.26400000000001</c:v>
                </c:pt>
                <c:pt idx="5">
                  <c:v>153.0087</c:v>
                </c:pt>
                <c:pt idx="6">
                  <c:v>126.54470000000001</c:v>
                </c:pt>
                <c:pt idx="7">
                  <c:v>105.26900000000001</c:v>
                </c:pt>
                <c:pt idx="8">
                  <c:v>92.470089999999999</c:v>
                </c:pt>
                <c:pt idx="9">
                  <c:v>81.927120000000002</c:v>
                </c:pt>
                <c:pt idx="10">
                  <c:v>74.874129999999994</c:v>
                </c:pt>
                <c:pt idx="11">
                  <c:v>68.114040000000003</c:v>
                </c:pt>
                <c:pt idx="12">
                  <c:v>62.782940000000004</c:v>
                </c:pt>
                <c:pt idx="13">
                  <c:v>57.777970000000003</c:v>
                </c:pt>
                <c:pt idx="14">
                  <c:v>52.534999999999997</c:v>
                </c:pt>
                <c:pt idx="15">
                  <c:v>50.360990000000001</c:v>
                </c:pt>
                <c:pt idx="16">
                  <c:v>47.015000000000001</c:v>
                </c:pt>
                <c:pt idx="17">
                  <c:v>44.171010000000003</c:v>
                </c:pt>
                <c:pt idx="18">
                  <c:v>42.050980000000003</c:v>
                </c:pt>
                <c:pt idx="19">
                  <c:v>40.181980000000003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Chg_neg_A!$A$15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Chg_neg_A!$B$15:$U$15</c:f>
              <c:numCache>
                <c:formatCode>General</c:formatCode>
                <c:ptCount val="20"/>
                <c:pt idx="0">
                  <c:v>2888.8710000000001</c:v>
                </c:pt>
                <c:pt idx="1">
                  <c:v>1954.7360000000001</c:v>
                </c:pt>
                <c:pt idx="2">
                  <c:v>1205.4280000000001</c:v>
                </c:pt>
                <c:pt idx="3">
                  <c:v>821.02170000000001</c:v>
                </c:pt>
                <c:pt idx="4">
                  <c:v>621.87189999999998</c:v>
                </c:pt>
                <c:pt idx="5">
                  <c:v>491.3571</c:v>
                </c:pt>
                <c:pt idx="6">
                  <c:v>403.47410000000002</c:v>
                </c:pt>
                <c:pt idx="7">
                  <c:v>346.96190000000001</c:v>
                </c:pt>
                <c:pt idx="8">
                  <c:v>298.59249999999997</c:v>
                </c:pt>
                <c:pt idx="9">
                  <c:v>267.12009999999998</c:v>
                </c:pt>
                <c:pt idx="10">
                  <c:v>240.3347</c:v>
                </c:pt>
                <c:pt idx="11">
                  <c:v>218.7561</c:v>
                </c:pt>
                <c:pt idx="12">
                  <c:v>200.27699999999999</c:v>
                </c:pt>
                <c:pt idx="13">
                  <c:v>187.6797</c:v>
                </c:pt>
                <c:pt idx="14">
                  <c:v>172.18270000000001</c:v>
                </c:pt>
                <c:pt idx="15">
                  <c:v>162.39779999999999</c:v>
                </c:pt>
                <c:pt idx="16">
                  <c:v>150.0788</c:v>
                </c:pt>
                <c:pt idx="17">
                  <c:v>141.1499</c:v>
                </c:pt>
                <c:pt idx="18">
                  <c:v>134.5658</c:v>
                </c:pt>
                <c:pt idx="19">
                  <c:v>126.6728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Chg_neg_A!$A$16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Chg_neg_A!$B$16:$U$16</c:f>
              <c:numCache>
                <c:formatCode>General</c:formatCode>
                <c:ptCount val="20"/>
                <c:pt idx="0">
                  <c:v>3246.7779999999998</c:v>
                </c:pt>
                <c:pt idx="1">
                  <c:v>1783.1690000000001</c:v>
                </c:pt>
                <c:pt idx="2">
                  <c:v>945.90099999999995</c:v>
                </c:pt>
                <c:pt idx="3">
                  <c:v>625.31439999999998</c:v>
                </c:pt>
                <c:pt idx="4">
                  <c:v>462.52809999999999</c:v>
                </c:pt>
                <c:pt idx="5">
                  <c:v>357.42020000000002</c:v>
                </c:pt>
                <c:pt idx="6">
                  <c:v>287.79790000000003</c:v>
                </c:pt>
                <c:pt idx="7">
                  <c:v>244.71799999999999</c:v>
                </c:pt>
                <c:pt idx="8">
                  <c:v>214.53739999999999</c:v>
                </c:pt>
                <c:pt idx="9">
                  <c:v>187.29920000000001</c:v>
                </c:pt>
                <c:pt idx="10">
                  <c:v>165.09710000000001</c:v>
                </c:pt>
                <c:pt idx="11">
                  <c:v>149.69640000000001</c:v>
                </c:pt>
                <c:pt idx="12">
                  <c:v>138.75630000000001</c:v>
                </c:pt>
                <c:pt idx="13">
                  <c:v>127.99850000000001</c:v>
                </c:pt>
                <c:pt idx="14">
                  <c:v>117.98350000000001</c:v>
                </c:pt>
                <c:pt idx="15">
                  <c:v>109.2325</c:v>
                </c:pt>
                <c:pt idx="16">
                  <c:v>102.0822</c:v>
                </c:pt>
                <c:pt idx="17">
                  <c:v>96.595179999999999</c:v>
                </c:pt>
                <c:pt idx="18">
                  <c:v>91.886020000000002</c:v>
                </c:pt>
                <c:pt idx="19">
                  <c:v>88.599000000000004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Chg_neg_A!$A$17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Chg_neg_A!$B$17:$U$17</c:f>
              <c:numCache>
                <c:formatCode>General</c:formatCode>
                <c:ptCount val="20"/>
                <c:pt idx="0">
                  <c:v>3419.3580000000002</c:v>
                </c:pt>
                <c:pt idx="1">
                  <c:v>1841.9290000000001</c:v>
                </c:pt>
                <c:pt idx="2">
                  <c:v>959.8</c:v>
                </c:pt>
                <c:pt idx="3">
                  <c:v>630.29160000000002</c:v>
                </c:pt>
                <c:pt idx="4">
                  <c:v>461.32909999999998</c:v>
                </c:pt>
                <c:pt idx="5">
                  <c:v>362.71460000000002</c:v>
                </c:pt>
                <c:pt idx="6">
                  <c:v>298.14460000000003</c:v>
                </c:pt>
                <c:pt idx="7">
                  <c:v>252.49680000000001</c:v>
                </c:pt>
                <c:pt idx="8">
                  <c:v>215.93100000000001</c:v>
                </c:pt>
                <c:pt idx="9">
                  <c:v>194.84710000000001</c:v>
                </c:pt>
                <c:pt idx="10">
                  <c:v>173.04689999999999</c:v>
                </c:pt>
                <c:pt idx="11">
                  <c:v>156.0104</c:v>
                </c:pt>
                <c:pt idx="12">
                  <c:v>145.08029999999999</c:v>
                </c:pt>
                <c:pt idx="13">
                  <c:v>133.12049999999999</c:v>
                </c:pt>
                <c:pt idx="14">
                  <c:v>124.2346</c:v>
                </c:pt>
                <c:pt idx="15">
                  <c:v>115.9006</c:v>
                </c:pt>
                <c:pt idx="16">
                  <c:v>108.55419999999999</c:v>
                </c:pt>
                <c:pt idx="17">
                  <c:v>102.5652</c:v>
                </c:pt>
                <c:pt idx="18">
                  <c:v>97.616020000000006</c:v>
                </c:pt>
                <c:pt idx="19">
                  <c:v>92.456940000000003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Chg_neg_A!$A$18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Chg_neg_A!$B$18:$U$18</c:f>
              <c:numCache>
                <c:formatCode>General</c:formatCode>
                <c:ptCount val="20"/>
                <c:pt idx="0">
                  <c:v>3310.875</c:v>
                </c:pt>
                <c:pt idx="1">
                  <c:v>1767.652</c:v>
                </c:pt>
                <c:pt idx="2">
                  <c:v>925.2047</c:v>
                </c:pt>
                <c:pt idx="3">
                  <c:v>603.91129999999998</c:v>
                </c:pt>
                <c:pt idx="4">
                  <c:v>430.40769999999998</c:v>
                </c:pt>
                <c:pt idx="5">
                  <c:v>334.85329999999999</c:v>
                </c:pt>
                <c:pt idx="6">
                  <c:v>274.09059999999999</c:v>
                </c:pt>
                <c:pt idx="7">
                  <c:v>235.4195</c:v>
                </c:pt>
                <c:pt idx="8">
                  <c:v>200.51519999999999</c:v>
                </c:pt>
                <c:pt idx="9">
                  <c:v>179.0324</c:v>
                </c:pt>
                <c:pt idx="10">
                  <c:v>158.75800000000001</c:v>
                </c:pt>
                <c:pt idx="11">
                  <c:v>144.82749999999999</c:v>
                </c:pt>
                <c:pt idx="12">
                  <c:v>131.81639999999999</c:v>
                </c:pt>
                <c:pt idx="13">
                  <c:v>119.62649999999999</c:v>
                </c:pt>
                <c:pt idx="14">
                  <c:v>111.41549999999999</c:v>
                </c:pt>
                <c:pt idx="15">
                  <c:v>103.87350000000001</c:v>
                </c:pt>
                <c:pt idx="16">
                  <c:v>97.61112</c:v>
                </c:pt>
                <c:pt idx="17">
                  <c:v>91.899029999999996</c:v>
                </c:pt>
                <c:pt idx="18">
                  <c:v>87.907960000000003</c:v>
                </c:pt>
                <c:pt idx="19">
                  <c:v>83.46696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Chg_neg_A!$A$19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Chg_neg_A!$B$19:$U$19</c:f>
              <c:numCache>
                <c:formatCode>General</c:formatCode>
                <c:ptCount val="20"/>
                <c:pt idx="0">
                  <c:v>6978.6859999999997</c:v>
                </c:pt>
                <c:pt idx="1">
                  <c:v>4434.6729999999998</c:v>
                </c:pt>
                <c:pt idx="2">
                  <c:v>2538.7759999999998</c:v>
                </c:pt>
                <c:pt idx="3">
                  <c:v>1696.443</c:v>
                </c:pt>
                <c:pt idx="4">
                  <c:v>1234.7149999999999</c:v>
                </c:pt>
                <c:pt idx="5">
                  <c:v>963.60659999999996</c:v>
                </c:pt>
                <c:pt idx="6">
                  <c:v>778.74350000000004</c:v>
                </c:pt>
                <c:pt idx="7">
                  <c:v>652.86659999999995</c:v>
                </c:pt>
                <c:pt idx="8">
                  <c:v>562.40729999999996</c:v>
                </c:pt>
                <c:pt idx="9">
                  <c:v>489.06459999999998</c:v>
                </c:pt>
                <c:pt idx="10">
                  <c:v>435.88499999999999</c:v>
                </c:pt>
                <c:pt idx="11">
                  <c:v>390.83010000000002</c:v>
                </c:pt>
                <c:pt idx="12">
                  <c:v>352.50990000000002</c:v>
                </c:pt>
                <c:pt idx="13">
                  <c:v>321.53449999999998</c:v>
                </c:pt>
                <c:pt idx="14">
                  <c:v>300.50240000000002</c:v>
                </c:pt>
                <c:pt idx="15">
                  <c:v>279.85610000000003</c:v>
                </c:pt>
                <c:pt idx="16">
                  <c:v>261.59769999999997</c:v>
                </c:pt>
                <c:pt idx="17">
                  <c:v>242.77889999999999</c:v>
                </c:pt>
                <c:pt idx="18">
                  <c:v>227.36420000000001</c:v>
                </c:pt>
                <c:pt idx="19">
                  <c:v>216.80770000000001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Chg_neg_A!$A$20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Chg_neg_A!$B$20:$U$20</c:f>
              <c:numCache>
                <c:formatCode>General</c:formatCode>
                <c:ptCount val="20"/>
                <c:pt idx="0">
                  <c:v>7066.8419999999996</c:v>
                </c:pt>
                <c:pt idx="1">
                  <c:v>4501.9520000000002</c:v>
                </c:pt>
                <c:pt idx="2">
                  <c:v>2550.154</c:v>
                </c:pt>
                <c:pt idx="3">
                  <c:v>1672.9369999999999</c:v>
                </c:pt>
                <c:pt idx="4">
                  <c:v>1209.739</c:v>
                </c:pt>
                <c:pt idx="5">
                  <c:v>935.04510000000005</c:v>
                </c:pt>
                <c:pt idx="6">
                  <c:v>758.80089999999996</c:v>
                </c:pt>
                <c:pt idx="7">
                  <c:v>633.54110000000003</c:v>
                </c:pt>
                <c:pt idx="8">
                  <c:v>542.38120000000004</c:v>
                </c:pt>
                <c:pt idx="9">
                  <c:v>477.97859999999997</c:v>
                </c:pt>
                <c:pt idx="10">
                  <c:v>428.15269999999998</c:v>
                </c:pt>
                <c:pt idx="11">
                  <c:v>381.7645</c:v>
                </c:pt>
                <c:pt idx="12">
                  <c:v>347.98320000000001</c:v>
                </c:pt>
                <c:pt idx="13">
                  <c:v>321.42009999999999</c:v>
                </c:pt>
                <c:pt idx="14">
                  <c:v>294.36770000000001</c:v>
                </c:pt>
                <c:pt idx="15">
                  <c:v>275.06400000000002</c:v>
                </c:pt>
                <c:pt idx="16">
                  <c:v>259.74459999999999</c:v>
                </c:pt>
                <c:pt idx="17">
                  <c:v>244.29349999999999</c:v>
                </c:pt>
                <c:pt idx="18">
                  <c:v>227.30420000000001</c:v>
                </c:pt>
                <c:pt idx="19">
                  <c:v>216.71559999999999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Chg_neg_A!$A$21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Chg_neg_A!$B$21:$U$21</c:f>
              <c:numCache>
                <c:formatCode>General</c:formatCode>
                <c:ptCount val="20"/>
                <c:pt idx="0">
                  <c:v>7096.92</c:v>
                </c:pt>
                <c:pt idx="1">
                  <c:v>4519.7370000000001</c:v>
                </c:pt>
                <c:pt idx="2">
                  <c:v>2568.8939999999998</c:v>
                </c:pt>
                <c:pt idx="3">
                  <c:v>1673.2539999999999</c:v>
                </c:pt>
                <c:pt idx="4">
                  <c:v>1212.473</c:v>
                </c:pt>
                <c:pt idx="5">
                  <c:v>939.83389999999997</c:v>
                </c:pt>
                <c:pt idx="6">
                  <c:v>758.11540000000002</c:v>
                </c:pt>
                <c:pt idx="7">
                  <c:v>637.99580000000003</c:v>
                </c:pt>
                <c:pt idx="8">
                  <c:v>551.22389999999996</c:v>
                </c:pt>
                <c:pt idx="9">
                  <c:v>483.91930000000002</c:v>
                </c:pt>
                <c:pt idx="10">
                  <c:v>429.44380000000001</c:v>
                </c:pt>
                <c:pt idx="11">
                  <c:v>386.0582</c:v>
                </c:pt>
                <c:pt idx="12">
                  <c:v>350.97460000000001</c:v>
                </c:pt>
                <c:pt idx="13">
                  <c:v>325.58620000000002</c:v>
                </c:pt>
                <c:pt idx="14">
                  <c:v>303.27960000000002</c:v>
                </c:pt>
                <c:pt idx="15">
                  <c:v>281.75380000000001</c:v>
                </c:pt>
                <c:pt idx="16">
                  <c:v>264.4237</c:v>
                </c:pt>
                <c:pt idx="17">
                  <c:v>250.6026</c:v>
                </c:pt>
                <c:pt idx="18">
                  <c:v>230.68100000000001</c:v>
                </c:pt>
                <c:pt idx="19">
                  <c:v>216.96559999999999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Chg_neg_A!$A$22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Chg_neg_A!$B$22:$U$22</c:f>
              <c:numCache>
                <c:formatCode>General</c:formatCode>
                <c:ptCount val="20"/>
                <c:pt idx="0">
                  <c:v>6994.9849999999997</c:v>
                </c:pt>
                <c:pt idx="1">
                  <c:v>4479.0140000000001</c:v>
                </c:pt>
                <c:pt idx="2">
                  <c:v>2583.4699999999998</c:v>
                </c:pt>
                <c:pt idx="3">
                  <c:v>1699.701</c:v>
                </c:pt>
                <c:pt idx="4">
                  <c:v>1231.3530000000001</c:v>
                </c:pt>
                <c:pt idx="5">
                  <c:v>960.97230000000002</c:v>
                </c:pt>
                <c:pt idx="6">
                  <c:v>783.49270000000001</c:v>
                </c:pt>
                <c:pt idx="7">
                  <c:v>654.14509999999996</c:v>
                </c:pt>
                <c:pt idx="8">
                  <c:v>560.12869999999998</c:v>
                </c:pt>
                <c:pt idx="9">
                  <c:v>486.95479999999998</c:v>
                </c:pt>
                <c:pt idx="10">
                  <c:v>427.82459999999998</c:v>
                </c:pt>
                <c:pt idx="11">
                  <c:v>390.63929999999999</c:v>
                </c:pt>
                <c:pt idx="12">
                  <c:v>354.76479999999998</c:v>
                </c:pt>
                <c:pt idx="13">
                  <c:v>324.99919999999997</c:v>
                </c:pt>
                <c:pt idx="14">
                  <c:v>300.35050000000001</c:v>
                </c:pt>
                <c:pt idx="15">
                  <c:v>281.149</c:v>
                </c:pt>
                <c:pt idx="16">
                  <c:v>260.43860000000001</c:v>
                </c:pt>
                <c:pt idx="17">
                  <c:v>246.2987</c:v>
                </c:pt>
                <c:pt idx="18">
                  <c:v>231.4641</c:v>
                </c:pt>
                <c:pt idx="19">
                  <c:v>219.02850000000001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Chg_neg_A!$A$23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Chg_neg_A!$B$23:$U$23</c:f>
              <c:numCache>
                <c:formatCode>General</c:formatCode>
                <c:ptCount val="20"/>
                <c:pt idx="0">
                  <c:v>7081.0159999999996</c:v>
                </c:pt>
                <c:pt idx="1">
                  <c:v>4527.1319999999996</c:v>
                </c:pt>
                <c:pt idx="2">
                  <c:v>2560.3020000000001</c:v>
                </c:pt>
                <c:pt idx="3">
                  <c:v>1672.2819999999999</c:v>
                </c:pt>
                <c:pt idx="4">
                  <c:v>1216.373</c:v>
                </c:pt>
                <c:pt idx="5">
                  <c:v>942.02250000000004</c:v>
                </c:pt>
                <c:pt idx="6">
                  <c:v>761.11310000000003</c:v>
                </c:pt>
                <c:pt idx="7">
                  <c:v>641.7106</c:v>
                </c:pt>
                <c:pt idx="8">
                  <c:v>549.5462</c:v>
                </c:pt>
                <c:pt idx="9">
                  <c:v>478.94510000000002</c:v>
                </c:pt>
                <c:pt idx="10">
                  <c:v>428.2174</c:v>
                </c:pt>
                <c:pt idx="11">
                  <c:v>384.2106</c:v>
                </c:pt>
                <c:pt idx="12">
                  <c:v>349.89049999999997</c:v>
                </c:pt>
                <c:pt idx="13">
                  <c:v>319.64499999999998</c:v>
                </c:pt>
                <c:pt idx="14">
                  <c:v>296.73090000000002</c:v>
                </c:pt>
                <c:pt idx="15">
                  <c:v>276.24509999999998</c:v>
                </c:pt>
                <c:pt idx="16">
                  <c:v>256.70260000000002</c:v>
                </c:pt>
                <c:pt idx="17">
                  <c:v>243.50049999999999</c:v>
                </c:pt>
                <c:pt idx="18">
                  <c:v>224.65520000000001</c:v>
                </c:pt>
                <c:pt idx="19">
                  <c:v>214.06379999999999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Chg_neg_A!$A$24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Chg_neg_A!$B$24:$U$24</c:f>
              <c:numCache>
                <c:formatCode>General</c:formatCode>
                <c:ptCount val="20"/>
                <c:pt idx="0">
                  <c:v>6985.5770000000002</c:v>
                </c:pt>
                <c:pt idx="1">
                  <c:v>4492.4750000000004</c:v>
                </c:pt>
                <c:pt idx="2">
                  <c:v>2564.498</c:v>
                </c:pt>
                <c:pt idx="3">
                  <c:v>1726.366</c:v>
                </c:pt>
                <c:pt idx="4">
                  <c:v>1259.9010000000001</c:v>
                </c:pt>
                <c:pt idx="5">
                  <c:v>967.654</c:v>
                </c:pt>
                <c:pt idx="6">
                  <c:v>778.89409999999998</c:v>
                </c:pt>
                <c:pt idx="7">
                  <c:v>650.6087</c:v>
                </c:pt>
                <c:pt idx="8">
                  <c:v>563.1019</c:v>
                </c:pt>
                <c:pt idx="9">
                  <c:v>493.01350000000002</c:v>
                </c:pt>
                <c:pt idx="10">
                  <c:v>436.30810000000002</c:v>
                </c:pt>
                <c:pt idx="11">
                  <c:v>393.82339999999999</c:v>
                </c:pt>
                <c:pt idx="12">
                  <c:v>360.66340000000002</c:v>
                </c:pt>
                <c:pt idx="13">
                  <c:v>331.06130000000002</c:v>
                </c:pt>
                <c:pt idx="14">
                  <c:v>308.08670000000001</c:v>
                </c:pt>
                <c:pt idx="15">
                  <c:v>288.9042</c:v>
                </c:pt>
                <c:pt idx="16">
                  <c:v>268.54700000000003</c:v>
                </c:pt>
                <c:pt idx="17">
                  <c:v>252.99700000000001</c:v>
                </c:pt>
                <c:pt idx="18">
                  <c:v>236.898</c:v>
                </c:pt>
                <c:pt idx="19">
                  <c:v>225.99860000000001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Chg_neg_A!$A$25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Chg_neg_A!$B$25:$U$25</c:f>
              <c:numCache>
                <c:formatCode>General</c:formatCode>
                <c:ptCount val="20"/>
                <c:pt idx="0">
                  <c:v>7065.1419999999998</c:v>
                </c:pt>
                <c:pt idx="1">
                  <c:v>4525.8090000000002</c:v>
                </c:pt>
                <c:pt idx="2">
                  <c:v>2568.0610000000001</c:v>
                </c:pt>
                <c:pt idx="3">
                  <c:v>1672.415</c:v>
                </c:pt>
                <c:pt idx="4">
                  <c:v>1216.4949999999999</c:v>
                </c:pt>
                <c:pt idx="5">
                  <c:v>941.89469999999994</c:v>
                </c:pt>
                <c:pt idx="6">
                  <c:v>760.53489999999999</c:v>
                </c:pt>
                <c:pt idx="7">
                  <c:v>639.25900000000001</c:v>
                </c:pt>
                <c:pt idx="8">
                  <c:v>550.94169999999997</c:v>
                </c:pt>
                <c:pt idx="9">
                  <c:v>477.63080000000002</c:v>
                </c:pt>
                <c:pt idx="10">
                  <c:v>420.60270000000003</c:v>
                </c:pt>
                <c:pt idx="11">
                  <c:v>379.45330000000001</c:v>
                </c:pt>
                <c:pt idx="12">
                  <c:v>345.98160000000001</c:v>
                </c:pt>
                <c:pt idx="13">
                  <c:v>321.23970000000003</c:v>
                </c:pt>
                <c:pt idx="14">
                  <c:v>296.58179999999999</c:v>
                </c:pt>
                <c:pt idx="15">
                  <c:v>277.21010000000001</c:v>
                </c:pt>
                <c:pt idx="16">
                  <c:v>257.37090000000001</c:v>
                </c:pt>
                <c:pt idx="17">
                  <c:v>242.40469999999999</c:v>
                </c:pt>
                <c:pt idx="18">
                  <c:v>223.9701</c:v>
                </c:pt>
                <c:pt idx="19">
                  <c:v>211.57859999999999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Chg_neg_A!$A$26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Chg_neg_A!$B$26:$U$26</c:f>
              <c:numCache>
                <c:formatCode>General</c:formatCode>
                <c:ptCount val="20"/>
                <c:pt idx="0">
                  <c:v>6211.9030000000002</c:v>
                </c:pt>
                <c:pt idx="1">
                  <c:v>3224.2</c:v>
                </c:pt>
                <c:pt idx="2">
                  <c:v>1645.742</c:v>
                </c:pt>
                <c:pt idx="3">
                  <c:v>1020.4059999999999</c:v>
                </c:pt>
                <c:pt idx="4">
                  <c:v>698.96119999999996</c:v>
                </c:pt>
                <c:pt idx="5">
                  <c:v>522.00199999999995</c:v>
                </c:pt>
                <c:pt idx="6">
                  <c:v>416.20890000000003</c:v>
                </c:pt>
                <c:pt idx="7">
                  <c:v>340.06180000000001</c:v>
                </c:pt>
                <c:pt idx="8">
                  <c:v>282.43200000000002</c:v>
                </c:pt>
                <c:pt idx="9">
                  <c:v>248.19049999999999</c:v>
                </c:pt>
                <c:pt idx="10">
                  <c:v>218.13489999999999</c:v>
                </c:pt>
                <c:pt idx="11">
                  <c:v>195.06620000000001</c:v>
                </c:pt>
                <c:pt idx="12">
                  <c:v>179.5849</c:v>
                </c:pt>
                <c:pt idx="13">
                  <c:v>161.77500000000001</c:v>
                </c:pt>
                <c:pt idx="14">
                  <c:v>149.10059999999999</c:v>
                </c:pt>
                <c:pt idx="15">
                  <c:v>137.51159999999999</c:v>
                </c:pt>
                <c:pt idx="16">
                  <c:v>126.8334</c:v>
                </c:pt>
                <c:pt idx="17">
                  <c:v>117.81829999999999</c:v>
                </c:pt>
                <c:pt idx="18">
                  <c:v>110.2992</c:v>
                </c:pt>
                <c:pt idx="19">
                  <c:v>104.9492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Chg_neg_A!$A$27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Chg_neg_A!$B$27:$U$27</c:f>
              <c:numCache>
                <c:formatCode>General</c:formatCode>
                <c:ptCount val="20"/>
                <c:pt idx="0">
                  <c:v>6929.25</c:v>
                </c:pt>
                <c:pt idx="1">
                  <c:v>4446.5230000000001</c:v>
                </c:pt>
                <c:pt idx="2">
                  <c:v>2541.1129999999998</c:v>
                </c:pt>
                <c:pt idx="3">
                  <c:v>1704.76</c:v>
                </c:pt>
                <c:pt idx="4">
                  <c:v>1238.336</c:v>
                </c:pt>
                <c:pt idx="5">
                  <c:v>963.67629999999997</c:v>
                </c:pt>
                <c:pt idx="6">
                  <c:v>778.89940000000001</c:v>
                </c:pt>
                <c:pt idx="7">
                  <c:v>650.5548</c:v>
                </c:pt>
                <c:pt idx="8">
                  <c:v>565.54369999999994</c:v>
                </c:pt>
                <c:pt idx="9">
                  <c:v>491.99849999999998</c:v>
                </c:pt>
                <c:pt idx="10">
                  <c:v>443.2801</c:v>
                </c:pt>
                <c:pt idx="11">
                  <c:v>392.72829999999999</c:v>
                </c:pt>
                <c:pt idx="12">
                  <c:v>353.69479999999999</c:v>
                </c:pt>
                <c:pt idx="13">
                  <c:v>325.96730000000002</c:v>
                </c:pt>
                <c:pt idx="14">
                  <c:v>301.97570000000002</c:v>
                </c:pt>
                <c:pt idx="15">
                  <c:v>287.666</c:v>
                </c:pt>
                <c:pt idx="16">
                  <c:v>267.00569999999999</c:v>
                </c:pt>
                <c:pt idx="17">
                  <c:v>249.81790000000001</c:v>
                </c:pt>
                <c:pt idx="18">
                  <c:v>235.44290000000001</c:v>
                </c:pt>
                <c:pt idx="19">
                  <c:v>223.57859999999999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Chg_neg_A!$A$28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Chg_neg_A!$B$28:$U$28</c:f>
              <c:numCache>
                <c:formatCode>General</c:formatCode>
                <c:ptCount val="20"/>
                <c:pt idx="0">
                  <c:v>6970.317</c:v>
                </c:pt>
                <c:pt idx="1">
                  <c:v>4468.7129999999997</c:v>
                </c:pt>
                <c:pt idx="2">
                  <c:v>2554.0949999999998</c:v>
                </c:pt>
                <c:pt idx="3">
                  <c:v>1690.329</c:v>
                </c:pt>
                <c:pt idx="4">
                  <c:v>1242.2429999999999</c:v>
                </c:pt>
                <c:pt idx="5">
                  <c:v>957.28150000000005</c:v>
                </c:pt>
                <c:pt idx="6">
                  <c:v>771.66790000000003</c:v>
                </c:pt>
                <c:pt idx="7">
                  <c:v>649.07479999999998</c:v>
                </c:pt>
                <c:pt idx="8">
                  <c:v>560.08500000000004</c:v>
                </c:pt>
                <c:pt idx="9">
                  <c:v>483.62240000000003</c:v>
                </c:pt>
                <c:pt idx="10">
                  <c:v>430.71390000000002</c:v>
                </c:pt>
                <c:pt idx="11">
                  <c:v>385.55709999999999</c:v>
                </c:pt>
                <c:pt idx="12">
                  <c:v>353.05040000000002</c:v>
                </c:pt>
                <c:pt idx="13">
                  <c:v>322.76479999999998</c:v>
                </c:pt>
                <c:pt idx="14">
                  <c:v>297.18349999999998</c:v>
                </c:pt>
                <c:pt idx="15">
                  <c:v>277.70940000000002</c:v>
                </c:pt>
                <c:pt idx="16">
                  <c:v>260.49489999999997</c:v>
                </c:pt>
                <c:pt idx="17">
                  <c:v>245.30690000000001</c:v>
                </c:pt>
                <c:pt idx="18">
                  <c:v>231.43109999999999</c:v>
                </c:pt>
                <c:pt idx="19">
                  <c:v>219.1216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Chg_neg_A!$A$29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Chg_neg_A!$B$29:$U$29</c:f>
              <c:numCache>
                <c:formatCode>General</c:formatCode>
                <c:ptCount val="20"/>
                <c:pt idx="0">
                  <c:v>7597.7690000000002</c:v>
                </c:pt>
                <c:pt idx="1">
                  <c:v>4921.55</c:v>
                </c:pt>
                <c:pt idx="2">
                  <c:v>2859.3290000000002</c:v>
                </c:pt>
                <c:pt idx="3">
                  <c:v>1948.2349999999999</c:v>
                </c:pt>
                <c:pt idx="4">
                  <c:v>1414.6179999999999</c:v>
                </c:pt>
                <c:pt idx="5">
                  <c:v>1102.087</c:v>
                </c:pt>
                <c:pt idx="6">
                  <c:v>895.65599999999995</c:v>
                </c:pt>
                <c:pt idx="7">
                  <c:v>746.05020000000002</c:v>
                </c:pt>
                <c:pt idx="8">
                  <c:v>636.93140000000005</c:v>
                </c:pt>
                <c:pt idx="9">
                  <c:v>566.03480000000002</c:v>
                </c:pt>
                <c:pt idx="10">
                  <c:v>502.97190000000001</c:v>
                </c:pt>
                <c:pt idx="11">
                  <c:v>457.51870000000002</c:v>
                </c:pt>
                <c:pt idx="12">
                  <c:v>417.11070000000001</c:v>
                </c:pt>
                <c:pt idx="13">
                  <c:v>385.06130000000002</c:v>
                </c:pt>
                <c:pt idx="14">
                  <c:v>356.70800000000003</c:v>
                </c:pt>
                <c:pt idx="15">
                  <c:v>332.69810000000001</c:v>
                </c:pt>
                <c:pt idx="16">
                  <c:v>310.34910000000002</c:v>
                </c:pt>
                <c:pt idx="17">
                  <c:v>293.95420000000001</c:v>
                </c:pt>
                <c:pt idx="18">
                  <c:v>273.55579999999998</c:v>
                </c:pt>
                <c:pt idx="19">
                  <c:v>257.67219999999998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Chg_neg_A!$A$30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Chg_neg_A!$B$30:$U$30</c:f>
              <c:numCache>
                <c:formatCode>General</c:formatCode>
                <c:ptCount val="20"/>
                <c:pt idx="0">
                  <c:v>7285.1419999999998</c:v>
                </c:pt>
                <c:pt idx="1">
                  <c:v>4491.7439999999997</c:v>
                </c:pt>
                <c:pt idx="2">
                  <c:v>2466.788</c:v>
                </c:pt>
                <c:pt idx="3">
                  <c:v>1657.431</c:v>
                </c:pt>
                <c:pt idx="4">
                  <c:v>1209.47</c:v>
                </c:pt>
                <c:pt idx="5">
                  <c:v>925.32650000000001</c:v>
                </c:pt>
                <c:pt idx="6">
                  <c:v>750.92079999999999</c:v>
                </c:pt>
                <c:pt idx="7">
                  <c:v>624.83619999999996</c:v>
                </c:pt>
                <c:pt idx="8">
                  <c:v>526.25850000000003</c:v>
                </c:pt>
                <c:pt idx="9">
                  <c:v>456.1893</c:v>
                </c:pt>
                <c:pt idx="10">
                  <c:v>401.39760000000001</c:v>
                </c:pt>
                <c:pt idx="11">
                  <c:v>360.32170000000002</c:v>
                </c:pt>
                <c:pt idx="12">
                  <c:v>324.9622</c:v>
                </c:pt>
                <c:pt idx="13">
                  <c:v>297.8306</c:v>
                </c:pt>
                <c:pt idx="14">
                  <c:v>271.24079999999998</c:v>
                </c:pt>
                <c:pt idx="15">
                  <c:v>253.54310000000001</c:v>
                </c:pt>
                <c:pt idx="16">
                  <c:v>236.31559999999999</c:v>
                </c:pt>
                <c:pt idx="17">
                  <c:v>219.88480000000001</c:v>
                </c:pt>
                <c:pt idx="18">
                  <c:v>208.09620000000001</c:v>
                </c:pt>
                <c:pt idx="19">
                  <c:v>195.97970000000001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Chg_neg_A!$A$31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Chg_neg_A!$B$31:$U$31</c:f>
              <c:numCache>
                <c:formatCode>General</c:formatCode>
                <c:ptCount val="20"/>
                <c:pt idx="0">
                  <c:v>7173.9589999999998</c:v>
                </c:pt>
                <c:pt idx="1">
                  <c:v>4314.7290000000003</c:v>
                </c:pt>
                <c:pt idx="2">
                  <c:v>2468.364</c:v>
                </c:pt>
                <c:pt idx="3">
                  <c:v>1639.979</c:v>
                </c:pt>
                <c:pt idx="4">
                  <c:v>1185.1089999999999</c:v>
                </c:pt>
                <c:pt idx="5">
                  <c:v>891.62620000000004</c:v>
                </c:pt>
                <c:pt idx="6">
                  <c:v>707.36760000000004</c:v>
                </c:pt>
                <c:pt idx="7">
                  <c:v>580.35810000000004</c:v>
                </c:pt>
                <c:pt idx="8">
                  <c:v>488.64249999999998</c:v>
                </c:pt>
                <c:pt idx="9">
                  <c:v>422.52820000000003</c:v>
                </c:pt>
                <c:pt idx="10">
                  <c:v>366.57619999999997</c:v>
                </c:pt>
                <c:pt idx="11">
                  <c:v>323.54160000000002</c:v>
                </c:pt>
                <c:pt idx="12">
                  <c:v>290.12479999999999</c:v>
                </c:pt>
                <c:pt idx="13">
                  <c:v>265.46370000000002</c:v>
                </c:pt>
                <c:pt idx="14">
                  <c:v>241.12549999999999</c:v>
                </c:pt>
                <c:pt idx="15">
                  <c:v>220.83779999999999</c:v>
                </c:pt>
                <c:pt idx="16">
                  <c:v>204.11060000000001</c:v>
                </c:pt>
                <c:pt idx="17">
                  <c:v>190.84880000000001</c:v>
                </c:pt>
                <c:pt idx="18">
                  <c:v>178.88839999999999</c:v>
                </c:pt>
                <c:pt idx="19">
                  <c:v>169.03059999999999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Chg_neg_A!$A$32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Chg_neg_A!$B$32:$U$32</c:f>
              <c:numCache>
                <c:formatCode>General</c:formatCode>
                <c:ptCount val="20"/>
                <c:pt idx="0">
                  <c:v>6619.8639999999996</c:v>
                </c:pt>
                <c:pt idx="1">
                  <c:v>3407.5250000000001</c:v>
                </c:pt>
                <c:pt idx="2">
                  <c:v>1635.93</c:v>
                </c:pt>
                <c:pt idx="3">
                  <c:v>997.38900000000001</c:v>
                </c:pt>
                <c:pt idx="4">
                  <c:v>684.57429999999999</c:v>
                </c:pt>
                <c:pt idx="5">
                  <c:v>519.40859999999998</c:v>
                </c:pt>
                <c:pt idx="6">
                  <c:v>410.947</c:v>
                </c:pt>
                <c:pt idx="7">
                  <c:v>325.52420000000001</c:v>
                </c:pt>
                <c:pt idx="8">
                  <c:v>270.03019999999998</c:v>
                </c:pt>
                <c:pt idx="9">
                  <c:v>229.10130000000001</c:v>
                </c:pt>
                <c:pt idx="10">
                  <c:v>197.9008</c:v>
                </c:pt>
                <c:pt idx="11">
                  <c:v>173.9975</c:v>
                </c:pt>
                <c:pt idx="12">
                  <c:v>157.21420000000001</c:v>
                </c:pt>
                <c:pt idx="13">
                  <c:v>143.29429999999999</c:v>
                </c:pt>
                <c:pt idx="14">
                  <c:v>127.42570000000001</c:v>
                </c:pt>
                <c:pt idx="15">
                  <c:v>116.5776</c:v>
                </c:pt>
                <c:pt idx="16">
                  <c:v>106.1502</c:v>
                </c:pt>
                <c:pt idx="17">
                  <c:v>98.517039999999994</c:v>
                </c:pt>
                <c:pt idx="18">
                  <c:v>92.669970000000006</c:v>
                </c:pt>
                <c:pt idx="19">
                  <c:v>85.234949999999998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Chg_neg_A!$A$33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Chg_neg_A!$B$33:$U$33</c:f>
              <c:numCache>
                <c:formatCode>General</c:formatCode>
                <c:ptCount val="20"/>
                <c:pt idx="0">
                  <c:v>6471.5190000000002</c:v>
                </c:pt>
                <c:pt idx="1">
                  <c:v>3239.8069999999998</c:v>
                </c:pt>
                <c:pt idx="2">
                  <c:v>1583.3579999999999</c:v>
                </c:pt>
                <c:pt idx="3">
                  <c:v>969.57539999999995</c:v>
                </c:pt>
                <c:pt idx="4">
                  <c:v>698.52359999999999</c:v>
                </c:pt>
                <c:pt idx="5">
                  <c:v>524.63599999999997</c:v>
                </c:pt>
                <c:pt idx="6">
                  <c:v>409.40660000000003</c:v>
                </c:pt>
                <c:pt idx="7">
                  <c:v>327.80110000000002</c:v>
                </c:pt>
                <c:pt idx="8">
                  <c:v>275.12419999999997</c:v>
                </c:pt>
                <c:pt idx="9">
                  <c:v>234.14519999999999</c:v>
                </c:pt>
                <c:pt idx="10">
                  <c:v>201.5318</c:v>
                </c:pt>
                <c:pt idx="11">
                  <c:v>175.65450000000001</c:v>
                </c:pt>
                <c:pt idx="12">
                  <c:v>158.4051</c:v>
                </c:pt>
                <c:pt idx="13">
                  <c:v>140.38730000000001</c:v>
                </c:pt>
                <c:pt idx="14">
                  <c:v>125.6576</c:v>
                </c:pt>
                <c:pt idx="15">
                  <c:v>116.90260000000001</c:v>
                </c:pt>
                <c:pt idx="16">
                  <c:v>107.6071</c:v>
                </c:pt>
                <c:pt idx="17">
                  <c:v>98.846040000000002</c:v>
                </c:pt>
                <c:pt idx="18">
                  <c:v>92.520020000000002</c:v>
                </c:pt>
                <c:pt idx="19">
                  <c:v>86.480999999999995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Chg_neg_A!$A$34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Chg_neg_A!$B$34:$U$34</c:f>
              <c:numCache>
                <c:formatCode>General</c:formatCode>
                <c:ptCount val="20"/>
                <c:pt idx="0">
                  <c:v>6443.7139999999999</c:v>
                </c:pt>
                <c:pt idx="1">
                  <c:v>3200.4070000000002</c:v>
                </c:pt>
                <c:pt idx="2">
                  <c:v>1572.2860000000001</c:v>
                </c:pt>
                <c:pt idx="3">
                  <c:v>984.54409999999996</c:v>
                </c:pt>
                <c:pt idx="4">
                  <c:v>692.33040000000005</c:v>
                </c:pt>
                <c:pt idx="5">
                  <c:v>517.8116</c:v>
                </c:pt>
                <c:pt idx="6">
                  <c:v>409.15050000000002</c:v>
                </c:pt>
                <c:pt idx="7">
                  <c:v>333.37920000000003</c:v>
                </c:pt>
                <c:pt idx="8">
                  <c:v>277.58440000000002</c:v>
                </c:pt>
                <c:pt idx="9">
                  <c:v>233.1224</c:v>
                </c:pt>
                <c:pt idx="10">
                  <c:v>199.54480000000001</c:v>
                </c:pt>
                <c:pt idx="11">
                  <c:v>176.3664</c:v>
                </c:pt>
                <c:pt idx="12">
                  <c:v>158.1311</c:v>
                </c:pt>
                <c:pt idx="13">
                  <c:v>140.9973</c:v>
                </c:pt>
                <c:pt idx="14">
                  <c:v>129.25059999999999</c:v>
                </c:pt>
                <c:pt idx="15">
                  <c:v>118.20959999999999</c:v>
                </c:pt>
                <c:pt idx="16">
                  <c:v>108.17919999999999</c:v>
                </c:pt>
                <c:pt idx="17">
                  <c:v>100.85809999999999</c:v>
                </c:pt>
                <c:pt idx="18">
                  <c:v>94.736000000000004</c:v>
                </c:pt>
                <c:pt idx="19">
                  <c:v>89.159970000000001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Chg_neg_A!$A$35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Chg_neg_A!$B$35:$U$35</c:f>
              <c:numCache>
                <c:formatCode>General</c:formatCode>
                <c:ptCount val="20"/>
                <c:pt idx="0">
                  <c:v>14808.66</c:v>
                </c:pt>
                <c:pt idx="1">
                  <c:v>9580.1219999999994</c:v>
                </c:pt>
                <c:pt idx="2">
                  <c:v>5628.442</c:v>
                </c:pt>
                <c:pt idx="3">
                  <c:v>3751.6179999999999</c:v>
                </c:pt>
                <c:pt idx="4">
                  <c:v>2717.8319999999999</c:v>
                </c:pt>
                <c:pt idx="5">
                  <c:v>2067.1170000000002</c:v>
                </c:pt>
                <c:pt idx="6">
                  <c:v>1610.078</c:v>
                </c:pt>
                <c:pt idx="7">
                  <c:v>1299.3879999999999</c:v>
                </c:pt>
                <c:pt idx="8">
                  <c:v>1059.4939999999999</c:v>
                </c:pt>
                <c:pt idx="9">
                  <c:v>886.89179999999999</c:v>
                </c:pt>
                <c:pt idx="10">
                  <c:v>769.09159999999997</c:v>
                </c:pt>
                <c:pt idx="11">
                  <c:v>683.59500000000003</c:v>
                </c:pt>
                <c:pt idx="12">
                  <c:v>606.19669999999996</c:v>
                </c:pt>
                <c:pt idx="13">
                  <c:v>543.46799999999996</c:v>
                </c:pt>
                <c:pt idx="14">
                  <c:v>490.95940000000002</c:v>
                </c:pt>
                <c:pt idx="15">
                  <c:v>452.45240000000001</c:v>
                </c:pt>
                <c:pt idx="16">
                  <c:v>413.80439999999999</c:v>
                </c:pt>
                <c:pt idx="17">
                  <c:v>380.95819999999998</c:v>
                </c:pt>
                <c:pt idx="18">
                  <c:v>352.11079999999998</c:v>
                </c:pt>
                <c:pt idx="19">
                  <c:v>326.58010000000002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Chg_neg_A!$A$36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Chg_neg_A!$B$36:$U$36</c:f>
              <c:numCache>
                <c:formatCode>General</c:formatCode>
                <c:ptCount val="20"/>
                <c:pt idx="0">
                  <c:v>15474.77</c:v>
                </c:pt>
                <c:pt idx="1">
                  <c:v>10020.16</c:v>
                </c:pt>
                <c:pt idx="2">
                  <c:v>5926.0969999999998</c:v>
                </c:pt>
                <c:pt idx="3">
                  <c:v>3981.4639999999999</c:v>
                </c:pt>
                <c:pt idx="4">
                  <c:v>2904.904</c:v>
                </c:pt>
                <c:pt idx="5">
                  <c:v>2212.7109999999998</c:v>
                </c:pt>
                <c:pt idx="6">
                  <c:v>1755.8530000000001</c:v>
                </c:pt>
                <c:pt idx="7">
                  <c:v>1426.665</c:v>
                </c:pt>
                <c:pt idx="8">
                  <c:v>1203.0719999999999</c:v>
                </c:pt>
                <c:pt idx="9">
                  <c:v>1023.693</c:v>
                </c:pt>
                <c:pt idx="10">
                  <c:v>894.84130000000005</c:v>
                </c:pt>
                <c:pt idx="11">
                  <c:v>790.03300000000002</c:v>
                </c:pt>
                <c:pt idx="12">
                  <c:v>702.53089999999997</c:v>
                </c:pt>
                <c:pt idx="13">
                  <c:v>633.66909999999996</c:v>
                </c:pt>
                <c:pt idx="14">
                  <c:v>579.33759999999995</c:v>
                </c:pt>
                <c:pt idx="15">
                  <c:v>533.22069999999997</c:v>
                </c:pt>
                <c:pt idx="16">
                  <c:v>492.79419999999999</c:v>
                </c:pt>
                <c:pt idx="17">
                  <c:v>454.9101</c:v>
                </c:pt>
                <c:pt idx="18">
                  <c:v>421.29250000000002</c:v>
                </c:pt>
                <c:pt idx="19">
                  <c:v>392.48829999999998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Chg_neg_A!$A$37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Chg_neg_A!$B$2:$U$2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Chg_neg_A!$B$37:$U$37</c:f>
              <c:numCache>
                <c:formatCode>General</c:formatCode>
                <c:ptCount val="20"/>
                <c:pt idx="0">
                  <c:v>15716.65</c:v>
                </c:pt>
                <c:pt idx="1">
                  <c:v>10330.219999999999</c:v>
                </c:pt>
                <c:pt idx="2">
                  <c:v>6103.2610000000004</c:v>
                </c:pt>
                <c:pt idx="3">
                  <c:v>4036.0070000000001</c:v>
                </c:pt>
                <c:pt idx="4">
                  <c:v>2911.04</c:v>
                </c:pt>
                <c:pt idx="5">
                  <c:v>2210.9650000000001</c:v>
                </c:pt>
                <c:pt idx="6">
                  <c:v>1744.3050000000001</c:v>
                </c:pt>
                <c:pt idx="7">
                  <c:v>1442.8489999999999</c:v>
                </c:pt>
                <c:pt idx="8">
                  <c:v>1211.973</c:v>
                </c:pt>
                <c:pt idx="9">
                  <c:v>1026.6990000000001</c:v>
                </c:pt>
                <c:pt idx="10">
                  <c:v>901.56230000000005</c:v>
                </c:pt>
                <c:pt idx="11">
                  <c:v>790.73649999999998</c:v>
                </c:pt>
                <c:pt idx="12">
                  <c:v>699.65890000000002</c:v>
                </c:pt>
                <c:pt idx="13">
                  <c:v>632.95950000000005</c:v>
                </c:pt>
                <c:pt idx="14">
                  <c:v>573.50289999999995</c:v>
                </c:pt>
                <c:pt idx="15">
                  <c:v>523.26930000000004</c:v>
                </c:pt>
                <c:pt idx="16">
                  <c:v>482.8963</c:v>
                </c:pt>
                <c:pt idx="17">
                  <c:v>444.90309999999999</c:v>
                </c:pt>
                <c:pt idx="18">
                  <c:v>408.45549999999997</c:v>
                </c:pt>
                <c:pt idx="19">
                  <c:v>378.96319999999997</c:v>
                </c:pt>
              </c:numCache>
            </c:numRef>
          </c:yVal>
          <c:smooth val="1"/>
        </c:ser>
        <c:axId val="97236480"/>
        <c:axId val="97238400"/>
      </c:scatterChart>
      <c:valAx>
        <c:axId val="9723648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238400"/>
        <c:crosses val="autoZero"/>
        <c:crossBetween val="midCat"/>
      </c:valAx>
      <c:valAx>
        <c:axId val="97238400"/>
        <c:scaling>
          <c:orientation val="minMax"/>
        </c:scaling>
        <c:axPos val="l"/>
        <c:numFmt formatCode="General" sourceLinked="1"/>
        <c:tickLblPos val="nextTo"/>
        <c:crossAx val="97236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770639560357028"/>
          <c:y val="3.2580182796299401E-2"/>
          <c:w val="0.28354551865436539"/>
          <c:h val="0.82346320185154165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'!$B$3:$U$3</c:f>
              <c:numCache>
                <c:formatCode>General</c:formatCode>
                <c:ptCount val="20"/>
                <c:pt idx="0">
                  <c:v>-9.3573260366138951E-3</c:v>
                </c:pt>
                <c:pt idx="1">
                  <c:v>-9.5042629617319886E-3</c:v>
                </c:pt>
                <c:pt idx="2">
                  <c:v>-9.8919559408373655E-3</c:v>
                </c:pt>
                <c:pt idx="3">
                  <c:v>-1.0150803961670738E-2</c:v>
                </c:pt>
                <c:pt idx="4">
                  <c:v>-1.0440611647291768E-2</c:v>
                </c:pt>
                <c:pt idx="5">
                  <c:v>-1.0687471487954688E-2</c:v>
                </c:pt>
                <c:pt idx="6">
                  <c:v>-1.0792925629776394E-2</c:v>
                </c:pt>
                <c:pt idx="7">
                  <c:v>-1.1060538360913176E-2</c:v>
                </c:pt>
                <c:pt idx="8">
                  <c:v>-1.0969670078041869E-2</c:v>
                </c:pt>
                <c:pt idx="9">
                  <c:v>-1.088905631043513E-2</c:v>
                </c:pt>
                <c:pt idx="10">
                  <c:v>-1.0951080949895973E-2</c:v>
                </c:pt>
                <c:pt idx="11">
                  <c:v>-1.1111257032996171E-2</c:v>
                </c:pt>
                <c:pt idx="12">
                  <c:v>-1.1204415857853998E-2</c:v>
                </c:pt>
                <c:pt idx="13">
                  <c:v>-1.1459501883316212E-2</c:v>
                </c:pt>
                <c:pt idx="14">
                  <c:v>-1.1365053137638593E-2</c:v>
                </c:pt>
                <c:pt idx="15">
                  <c:v>-1.1498766243681152E-2</c:v>
                </c:pt>
                <c:pt idx="16">
                  <c:v>-1.1483042132067611E-2</c:v>
                </c:pt>
                <c:pt idx="17">
                  <c:v>-1.1554640090060261E-2</c:v>
                </c:pt>
                <c:pt idx="18">
                  <c:v>-1.1443101733417147E-2</c:v>
                </c:pt>
                <c:pt idx="19">
                  <c:v>-1.1299753871348135E-2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'!$B$21:$U$21</c:f>
              <c:numCache>
                <c:formatCode>General</c:formatCode>
                <c:ptCount val="20"/>
                <c:pt idx="0">
                  <c:v>-7.4734321367579178E-3</c:v>
                </c:pt>
                <c:pt idx="1">
                  <c:v>-7.5432884701034592E-3</c:v>
                </c:pt>
                <c:pt idx="2">
                  <c:v>-7.9115370272187183E-3</c:v>
                </c:pt>
                <c:pt idx="3">
                  <c:v>-8.0921366391474344E-3</c:v>
                </c:pt>
                <c:pt idx="4">
                  <c:v>-8.2142340489231511E-3</c:v>
                </c:pt>
                <c:pt idx="5">
                  <c:v>-8.0788445703011986E-3</c:v>
                </c:pt>
                <c:pt idx="6">
                  <c:v>-8.1640037915072031E-3</c:v>
                </c:pt>
                <c:pt idx="7">
                  <c:v>-8.1090251691312062E-3</c:v>
                </c:pt>
                <c:pt idx="8">
                  <c:v>-8.0644852300489882E-3</c:v>
                </c:pt>
                <c:pt idx="9">
                  <c:v>-7.9528012211953526E-3</c:v>
                </c:pt>
                <c:pt idx="10">
                  <c:v>-7.970649477300638E-3</c:v>
                </c:pt>
                <c:pt idx="11">
                  <c:v>-7.9356713573238442E-3</c:v>
                </c:pt>
                <c:pt idx="12">
                  <c:v>-8.0147623218318371E-3</c:v>
                </c:pt>
                <c:pt idx="13">
                  <c:v>-7.9768399274907833E-3</c:v>
                </c:pt>
                <c:pt idx="14">
                  <c:v>-7.9054971056411304E-3</c:v>
                </c:pt>
                <c:pt idx="15">
                  <c:v>-7.9568935716217478E-3</c:v>
                </c:pt>
                <c:pt idx="16">
                  <c:v>-7.9047188281534519E-3</c:v>
                </c:pt>
                <c:pt idx="17">
                  <c:v>-7.8795830530090268E-3</c:v>
                </c:pt>
                <c:pt idx="18">
                  <c:v>-7.9297514749806005E-3</c:v>
                </c:pt>
                <c:pt idx="19">
                  <c:v>-7.8286557869081553E-3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'!$B$37:$U$37</c:f>
              <c:numCache>
                <c:formatCode>General</c:formatCode>
                <c:ptCount val="20"/>
                <c:pt idx="0">
                  <c:v>-8.684490651633776E-3</c:v>
                </c:pt>
                <c:pt idx="1">
                  <c:v>-8.6711105862217839E-3</c:v>
                </c:pt>
                <c:pt idx="2">
                  <c:v>-8.7464668478048051E-3</c:v>
                </c:pt>
                <c:pt idx="3">
                  <c:v>-8.7574649895304935E-3</c:v>
                </c:pt>
                <c:pt idx="4">
                  <c:v>-8.7976049796636251E-3</c:v>
                </c:pt>
                <c:pt idx="5">
                  <c:v>-8.843102446216923E-3</c:v>
                </c:pt>
                <c:pt idx="6">
                  <c:v>-8.8554811228540881E-3</c:v>
                </c:pt>
                <c:pt idx="7">
                  <c:v>-8.8804649689607166E-3</c:v>
                </c:pt>
                <c:pt idx="8">
                  <c:v>-8.933969651139094E-3</c:v>
                </c:pt>
                <c:pt idx="9">
                  <c:v>-9.0158615134523362E-3</c:v>
                </c:pt>
                <c:pt idx="10">
                  <c:v>-8.9993070917007058E-3</c:v>
                </c:pt>
                <c:pt idx="11">
                  <c:v>-9.0386519403113427E-3</c:v>
                </c:pt>
                <c:pt idx="12">
                  <c:v>-9.1261613337584938E-3</c:v>
                </c:pt>
                <c:pt idx="13">
                  <c:v>-9.1275018385852478E-3</c:v>
                </c:pt>
                <c:pt idx="14">
                  <c:v>-9.132487385852801E-3</c:v>
                </c:pt>
                <c:pt idx="15">
                  <c:v>-9.1541831328533895E-3</c:v>
                </c:pt>
                <c:pt idx="16">
                  <c:v>-9.2544589801164343E-3</c:v>
                </c:pt>
                <c:pt idx="17">
                  <c:v>-9.33924488276211E-3</c:v>
                </c:pt>
                <c:pt idx="18">
                  <c:v>-9.4312330229364034E-3</c:v>
                </c:pt>
                <c:pt idx="19">
                  <c:v>-9.4912276442673076E-3</c:v>
                </c:pt>
              </c:numCache>
            </c:numRef>
          </c:yVal>
          <c:smooth val="1"/>
        </c:ser>
        <c:axId val="85118336"/>
        <c:axId val="99051008"/>
      </c:scatterChart>
      <c:valAx>
        <c:axId val="8511833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051008"/>
        <c:crosses val="autoZero"/>
        <c:crossBetween val="midCat"/>
      </c:valAx>
      <c:valAx>
        <c:axId val="99051008"/>
        <c:scaling>
          <c:orientation val="minMax"/>
        </c:scaling>
        <c:axPos val="l"/>
        <c:numFmt formatCode="General" sourceLinked="1"/>
        <c:tickLblPos val="nextTo"/>
        <c:crossAx val="851183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8833847769028876E-2"/>
          <c:y val="3.6017906520808989E-2"/>
          <c:w val="0.62543286089238836"/>
          <c:h val="0.92796418695838201"/>
        </c:manualLayout>
      </c:layout>
      <c:scatterChart>
        <c:scatterStyle val="smoothMarker"/>
        <c:ser>
          <c:idx val="0"/>
          <c:order val="0"/>
          <c:tx>
            <c:strRef>
              <c:f>'Chg_T_neg_den '!$A$3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'!$B$3:$U$3</c:f>
              <c:numCache>
                <c:formatCode>General</c:formatCode>
                <c:ptCount val="20"/>
                <c:pt idx="0">
                  <c:v>-9.3573260366138951E-3</c:v>
                </c:pt>
                <c:pt idx="1">
                  <c:v>-9.5042629617319886E-3</c:v>
                </c:pt>
                <c:pt idx="2">
                  <c:v>-9.8919559408373655E-3</c:v>
                </c:pt>
                <c:pt idx="3">
                  <c:v>-1.0150803961670738E-2</c:v>
                </c:pt>
                <c:pt idx="4">
                  <c:v>-1.0440611647291768E-2</c:v>
                </c:pt>
                <c:pt idx="5">
                  <c:v>-1.0687471487954688E-2</c:v>
                </c:pt>
                <c:pt idx="6">
                  <c:v>-1.0792925629776394E-2</c:v>
                </c:pt>
                <c:pt idx="7">
                  <c:v>-1.1060538360913176E-2</c:v>
                </c:pt>
                <c:pt idx="8">
                  <c:v>-1.0969670078041869E-2</c:v>
                </c:pt>
                <c:pt idx="9">
                  <c:v>-1.088905631043513E-2</c:v>
                </c:pt>
                <c:pt idx="10">
                  <c:v>-1.0951080949895973E-2</c:v>
                </c:pt>
                <c:pt idx="11">
                  <c:v>-1.1111257032996171E-2</c:v>
                </c:pt>
                <c:pt idx="12">
                  <c:v>-1.1204415857853998E-2</c:v>
                </c:pt>
                <c:pt idx="13">
                  <c:v>-1.1459501883316212E-2</c:v>
                </c:pt>
                <c:pt idx="14">
                  <c:v>-1.1365053137638593E-2</c:v>
                </c:pt>
                <c:pt idx="15">
                  <c:v>-1.1498766243681152E-2</c:v>
                </c:pt>
                <c:pt idx="16">
                  <c:v>-1.1483042132067611E-2</c:v>
                </c:pt>
                <c:pt idx="17">
                  <c:v>-1.1554640090060261E-2</c:v>
                </c:pt>
                <c:pt idx="18">
                  <c:v>-1.1443101733417147E-2</c:v>
                </c:pt>
                <c:pt idx="19">
                  <c:v>-1.1299753871348135E-2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'Chg_T_neg_den '!$A$4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'!$B$4:$U$4</c:f>
              <c:numCache>
                <c:formatCode>General</c:formatCode>
                <c:ptCount val="20"/>
                <c:pt idx="0">
                  <c:v>-9.1827447730484912E-3</c:v>
                </c:pt>
                <c:pt idx="1">
                  <c:v>-9.5534524388415313E-3</c:v>
                </c:pt>
                <c:pt idx="2">
                  <c:v>-9.9719977837511055E-3</c:v>
                </c:pt>
                <c:pt idx="3">
                  <c:v>-1.0318719407035657E-2</c:v>
                </c:pt>
                <c:pt idx="4">
                  <c:v>-1.0460420131326793E-2</c:v>
                </c:pt>
                <c:pt idx="5">
                  <c:v>-1.0504537533774522E-2</c:v>
                </c:pt>
                <c:pt idx="6">
                  <c:v>-1.0655715254590985E-2</c:v>
                </c:pt>
                <c:pt idx="7">
                  <c:v>-1.0541344582376707E-2</c:v>
                </c:pt>
                <c:pt idx="8">
                  <c:v>-1.062449968154913E-2</c:v>
                </c:pt>
                <c:pt idx="9">
                  <c:v>-1.0596911695503246E-2</c:v>
                </c:pt>
                <c:pt idx="10">
                  <c:v>-1.0562331012536896E-2</c:v>
                </c:pt>
                <c:pt idx="11">
                  <c:v>-1.0651363638542485E-2</c:v>
                </c:pt>
                <c:pt idx="12">
                  <c:v>-1.0674094319741062E-2</c:v>
                </c:pt>
                <c:pt idx="13">
                  <c:v>-1.0557820293260503E-2</c:v>
                </c:pt>
                <c:pt idx="14">
                  <c:v>-1.0603882252741949E-2</c:v>
                </c:pt>
                <c:pt idx="15">
                  <c:v>-1.066291569978179E-2</c:v>
                </c:pt>
                <c:pt idx="16">
                  <c:v>-1.0763373885814172E-2</c:v>
                </c:pt>
                <c:pt idx="17">
                  <c:v>-1.0859276653620322E-2</c:v>
                </c:pt>
                <c:pt idx="18">
                  <c:v>-1.0983642490267283E-2</c:v>
                </c:pt>
                <c:pt idx="19">
                  <c:v>-1.1017838658630357E-2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'Chg_T_neg_den '!$A$5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'!$B$5:$U$5</c:f>
              <c:numCache>
                <c:formatCode>General</c:formatCode>
                <c:ptCount val="20"/>
                <c:pt idx="0">
                  <c:v>-9.7298510466774357E-3</c:v>
                </c:pt>
                <c:pt idx="1">
                  <c:v>-1.0251163751716761E-2</c:v>
                </c:pt>
                <c:pt idx="2">
                  <c:v>-1.1004985765316952E-2</c:v>
                </c:pt>
                <c:pt idx="3">
                  <c:v>-1.1594908510503925E-2</c:v>
                </c:pt>
                <c:pt idx="4">
                  <c:v>-1.1971857407779772E-2</c:v>
                </c:pt>
                <c:pt idx="5">
                  <c:v>-1.2154286352076665E-2</c:v>
                </c:pt>
                <c:pt idx="6">
                  <c:v>-1.2225068425504667E-2</c:v>
                </c:pt>
                <c:pt idx="7">
                  <c:v>-1.2432782431407444E-2</c:v>
                </c:pt>
                <c:pt idx="8">
                  <c:v>-1.2612706267382801E-2</c:v>
                </c:pt>
                <c:pt idx="9">
                  <c:v>-1.2805268837500404E-2</c:v>
                </c:pt>
                <c:pt idx="10">
                  <c:v>-1.2903124572816994E-2</c:v>
                </c:pt>
                <c:pt idx="11">
                  <c:v>-1.2993499300936899E-2</c:v>
                </c:pt>
                <c:pt idx="12">
                  <c:v>-1.2999344268278468E-2</c:v>
                </c:pt>
                <c:pt idx="13">
                  <c:v>-1.3236790363751819E-2</c:v>
                </c:pt>
                <c:pt idx="14">
                  <c:v>-1.3418643585845104E-2</c:v>
                </c:pt>
                <c:pt idx="15">
                  <c:v>-1.3503061319085102E-2</c:v>
                </c:pt>
                <c:pt idx="16">
                  <c:v>-1.3483186329647909E-2</c:v>
                </c:pt>
                <c:pt idx="17">
                  <c:v>-1.3603760627999117E-2</c:v>
                </c:pt>
                <c:pt idx="18">
                  <c:v>-1.3522573526514205E-2</c:v>
                </c:pt>
                <c:pt idx="19">
                  <c:v>-1.3559648590618334E-2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'Chg_T_neg_den '!$A$6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'!$B$6:$U$6</c:f>
              <c:numCache>
                <c:formatCode>General</c:formatCode>
                <c:ptCount val="20"/>
                <c:pt idx="0">
                  <c:v>-9.6437717587047889E-3</c:v>
                </c:pt>
                <c:pt idx="1">
                  <c:v>-1.043865916101031E-2</c:v>
                </c:pt>
                <c:pt idx="2">
                  <c:v>-1.0719977922963971E-2</c:v>
                </c:pt>
                <c:pt idx="3">
                  <c:v>-1.0952048920804853E-2</c:v>
                </c:pt>
                <c:pt idx="4">
                  <c:v>-1.1110185923717958E-2</c:v>
                </c:pt>
                <c:pt idx="5">
                  <c:v>-1.1212878289421406E-2</c:v>
                </c:pt>
                <c:pt idx="6">
                  <c:v>-1.1279774576254563E-2</c:v>
                </c:pt>
                <c:pt idx="7">
                  <c:v>-1.1335369602036511E-2</c:v>
                </c:pt>
                <c:pt idx="8">
                  <c:v>-1.1651727508287951E-2</c:v>
                </c:pt>
                <c:pt idx="9">
                  <c:v>-1.1686542727258576E-2</c:v>
                </c:pt>
                <c:pt idx="10">
                  <c:v>-1.1893345021418113E-2</c:v>
                </c:pt>
                <c:pt idx="11">
                  <c:v>-1.1849547615114978E-2</c:v>
                </c:pt>
                <c:pt idx="12">
                  <c:v>-1.1895075709106419E-2</c:v>
                </c:pt>
                <c:pt idx="13">
                  <c:v>-1.1974666635198602E-2</c:v>
                </c:pt>
                <c:pt idx="14">
                  <c:v>-1.2195507632414712E-2</c:v>
                </c:pt>
                <c:pt idx="15">
                  <c:v>-1.2070033537186824E-2</c:v>
                </c:pt>
                <c:pt idx="16">
                  <c:v>-1.222475041108762E-2</c:v>
                </c:pt>
                <c:pt idx="17">
                  <c:v>-1.2320116355038421E-2</c:v>
                </c:pt>
                <c:pt idx="18">
                  <c:v>-1.2280375570969379E-2</c:v>
                </c:pt>
                <c:pt idx="19">
                  <c:v>-1.2226481636848216E-2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'Chg_T_neg_den '!$A$7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'!$B$7:$U$7</c:f>
              <c:numCache>
                <c:formatCode>General</c:formatCode>
                <c:ptCount val="20"/>
                <c:pt idx="0">
                  <c:v>-9.7509524231416678E-3</c:v>
                </c:pt>
                <c:pt idx="1">
                  <c:v>-1.0250474964730904E-2</c:v>
                </c:pt>
                <c:pt idx="2">
                  <c:v>-1.0394375369651798E-2</c:v>
                </c:pt>
                <c:pt idx="3">
                  <c:v>-1.0522134298200677E-2</c:v>
                </c:pt>
                <c:pt idx="4">
                  <c:v>-1.0474707032993229E-2</c:v>
                </c:pt>
                <c:pt idx="5">
                  <c:v>-1.059914525792076E-2</c:v>
                </c:pt>
                <c:pt idx="6">
                  <c:v>-1.0475682794240937E-2</c:v>
                </c:pt>
                <c:pt idx="7">
                  <c:v>-1.0530810189162387E-2</c:v>
                </c:pt>
                <c:pt idx="8">
                  <c:v>-1.0585784441774201E-2</c:v>
                </c:pt>
                <c:pt idx="9">
                  <c:v>-1.0628832456627459E-2</c:v>
                </c:pt>
                <c:pt idx="10">
                  <c:v>-1.0515525836230631E-2</c:v>
                </c:pt>
                <c:pt idx="11">
                  <c:v>-1.0662756622934807E-2</c:v>
                </c:pt>
                <c:pt idx="12">
                  <c:v>-1.0498005597875623E-2</c:v>
                </c:pt>
                <c:pt idx="13">
                  <c:v>-1.0775613715892241E-2</c:v>
                </c:pt>
                <c:pt idx="14">
                  <c:v>-1.0709170097565496E-2</c:v>
                </c:pt>
                <c:pt idx="15">
                  <c:v>-1.0551348139171773E-2</c:v>
                </c:pt>
                <c:pt idx="16">
                  <c:v>-1.0589838836477988E-2</c:v>
                </c:pt>
                <c:pt idx="17">
                  <c:v>-1.0480042255810174E-2</c:v>
                </c:pt>
                <c:pt idx="18">
                  <c:v>-1.0566262436133374E-2</c:v>
                </c:pt>
                <c:pt idx="19">
                  <c:v>-1.0629319464554829E-2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'Chg_T_neg_den '!$A$8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'!$B$8:$U$8</c:f>
              <c:numCache>
                <c:formatCode>General</c:formatCode>
                <c:ptCount val="20"/>
                <c:pt idx="0">
                  <c:v>-1.0200096450801001E-2</c:v>
                </c:pt>
                <c:pt idx="1">
                  <c:v>-1.0912481329174646E-2</c:v>
                </c:pt>
                <c:pt idx="2">
                  <c:v>-1.1242336580520363E-2</c:v>
                </c:pt>
                <c:pt idx="3">
                  <c:v>-1.162991984739504E-2</c:v>
                </c:pt>
                <c:pt idx="4">
                  <c:v>-1.1784922267151084E-2</c:v>
                </c:pt>
                <c:pt idx="5">
                  <c:v>-1.1833859376041466E-2</c:v>
                </c:pt>
                <c:pt idx="6">
                  <c:v>-1.1984624115087833E-2</c:v>
                </c:pt>
                <c:pt idx="7">
                  <c:v>-1.2099233345441282E-2</c:v>
                </c:pt>
                <c:pt idx="8">
                  <c:v>-1.2078769082330017E-2</c:v>
                </c:pt>
                <c:pt idx="9">
                  <c:v>-1.236099278036085E-2</c:v>
                </c:pt>
                <c:pt idx="10">
                  <c:v>-1.2514318531748364E-2</c:v>
                </c:pt>
                <c:pt idx="11">
                  <c:v>-1.2445239784559138E-2</c:v>
                </c:pt>
                <c:pt idx="12">
                  <c:v>-1.2566861651206983E-2</c:v>
                </c:pt>
                <c:pt idx="13">
                  <c:v>-1.2500778575920923E-2</c:v>
                </c:pt>
                <c:pt idx="14">
                  <c:v>-1.213333099353071E-2</c:v>
                </c:pt>
                <c:pt idx="15">
                  <c:v>-1.2034303315166212E-2</c:v>
                </c:pt>
                <c:pt idx="16">
                  <c:v>-1.207289876718008E-2</c:v>
                </c:pt>
                <c:pt idx="17">
                  <c:v>-1.2089367680071444E-2</c:v>
                </c:pt>
                <c:pt idx="18">
                  <c:v>-1.2202257213269259E-2</c:v>
                </c:pt>
                <c:pt idx="19">
                  <c:v>-1.2156432552954293E-2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'Chg_T_neg_den '!$A$9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'!$B$9:$U$9</c:f>
              <c:numCache>
                <c:formatCode>General</c:formatCode>
                <c:ptCount val="20"/>
                <c:pt idx="0">
                  <c:v>-1.0167273611836504E-2</c:v>
                </c:pt>
                <c:pt idx="1">
                  <c:v>-1.1069849438543212E-2</c:v>
                </c:pt>
                <c:pt idx="2">
                  <c:v>-1.1507648395457397E-2</c:v>
                </c:pt>
                <c:pt idx="3">
                  <c:v>-1.1352012629330159E-2</c:v>
                </c:pt>
                <c:pt idx="4">
                  <c:v>-1.1665866113069185E-2</c:v>
                </c:pt>
                <c:pt idx="5">
                  <c:v>-1.1809467827155711E-2</c:v>
                </c:pt>
                <c:pt idx="6">
                  <c:v>-1.1816178800750568E-2</c:v>
                </c:pt>
                <c:pt idx="7">
                  <c:v>-1.1661412657014014E-2</c:v>
                </c:pt>
                <c:pt idx="8">
                  <c:v>-1.1439181421199519E-2</c:v>
                </c:pt>
                <c:pt idx="9">
                  <c:v>-1.1342978846025632E-2</c:v>
                </c:pt>
                <c:pt idx="10">
                  <c:v>-1.1463959230405539E-2</c:v>
                </c:pt>
                <c:pt idx="11">
                  <c:v>-1.1419330954334676E-2</c:v>
                </c:pt>
                <c:pt idx="12">
                  <c:v>-1.1300801909892261E-2</c:v>
                </c:pt>
                <c:pt idx="13">
                  <c:v>-1.1196030847841411E-2</c:v>
                </c:pt>
                <c:pt idx="14">
                  <c:v>-1.1287620214085898E-2</c:v>
                </c:pt>
                <c:pt idx="15">
                  <c:v>-1.1441552701367583E-2</c:v>
                </c:pt>
                <c:pt idx="16">
                  <c:v>-1.1286711586034875E-2</c:v>
                </c:pt>
                <c:pt idx="17">
                  <c:v>-1.1200371889144047E-2</c:v>
                </c:pt>
                <c:pt idx="18">
                  <c:v>-1.105905646015831E-2</c:v>
                </c:pt>
                <c:pt idx="19">
                  <c:v>-1.1000424049176555E-2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'Chg_T_neg_den '!$A$10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'!$B$10:$U$10</c:f>
              <c:numCache>
                <c:formatCode>General</c:formatCode>
                <c:ptCount val="20"/>
                <c:pt idx="0">
                  <c:v>-1.0052478736063294E-2</c:v>
                </c:pt>
                <c:pt idx="1">
                  <c:v>-1.087255809016043E-2</c:v>
                </c:pt>
                <c:pt idx="2">
                  <c:v>-1.1178058388426547E-2</c:v>
                </c:pt>
                <c:pt idx="3">
                  <c:v>-1.1314902813638958E-2</c:v>
                </c:pt>
                <c:pt idx="4">
                  <c:v>-1.1284645261639605E-2</c:v>
                </c:pt>
                <c:pt idx="5">
                  <c:v>-1.1427628990412065E-2</c:v>
                </c:pt>
                <c:pt idx="6">
                  <c:v>-1.1504772257297652E-2</c:v>
                </c:pt>
                <c:pt idx="7">
                  <c:v>-1.1302944182460419E-2</c:v>
                </c:pt>
                <c:pt idx="8">
                  <c:v>-1.153496782514239E-2</c:v>
                </c:pt>
                <c:pt idx="9">
                  <c:v>-1.1459198567828267E-2</c:v>
                </c:pt>
                <c:pt idx="10">
                  <c:v>-1.1645862331515058E-2</c:v>
                </c:pt>
                <c:pt idx="11">
                  <c:v>-1.1523784345280376E-2</c:v>
                </c:pt>
                <c:pt idx="12">
                  <c:v>-1.1464061372769081E-2</c:v>
                </c:pt>
                <c:pt idx="13">
                  <c:v>-1.1232196556205385E-2</c:v>
                </c:pt>
                <c:pt idx="14">
                  <c:v>-1.1411290238724574E-2</c:v>
                </c:pt>
                <c:pt idx="15">
                  <c:v>-1.1277713643792002E-2</c:v>
                </c:pt>
                <c:pt idx="16">
                  <c:v>-1.1304229272968629E-2</c:v>
                </c:pt>
                <c:pt idx="17">
                  <c:v>-1.1134828551325297E-2</c:v>
                </c:pt>
                <c:pt idx="18">
                  <c:v>-1.1188033722930544E-2</c:v>
                </c:pt>
                <c:pt idx="19">
                  <c:v>-1.1331339564984923E-2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'Chg_T_neg_den '!$A$11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'!$B$11:$U$11</c:f>
              <c:numCache>
                <c:formatCode>General</c:formatCode>
                <c:ptCount val="20"/>
                <c:pt idx="0">
                  <c:v>-1.0140466131063954E-2</c:v>
                </c:pt>
                <c:pt idx="1">
                  <c:v>-1.1055908893620955E-2</c:v>
                </c:pt>
                <c:pt idx="2">
                  <c:v>-1.1358490093352698E-2</c:v>
                </c:pt>
                <c:pt idx="3">
                  <c:v>-1.1750040178915191E-2</c:v>
                </c:pt>
                <c:pt idx="4">
                  <c:v>-1.1987194398772043E-2</c:v>
                </c:pt>
                <c:pt idx="5">
                  <c:v>-1.2219539393774972E-2</c:v>
                </c:pt>
                <c:pt idx="6">
                  <c:v>-1.2310676219012589E-2</c:v>
                </c:pt>
                <c:pt idx="7">
                  <c:v>-1.2104230450447402E-2</c:v>
                </c:pt>
                <c:pt idx="8">
                  <c:v>-1.2343151458538476E-2</c:v>
                </c:pt>
                <c:pt idx="9">
                  <c:v>-1.2223590635366852E-2</c:v>
                </c:pt>
                <c:pt idx="10">
                  <c:v>-1.2745482596415236E-2</c:v>
                </c:pt>
                <c:pt idx="11">
                  <c:v>-1.2954568751244193E-2</c:v>
                </c:pt>
                <c:pt idx="12">
                  <c:v>-1.2830506607985579E-2</c:v>
                </c:pt>
                <c:pt idx="13">
                  <c:v>-1.287516587029674E-2</c:v>
                </c:pt>
                <c:pt idx="14">
                  <c:v>-1.2961205583648903E-2</c:v>
                </c:pt>
                <c:pt idx="15">
                  <c:v>-1.2716112882463092E-2</c:v>
                </c:pt>
                <c:pt idx="16">
                  <c:v>-1.2866400431802726E-2</c:v>
                </c:pt>
                <c:pt idx="17">
                  <c:v>-1.2892322341054467E-2</c:v>
                </c:pt>
                <c:pt idx="18">
                  <c:v>-1.288761092421393E-2</c:v>
                </c:pt>
                <c:pt idx="19">
                  <c:v>-1.288535761319305E-2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'Chg_T_neg_den '!$A$12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'!$B$12:$U$12</c:f>
              <c:numCache>
                <c:formatCode>General</c:formatCode>
                <c:ptCount val="20"/>
                <c:pt idx="0">
                  <c:v>-1.0606281260753211E-2</c:v>
                </c:pt>
                <c:pt idx="1">
                  <c:v>-1.1003640887137034E-2</c:v>
                </c:pt>
                <c:pt idx="2">
                  <c:v>-1.122728790324992E-2</c:v>
                </c:pt>
                <c:pt idx="3">
                  <c:v>-1.1274910894101755E-2</c:v>
                </c:pt>
                <c:pt idx="4">
                  <c:v>-1.1213561963006534E-2</c:v>
                </c:pt>
                <c:pt idx="5">
                  <c:v>-1.1237445533700905E-2</c:v>
                </c:pt>
                <c:pt idx="6">
                  <c:v>-1.1637633283354036E-2</c:v>
                </c:pt>
                <c:pt idx="7">
                  <c:v>-1.1473738666853726E-2</c:v>
                </c:pt>
                <c:pt idx="8">
                  <c:v>-1.1404998309945898E-2</c:v>
                </c:pt>
                <c:pt idx="9">
                  <c:v>-1.1338403964272803E-2</c:v>
                </c:pt>
                <c:pt idx="10">
                  <c:v>-1.159833534491833E-2</c:v>
                </c:pt>
                <c:pt idx="11">
                  <c:v>-1.1649871729659927E-2</c:v>
                </c:pt>
                <c:pt idx="12">
                  <c:v>-1.1566859793830481E-2</c:v>
                </c:pt>
                <c:pt idx="13">
                  <c:v>-1.1483953778095045E-2</c:v>
                </c:pt>
                <c:pt idx="14">
                  <c:v>-1.1508755848921467E-2</c:v>
                </c:pt>
                <c:pt idx="15">
                  <c:v>-1.1525118616143174E-2</c:v>
                </c:pt>
                <c:pt idx="16">
                  <c:v>-1.1399987026002275E-2</c:v>
                </c:pt>
                <c:pt idx="17">
                  <c:v>-1.1405743361213191E-2</c:v>
                </c:pt>
                <c:pt idx="18">
                  <c:v>-1.1392581557482198E-2</c:v>
                </c:pt>
                <c:pt idx="19">
                  <c:v>-1.148710016155635E-2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'Chg_T_neg_den '!$A$13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'!$B$13:$U$13</c:f>
              <c:numCache>
                <c:formatCode>General</c:formatCode>
                <c:ptCount val="20"/>
                <c:pt idx="0">
                  <c:v>-1.0600004934251103E-2</c:v>
                </c:pt>
                <c:pt idx="1">
                  <c:v>-1.1051606451992496E-2</c:v>
                </c:pt>
                <c:pt idx="2">
                  <c:v>-1.1026723273959508E-2</c:v>
                </c:pt>
                <c:pt idx="3">
                  <c:v>-1.1175199592710199E-2</c:v>
                </c:pt>
                <c:pt idx="4">
                  <c:v>-1.1155234843855331E-2</c:v>
                </c:pt>
                <c:pt idx="5">
                  <c:v>-1.1358365172713878E-2</c:v>
                </c:pt>
                <c:pt idx="6">
                  <c:v>-1.1321087879825662E-2</c:v>
                </c:pt>
                <c:pt idx="7">
                  <c:v>-1.1379776932388034E-2</c:v>
                </c:pt>
                <c:pt idx="8">
                  <c:v>-1.1404752842355592E-2</c:v>
                </c:pt>
                <c:pt idx="9">
                  <c:v>-1.1649365484240622E-2</c:v>
                </c:pt>
                <c:pt idx="10">
                  <c:v>-1.1518022040670688E-2</c:v>
                </c:pt>
                <c:pt idx="11">
                  <c:v>-1.1711146083114965E-2</c:v>
                </c:pt>
                <c:pt idx="12">
                  <c:v>-1.174480747652513E-2</c:v>
                </c:pt>
                <c:pt idx="13">
                  <c:v>-1.1907174262004119E-2</c:v>
                </c:pt>
                <c:pt idx="14">
                  <c:v>-1.1785622171352685E-2</c:v>
                </c:pt>
                <c:pt idx="15">
                  <c:v>-1.1864840501858053E-2</c:v>
                </c:pt>
                <c:pt idx="16">
                  <c:v>-1.1788828773310849E-2</c:v>
                </c:pt>
                <c:pt idx="17">
                  <c:v>-1.1833969505697085E-2</c:v>
                </c:pt>
                <c:pt idx="18">
                  <c:v>-1.2102784440208682E-2</c:v>
                </c:pt>
                <c:pt idx="19">
                  <c:v>-1.2077639714707046E-2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'Chg_T_neg_den '!$A$14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'!$B$14:$U$14</c:f>
              <c:numCache>
                <c:formatCode>General</c:formatCode>
                <c:ptCount val="20"/>
                <c:pt idx="0">
                  <c:v>-1.050185949060976E-2</c:v>
                </c:pt>
                <c:pt idx="1">
                  <c:v>-1.0888513461917474E-2</c:v>
                </c:pt>
                <c:pt idx="2">
                  <c:v>-1.1003198833224875E-2</c:v>
                </c:pt>
                <c:pt idx="3">
                  <c:v>-1.102535711761608E-2</c:v>
                </c:pt>
                <c:pt idx="4">
                  <c:v>-1.1189947967879383E-2</c:v>
                </c:pt>
                <c:pt idx="5">
                  <c:v>-1.1335205122323109E-2</c:v>
                </c:pt>
                <c:pt idx="6">
                  <c:v>-1.1360799780630875E-2</c:v>
                </c:pt>
                <c:pt idx="7">
                  <c:v>-1.1599293239225223E-2</c:v>
                </c:pt>
                <c:pt idx="8">
                  <c:v>-1.1368649041003421E-2</c:v>
                </c:pt>
                <c:pt idx="9">
                  <c:v>-1.1440543741803691E-2</c:v>
                </c:pt>
                <c:pt idx="10">
                  <c:v>-1.1667458439917767E-2</c:v>
                </c:pt>
                <c:pt idx="11">
                  <c:v>-1.1795770739776997E-2</c:v>
                </c:pt>
                <c:pt idx="12">
                  <c:v>-1.192164304506925E-2</c:v>
                </c:pt>
                <c:pt idx="13">
                  <c:v>-1.2016737521238632E-2</c:v>
                </c:pt>
                <c:pt idx="14">
                  <c:v>-1.2003951651280098E-2</c:v>
                </c:pt>
                <c:pt idx="15">
                  <c:v>-1.2111076450244524E-2</c:v>
                </c:pt>
                <c:pt idx="16">
                  <c:v>-1.2433972136552163E-2</c:v>
                </c:pt>
                <c:pt idx="17">
                  <c:v>-1.2467143042461559E-2</c:v>
                </c:pt>
                <c:pt idx="18">
                  <c:v>-1.2551716987332992E-2</c:v>
                </c:pt>
                <c:pt idx="19">
                  <c:v>-1.271568001377732E-2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'Chg_T_neg_den '!$A$15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'!$B$15:$U$15</c:f>
              <c:numCache>
                <c:formatCode>General</c:formatCode>
                <c:ptCount val="20"/>
                <c:pt idx="0">
                  <c:v>-8.7009527251303356E-3</c:v>
                </c:pt>
                <c:pt idx="1">
                  <c:v>-8.5905718214633591E-3</c:v>
                </c:pt>
                <c:pt idx="2">
                  <c:v>-8.6065779125754499E-3</c:v>
                </c:pt>
                <c:pt idx="3">
                  <c:v>-8.5773969189852101E-3</c:v>
                </c:pt>
                <c:pt idx="4">
                  <c:v>-8.624483595415712E-3</c:v>
                </c:pt>
                <c:pt idx="5">
                  <c:v>-8.715390497053976E-3</c:v>
                </c:pt>
                <c:pt idx="6">
                  <c:v>-8.7656382404719402E-3</c:v>
                </c:pt>
                <c:pt idx="7">
                  <c:v>-8.8238996846627827E-3</c:v>
                </c:pt>
                <c:pt idx="8">
                  <c:v>-8.8598441019114692E-3</c:v>
                </c:pt>
                <c:pt idx="9">
                  <c:v>-8.809221020806746E-3</c:v>
                </c:pt>
                <c:pt idx="10">
                  <c:v>-8.9152461130248776E-3</c:v>
                </c:pt>
                <c:pt idx="11">
                  <c:v>-8.8608180526165894E-3</c:v>
                </c:pt>
                <c:pt idx="12">
                  <c:v>-8.9264818226755943E-3</c:v>
                </c:pt>
                <c:pt idx="13">
                  <c:v>-8.8918833523284613E-3</c:v>
                </c:pt>
                <c:pt idx="14">
                  <c:v>-9.059795205906284E-3</c:v>
                </c:pt>
                <c:pt idx="15">
                  <c:v>-9.1178205616085951E-3</c:v>
                </c:pt>
                <c:pt idx="16">
                  <c:v>-9.1431301422985785E-3</c:v>
                </c:pt>
                <c:pt idx="17">
                  <c:v>-9.065156971418329E-3</c:v>
                </c:pt>
                <c:pt idx="18">
                  <c:v>-9.0339744571057441E-3</c:v>
                </c:pt>
                <c:pt idx="19">
                  <c:v>-9.0499302139054327E-3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'Chg_T_neg_den '!$A$16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'!$B$16:$U$16</c:f>
              <c:numCache>
                <c:formatCode>General</c:formatCode>
                <c:ptCount val="20"/>
                <c:pt idx="0">
                  <c:v>-9.2133062377532434E-3</c:v>
                </c:pt>
                <c:pt idx="1">
                  <c:v>-9.8917657271969175E-3</c:v>
                </c:pt>
                <c:pt idx="2">
                  <c:v>-1.0536539236135706E-2</c:v>
                </c:pt>
                <c:pt idx="3">
                  <c:v>-1.082893981011792E-2</c:v>
                </c:pt>
                <c:pt idx="4">
                  <c:v>-1.093577233469707E-2</c:v>
                </c:pt>
                <c:pt idx="5">
                  <c:v>-1.0945830705707175E-2</c:v>
                </c:pt>
                <c:pt idx="6">
                  <c:v>-1.1154949358560293E-2</c:v>
                </c:pt>
                <c:pt idx="7">
                  <c:v>-1.125919629941402E-2</c:v>
                </c:pt>
                <c:pt idx="8">
                  <c:v>-1.139082975742225E-2</c:v>
                </c:pt>
                <c:pt idx="9">
                  <c:v>-1.1225034597051134E-2</c:v>
                </c:pt>
                <c:pt idx="10">
                  <c:v>-1.1430661107917704E-2</c:v>
                </c:pt>
                <c:pt idx="11">
                  <c:v>-1.1478312103697883E-2</c:v>
                </c:pt>
                <c:pt idx="12">
                  <c:v>-1.1523541633785276E-2</c:v>
                </c:pt>
                <c:pt idx="13">
                  <c:v>-1.1495126896018313E-2</c:v>
                </c:pt>
                <c:pt idx="14">
                  <c:v>-1.1557378786016688E-2</c:v>
                </c:pt>
                <c:pt idx="15">
                  <c:v>-1.1421829583686174E-2</c:v>
                </c:pt>
                <c:pt idx="16">
                  <c:v>-1.1446687081587192E-2</c:v>
                </c:pt>
                <c:pt idx="17">
                  <c:v>-1.1374470237541873E-2</c:v>
                </c:pt>
                <c:pt idx="18">
                  <c:v>-1.1477012498745729E-2</c:v>
                </c:pt>
                <c:pt idx="19">
                  <c:v>-1.1599679454621384E-2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'Chg_T_neg_den '!$A$17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'!$B$17:$U$17</c:f>
              <c:numCache>
                <c:formatCode>General</c:formatCode>
                <c:ptCount val="20"/>
                <c:pt idx="0">
                  <c:v>-9.1748801968088746E-3</c:v>
                </c:pt>
                <c:pt idx="1">
                  <c:v>-9.8489138289260866E-3</c:v>
                </c:pt>
                <c:pt idx="2">
                  <c:v>-1.0514034173786206E-2</c:v>
                </c:pt>
                <c:pt idx="3">
                  <c:v>-1.0825156165812776E-2</c:v>
                </c:pt>
                <c:pt idx="4">
                  <c:v>-1.106658348671263E-2</c:v>
                </c:pt>
                <c:pt idx="5">
                  <c:v>-1.1069052638079635E-2</c:v>
                </c:pt>
                <c:pt idx="6">
                  <c:v>-1.1063510793084964E-2</c:v>
                </c:pt>
                <c:pt idx="7">
                  <c:v>-1.1024733778804325E-2</c:v>
                </c:pt>
                <c:pt idx="8">
                  <c:v>-1.108911179960265E-2</c:v>
                </c:pt>
                <c:pt idx="9">
                  <c:v>-1.1171400549456471E-2</c:v>
                </c:pt>
                <c:pt idx="10">
                  <c:v>-1.1068837407662315E-2</c:v>
                </c:pt>
                <c:pt idx="11">
                  <c:v>-1.1148301651684759E-2</c:v>
                </c:pt>
                <c:pt idx="12">
                  <c:v>-1.1080408573734683E-2</c:v>
                </c:pt>
                <c:pt idx="13">
                  <c:v>-1.1065418173759865E-2</c:v>
                </c:pt>
                <c:pt idx="14">
                  <c:v>-1.1258280704409238E-2</c:v>
                </c:pt>
                <c:pt idx="15">
                  <c:v>-1.1338207049834082E-2</c:v>
                </c:pt>
                <c:pt idx="16">
                  <c:v>-1.1238754465511237E-2</c:v>
                </c:pt>
                <c:pt idx="17">
                  <c:v>-1.1182750094573986E-2</c:v>
                </c:pt>
                <c:pt idx="18">
                  <c:v>-1.1142351429611655E-2</c:v>
                </c:pt>
                <c:pt idx="19">
                  <c:v>-1.1101708535887083E-2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'Chg_T_neg_den '!$A$18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'!$B$18:$U$18</c:f>
              <c:numCache>
                <c:formatCode>General</c:formatCode>
                <c:ptCount val="20"/>
                <c:pt idx="0">
                  <c:v>-9.1864718541171137E-3</c:v>
                </c:pt>
                <c:pt idx="1">
                  <c:v>-9.8836309409318125E-3</c:v>
                </c:pt>
                <c:pt idx="2">
                  <c:v>-1.042564310362885E-2</c:v>
                </c:pt>
                <c:pt idx="3">
                  <c:v>-1.0835271669862775E-2</c:v>
                </c:pt>
                <c:pt idx="4">
                  <c:v>-1.0986822494114302E-2</c:v>
                </c:pt>
                <c:pt idx="5">
                  <c:v>-1.1104618052144029E-2</c:v>
                </c:pt>
                <c:pt idx="6">
                  <c:v>-1.1189077626157191E-2</c:v>
                </c:pt>
                <c:pt idx="7">
                  <c:v>-1.1266993600784982E-2</c:v>
                </c:pt>
                <c:pt idx="8">
                  <c:v>-1.1445286940840396E-2</c:v>
                </c:pt>
                <c:pt idx="9">
                  <c:v>-1.1560287411664033E-2</c:v>
                </c:pt>
                <c:pt idx="10">
                  <c:v>-1.1534473853286133E-2</c:v>
                </c:pt>
                <c:pt idx="11">
                  <c:v>-1.1573029983946421E-2</c:v>
                </c:pt>
                <c:pt idx="12">
                  <c:v>-1.159766918228688E-2</c:v>
                </c:pt>
                <c:pt idx="13">
                  <c:v>-1.1578747183943357E-2</c:v>
                </c:pt>
                <c:pt idx="14">
                  <c:v>-1.1707114360210205E-2</c:v>
                </c:pt>
                <c:pt idx="15">
                  <c:v>-1.1815564123669655E-2</c:v>
                </c:pt>
                <c:pt idx="16">
                  <c:v>-1.1791842978545885E-2</c:v>
                </c:pt>
                <c:pt idx="17">
                  <c:v>-1.1997656558507746E-2</c:v>
                </c:pt>
                <c:pt idx="18">
                  <c:v>-1.2168056226080096E-2</c:v>
                </c:pt>
                <c:pt idx="19">
                  <c:v>-1.2283171688534001E-2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'Chg_T_neg_den '!$A$19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'!$B$19:$U$19</c:f>
              <c:numCache>
                <c:formatCode>General</c:formatCode>
                <c:ptCount val="20"/>
                <c:pt idx="0">
                  <c:v>-7.6095399621074807E-3</c:v>
                </c:pt>
                <c:pt idx="1">
                  <c:v>-7.7432563798954298E-3</c:v>
                </c:pt>
                <c:pt idx="2">
                  <c:v>-7.9482750742877663E-3</c:v>
                </c:pt>
                <c:pt idx="3">
                  <c:v>-8.0562506373630001E-3</c:v>
                </c:pt>
                <c:pt idx="4">
                  <c:v>-8.1169257682947079E-3</c:v>
                </c:pt>
                <c:pt idx="5">
                  <c:v>-8.1604588428514299E-3</c:v>
                </c:pt>
                <c:pt idx="6">
                  <c:v>-8.0717720276316917E-3</c:v>
                </c:pt>
                <c:pt idx="7">
                  <c:v>-8.1396842785340841E-3</c:v>
                </c:pt>
                <c:pt idx="8">
                  <c:v>-8.1835424255695122E-3</c:v>
                </c:pt>
                <c:pt idx="9">
                  <c:v>-8.0528789039321196E-3</c:v>
                </c:pt>
                <c:pt idx="10">
                  <c:v>-8.0373676543124915E-3</c:v>
                </c:pt>
                <c:pt idx="11">
                  <c:v>-8.0675439276555218E-3</c:v>
                </c:pt>
                <c:pt idx="12">
                  <c:v>-8.032582914692608E-3</c:v>
                </c:pt>
                <c:pt idx="13">
                  <c:v>-8.1177851832385031E-3</c:v>
                </c:pt>
                <c:pt idx="14">
                  <c:v>-8.0852931623840597E-3</c:v>
                </c:pt>
                <c:pt idx="15">
                  <c:v>-8.1804827552445693E-3</c:v>
                </c:pt>
                <c:pt idx="16">
                  <c:v>-8.2029352704553592E-3</c:v>
                </c:pt>
                <c:pt idx="17">
                  <c:v>-8.3018746686800218E-3</c:v>
                </c:pt>
                <c:pt idx="18">
                  <c:v>-8.2729778918580847E-3</c:v>
                </c:pt>
                <c:pt idx="19">
                  <c:v>-8.2587795544161943E-3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'Chg_T_neg_den '!$A$20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'!$B$20:$U$20</c:f>
              <c:numCache>
                <c:formatCode>General</c:formatCode>
                <c:ptCount val="20"/>
                <c:pt idx="0">
                  <c:v>-7.4898306768426412E-3</c:v>
                </c:pt>
                <c:pt idx="1">
                  <c:v>-7.526599572807529E-3</c:v>
                </c:pt>
                <c:pt idx="2">
                  <c:v>-7.9022129643935221E-3</c:v>
                </c:pt>
                <c:pt idx="3">
                  <c:v>-8.0678292129350952E-3</c:v>
                </c:pt>
                <c:pt idx="4">
                  <c:v>-8.1864922929656726E-3</c:v>
                </c:pt>
                <c:pt idx="5">
                  <c:v>-8.1205494793780524E-3</c:v>
                </c:pt>
                <c:pt idx="6">
                  <c:v>-8.1247307429392884E-3</c:v>
                </c:pt>
                <c:pt idx="7">
                  <c:v>-8.1415712413922311E-3</c:v>
                </c:pt>
                <c:pt idx="8">
                  <c:v>-8.0827635618638694E-3</c:v>
                </c:pt>
                <c:pt idx="9">
                  <c:v>-8.1350378447905426E-3</c:v>
                </c:pt>
                <c:pt idx="10">
                  <c:v>-8.146107685412237E-3</c:v>
                </c:pt>
                <c:pt idx="11">
                  <c:v>-8.0337773679847128E-3</c:v>
                </c:pt>
                <c:pt idx="12">
                  <c:v>-8.0345143098862239E-3</c:v>
                </c:pt>
                <c:pt idx="13">
                  <c:v>-7.9833059600193015E-3</c:v>
                </c:pt>
                <c:pt idx="14">
                  <c:v>-7.9276055083489123E-3</c:v>
                </c:pt>
                <c:pt idx="15">
                  <c:v>-7.7697408603088734E-3</c:v>
                </c:pt>
                <c:pt idx="16">
                  <c:v>-7.7765197043557412E-3</c:v>
                </c:pt>
                <c:pt idx="17">
                  <c:v>-7.7382001567786298E-3</c:v>
                </c:pt>
                <c:pt idx="18">
                  <c:v>-7.8098028984946166E-3</c:v>
                </c:pt>
                <c:pt idx="19">
                  <c:v>-7.8339584229284824E-3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'Chg_T_neg_den '!$A$21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'!$B$21:$U$21</c:f>
              <c:numCache>
                <c:formatCode>General</c:formatCode>
                <c:ptCount val="20"/>
                <c:pt idx="0">
                  <c:v>-7.4734321367579178E-3</c:v>
                </c:pt>
                <c:pt idx="1">
                  <c:v>-7.5432884701034592E-3</c:v>
                </c:pt>
                <c:pt idx="2">
                  <c:v>-7.9115370272187183E-3</c:v>
                </c:pt>
                <c:pt idx="3">
                  <c:v>-8.0921366391474344E-3</c:v>
                </c:pt>
                <c:pt idx="4">
                  <c:v>-8.2142340489231511E-3</c:v>
                </c:pt>
                <c:pt idx="5">
                  <c:v>-8.0788445703011986E-3</c:v>
                </c:pt>
                <c:pt idx="6">
                  <c:v>-8.1640037915072031E-3</c:v>
                </c:pt>
                <c:pt idx="7">
                  <c:v>-8.1090251691312062E-3</c:v>
                </c:pt>
                <c:pt idx="8">
                  <c:v>-8.0644852300489882E-3</c:v>
                </c:pt>
                <c:pt idx="9">
                  <c:v>-7.9528012211953526E-3</c:v>
                </c:pt>
                <c:pt idx="10">
                  <c:v>-7.970649477300638E-3</c:v>
                </c:pt>
                <c:pt idx="11">
                  <c:v>-7.9356713573238442E-3</c:v>
                </c:pt>
                <c:pt idx="12">
                  <c:v>-8.0147623218318371E-3</c:v>
                </c:pt>
                <c:pt idx="13">
                  <c:v>-7.9768399274907833E-3</c:v>
                </c:pt>
                <c:pt idx="14">
                  <c:v>-7.9054971056411304E-3</c:v>
                </c:pt>
                <c:pt idx="15">
                  <c:v>-7.9568935716217478E-3</c:v>
                </c:pt>
                <c:pt idx="16">
                  <c:v>-7.9047188281534519E-3</c:v>
                </c:pt>
                <c:pt idx="17">
                  <c:v>-7.8795830530090268E-3</c:v>
                </c:pt>
                <c:pt idx="18">
                  <c:v>-7.9297514749806005E-3</c:v>
                </c:pt>
                <c:pt idx="19">
                  <c:v>-7.8286557869081553E-3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'Chg_T_neg_den '!$A$22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'!$B$22:$U$22</c:f>
              <c:numCache>
                <c:formatCode>General</c:formatCode>
                <c:ptCount val="20"/>
                <c:pt idx="0">
                  <c:v>-7.5742335401719953E-3</c:v>
                </c:pt>
                <c:pt idx="1">
                  <c:v>-7.6526507843020812E-3</c:v>
                </c:pt>
                <c:pt idx="2">
                  <c:v>-7.9096138139788733E-3</c:v>
                </c:pt>
                <c:pt idx="3">
                  <c:v>-8.0749378861340905E-3</c:v>
                </c:pt>
                <c:pt idx="4">
                  <c:v>-8.1774600784665329E-3</c:v>
                </c:pt>
                <c:pt idx="5">
                  <c:v>-8.2346046811130769E-3</c:v>
                </c:pt>
                <c:pt idx="6">
                  <c:v>-8.2100356518956703E-3</c:v>
                </c:pt>
                <c:pt idx="7">
                  <c:v>-8.2256551337004605E-3</c:v>
                </c:pt>
                <c:pt idx="8">
                  <c:v>-8.0917207063305272E-3</c:v>
                </c:pt>
                <c:pt idx="9">
                  <c:v>-8.0264102540933985E-3</c:v>
                </c:pt>
                <c:pt idx="10">
                  <c:v>-7.9243970543068348E-3</c:v>
                </c:pt>
                <c:pt idx="11">
                  <c:v>-7.9578577987417052E-3</c:v>
                </c:pt>
                <c:pt idx="12">
                  <c:v>-7.9370980435488521E-3</c:v>
                </c:pt>
                <c:pt idx="13">
                  <c:v>-7.9021056051830282E-3</c:v>
                </c:pt>
                <c:pt idx="14">
                  <c:v>-7.8790945911526699E-3</c:v>
                </c:pt>
                <c:pt idx="15">
                  <c:v>-7.8781108949347155E-3</c:v>
                </c:pt>
                <c:pt idx="16">
                  <c:v>-7.8801951784412908E-3</c:v>
                </c:pt>
                <c:pt idx="17">
                  <c:v>-7.8112673757514762E-3</c:v>
                </c:pt>
                <c:pt idx="18">
                  <c:v>-7.805931891813893E-3</c:v>
                </c:pt>
                <c:pt idx="19">
                  <c:v>-7.7511374090586376E-3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'Chg_T_neg_den '!$A$23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'!$B$23:$U$23</c:f>
              <c:numCache>
                <c:formatCode>General</c:formatCode>
                <c:ptCount val="20"/>
                <c:pt idx="0">
                  <c:v>-7.5226309331881194E-3</c:v>
                </c:pt>
                <c:pt idx="1">
                  <c:v>-7.6076354742914505E-3</c:v>
                </c:pt>
                <c:pt idx="2">
                  <c:v>-7.9932133006184423E-3</c:v>
                </c:pt>
                <c:pt idx="3">
                  <c:v>-8.1399548640719681E-3</c:v>
                </c:pt>
                <c:pt idx="4">
                  <c:v>-8.2101353778816204E-3</c:v>
                </c:pt>
                <c:pt idx="5">
                  <c:v>-8.169204026443104E-3</c:v>
                </c:pt>
                <c:pt idx="6">
                  <c:v>-8.1772748360263402E-3</c:v>
                </c:pt>
                <c:pt idx="7">
                  <c:v>-8.2295555036803192E-3</c:v>
                </c:pt>
                <c:pt idx="8">
                  <c:v>-8.1933566277048227E-3</c:v>
                </c:pt>
                <c:pt idx="9">
                  <c:v>-8.1528321304466835E-3</c:v>
                </c:pt>
                <c:pt idx="10">
                  <c:v>-8.1028094608019199E-3</c:v>
                </c:pt>
                <c:pt idx="11">
                  <c:v>-8.0888137911863962E-3</c:v>
                </c:pt>
                <c:pt idx="12">
                  <c:v>-8.0789389823387615E-3</c:v>
                </c:pt>
                <c:pt idx="13">
                  <c:v>-8.0478812432542342E-3</c:v>
                </c:pt>
                <c:pt idx="14">
                  <c:v>-7.9988332863210401E-3</c:v>
                </c:pt>
                <c:pt idx="15">
                  <c:v>-7.9076226148445724E-3</c:v>
                </c:pt>
                <c:pt idx="16">
                  <c:v>-7.7401008014722087E-3</c:v>
                </c:pt>
                <c:pt idx="17">
                  <c:v>-7.7541319217003662E-3</c:v>
                </c:pt>
                <c:pt idx="18">
                  <c:v>-7.9024834501938961E-3</c:v>
                </c:pt>
                <c:pt idx="19">
                  <c:v>-7.8421526666348999E-3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'Chg_T_neg_den '!$A$24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'!$B$24:$U$24</c:f>
              <c:numCache>
                <c:formatCode>General</c:formatCode>
                <c:ptCount val="20"/>
                <c:pt idx="0">
                  <c:v>-7.5192070748057033E-3</c:v>
                </c:pt>
                <c:pt idx="1">
                  <c:v>-7.5613197624917212E-3</c:v>
                </c:pt>
                <c:pt idx="2">
                  <c:v>-7.7588284334789894E-3</c:v>
                </c:pt>
                <c:pt idx="3">
                  <c:v>-7.7632321303825486E-3</c:v>
                </c:pt>
                <c:pt idx="4">
                  <c:v>-7.8611533763367127E-3</c:v>
                </c:pt>
                <c:pt idx="5">
                  <c:v>-7.8001062363200072E-3</c:v>
                </c:pt>
                <c:pt idx="6">
                  <c:v>-7.6897064697241902E-3</c:v>
                </c:pt>
                <c:pt idx="7">
                  <c:v>-7.6815219347666263E-3</c:v>
                </c:pt>
                <c:pt idx="8">
                  <c:v>-7.6871788214530976E-3</c:v>
                </c:pt>
                <c:pt idx="9">
                  <c:v>-7.6668894462322019E-3</c:v>
                </c:pt>
                <c:pt idx="10">
                  <c:v>-7.6290492887938583E-3</c:v>
                </c:pt>
                <c:pt idx="11">
                  <c:v>-7.6153016809057056E-3</c:v>
                </c:pt>
                <c:pt idx="12">
                  <c:v>-7.5771841556420754E-3</c:v>
                </c:pt>
                <c:pt idx="13">
                  <c:v>-7.5479103114740381E-3</c:v>
                </c:pt>
                <c:pt idx="14">
                  <c:v>-7.6243018604827805E-3</c:v>
                </c:pt>
                <c:pt idx="15">
                  <c:v>-7.6107858591186973E-3</c:v>
                </c:pt>
                <c:pt idx="16">
                  <c:v>-7.4693033249300864E-3</c:v>
                </c:pt>
                <c:pt idx="17">
                  <c:v>-7.4386889963122087E-3</c:v>
                </c:pt>
                <c:pt idx="18">
                  <c:v>-7.4382856756916487E-3</c:v>
                </c:pt>
                <c:pt idx="19">
                  <c:v>-7.4376788174794007E-3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'Chg_T_neg_den '!$A$25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'!$B$25:$U$25</c:f>
              <c:numCache>
                <c:formatCode>General</c:formatCode>
                <c:ptCount val="20"/>
                <c:pt idx="0">
                  <c:v>-7.528209624095312E-3</c:v>
                </c:pt>
                <c:pt idx="1">
                  <c:v>-7.6006389133964772E-3</c:v>
                </c:pt>
                <c:pt idx="2">
                  <c:v>-7.9456251233907607E-3</c:v>
                </c:pt>
                <c:pt idx="3">
                  <c:v>-8.1041727083289734E-3</c:v>
                </c:pt>
                <c:pt idx="4">
                  <c:v>-8.2196277008947851E-3</c:v>
                </c:pt>
                <c:pt idx="5">
                  <c:v>-8.1653766604695838E-3</c:v>
                </c:pt>
                <c:pt idx="6">
                  <c:v>-8.1093793328879445E-3</c:v>
                </c:pt>
                <c:pt idx="7">
                  <c:v>-8.1959784688209313E-3</c:v>
                </c:pt>
                <c:pt idx="8">
                  <c:v>-8.0857393804099429E-3</c:v>
                </c:pt>
                <c:pt idx="9">
                  <c:v>-8.1219615652926899E-3</c:v>
                </c:pt>
                <c:pt idx="10">
                  <c:v>-8.1349667988341486E-3</c:v>
                </c:pt>
                <c:pt idx="11">
                  <c:v>-8.0556737812004786E-3</c:v>
                </c:pt>
                <c:pt idx="12">
                  <c:v>-7.9991681638561119E-3</c:v>
                </c:pt>
                <c:pt idx="13">
                  <c:v>-8.0665714729530619E-3</c:v>
                </c:pt>
                <c:pt idx="14">
                  <c:v>-8.0458612092852624E-3</c:v>
                </c:pt>
                <c:pt idx="15">
                  <c:v>-8.0440539504152263E-3</c:v>
                </c:pt>
                <c:pt idx="16">
                  <c:v>-7.9876629409152307E-3</c:v>
                </c:pt>
                <c:pt idx="17">
                  <c:v>-7.9429441755873558E-3</c:v>
                </c:pt>
                <c:pt idx="18">
                  <c:v>-7.9831638240997344E-3</c:v>
                </c:pt>
                <c:pt idx="19">
                  <c:v>-7.8832641864536399E-3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'Chg_T_neg_den '!$A$26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'!$B$26:$U$26</c:f>
              <c:numCache>
                <c:formatCode>General</c:formatCode>
                <c:ptCount val="20"/>
                <c:pt idx="0">
                  <c:v>-8.9960628812136949E-3</c:v>
                </c:pt>
                <c:pt idx="1">
                  <c:v>-9.627126108802184E-3</c:v>
                </c:pt>
                <c:pt idx="2">
                  <c:v>-1.0228006576972575E-2</c:v>
                </c:pt>
                <c:pt idx="3">
                  <c:v>-1.0555092776796686E-2</c:v>
                </c:pt>
                <c:pt idx="4">
                  <c:v>-1.0889770419302244E-2</c:v>
                </c:pt>
                <c:pt idx="5">
                  <c:v>-1.1027603342515931E-2</c:v>
                </c:pt>
                <c:pt idx="6">
                  <c:v>-1.1107554403569938E-2</c:v>
                </c:pt>
                <c:pt idx="7">
                  <c:v>-1.1181846946643228E-2</c:v>
                </c:pt>
                <c:pt idx="8">
                  <c:v>-1.1046938732154996E-2</c:v>
                </c:pt>
                <c:pt idx="9">
                  <c:v>-1.1045438886661657E-2</c:v>
                </c:pt>
                <c:pt idx="10">
                  <c:v>-1.0891324588591739E-2</c:v>
                </c:pt>
                <c:pt idx="11">
                  <c:v>-1.0859349287575192E-2</c:v>
                </c:pt>
                <c:pt idx="12">
                  <c:v>-1.1078954856449512E-2</c:v>
                </c:pt>
                <c:pt idx="13">
                  <c:v>-1.0984070468242929E-2</c:v>
                </c:pt>
                <c:pt idx="14">
                  <c:v>-1.0968299255670335E-2</c:v>
                </c:pt>
                <c:pt idx="15">
                  <c:v>-1.0968121962074473E-2</c:v>
                </c:pt>
                <c:pt idx="16">
                  <c:v>-1.1107050666464826E-2</c:v>
                </c:pt>
                <c:pt idx="17">
                  <c:v>-1.0942077758718298E-2</c:v>
                </c:pt>
                <c:pt idx="18">
                  <c:v>-1.0854031579558146E-2</c:v>
                </c:pt>
                <c:pt idx="19">
                  <c:v>-1.0881502669863133E-2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'Chg_T_neg_den '!$A$27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'!$B$27:$U$27</c:f>
              <c:numCache>
                <c:formatCode>General</c:formatCode>
                <c:ptCount val="20"/>
                <c:pt idx="0">
                  <c:v>-7.6284836021214423E-3</c:v>
                </c:pt>
                <c:pt idx="1">
                  <c:v>-7.7442554553299276E-3</c:v>
                </c:pt>
                <c:pt idx="2">
                  <c:v>-8.0740486550578434E-3</c:v>
                </c:pt>
                <c:pt idx="3">
                  <c:v>-8.2014653088997858E-3</c:v>
                </c:pt>
                <c:pt idx="4">
                  <c:v>-8.3347411364928427E-3</c:v>
                </c:pt>
                <c:pt idx="5">
                  <c:v>-8.387059015563629E-3</c:v>
                </c:pt>
                <c:pt idx="6">
                  <c:v>-8.3357658254711708E-3</c:v>
                </c:pt>
                <c:pt idx="7">
                  <c:v>-8.3348704828555571E-3</c:v>
                </c:pt>
                <c:pt idx="8">
                  <c:v>-8.2056824256021253E-3</c:v>
                </c:pt>
                <c:pt idx="9">
                  <c:v>-8.1452260525184533E-3</c:v>
                </c:pt>
                <c:pt idx="10">
                  <c:v>-8.1336247668235048E-3</c:v>
                </c:pt>
                <c:pt idx="11">
                  <c:v>-8.0030850845228124E-3</c:v>
                </c:pt>
                <c:pt idx="12">
                  <c:v>-7.9387652857774559E-3</c:v>
                </c:pt>
                <c:pt idx="13">
                  <c:v>-7.8316690048357614E-3</c:v>
                </c:pt>
                <c:pt idx="14">
                  <c:v>-7.8752661224065369E-3</c:v>
                </c:pt>
                <c:pt idx="15">
                  <c:v>-7.8028164607565715E-3</c:v>
                </c:pt>
                <c:pt idx="16">
                  <c:v>-7.8531956433888876E-3</c:v>
                </c:pt>
                <c:pt idx="17">
                  <c:v>-7.7905826604098422E-3</c:v>
                </c:pt>
                <c:pt idx="18">
                  <c:v>-7.7711708443958171E-3</c:v>
                </c:pt>
                <c:pt idx="19">
                  <c:v>-7.7759052073856803E-3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'Chg_T_neg_den '!$A$28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'!$B$28:$U$28</c:f>
              <c:numCache>
                <c:formatCode>General</c:formatCode>
                <c:ptCount val="20"/>
                <c:pt idx="0">
                  <c:v>-7.512724313686164E-3</c:v>
                </c:pt>
                <c:pt idx="1">
                  <c:v>-7.5269859577019151E-3</c:v>
                </c:pt>
                <c:pt idx="2">
                  <c:v>-7.7532433210197749E-3</c:v>
                </c:pt>
                <c:pt idx="3">
                  <c:v>-7.813342846274305E-3</c:v>
                </c:pt>
                <c:pt idx="4">
                  <c:v>-7.8545558316690054E-3</c:v>
                </c:pt>
                <c:pt idx="5">
                  <c:v>-7.83475498064049E-3</c:v>
                </c:pt>
                <c:pt idx="6">
                  <c:v>-7.7528532675779308E-3</c:v>
                </c:pt>
                <c:pt idx="7">
                  <c:v>-7.6353619028192128E-3</c:v>
                </c:pt>
                <c:pt idx="8">
                  <c:v>-7.6195381058232229E-3</c:v>
                </c:pt>
                <c:pt idx="9">
                  <c:v>-7.5977084601540372E-3</c:v>
                </c:pt>
                <c:pt idx="10">
                  <c:v>-7.6761975873079549E-3</c:v>
                </c:pt>
                <c:pt idx="11">
                  <c:v>-7.6805458906086801E-3</c:v>
                </c:pt>
                <c:pt idx="12">
                  <c:v>-7.6332982486353226E-3</c:v>
                </c:pt>
                <c:pt idx="13">
                  <c:v>-7.661324902839467E-3</c:v>
                </c:pt>
                <c:pt idx="14">
                  <c:v>-7.6268130633093704E-3</c:v>
                </c:pt>
                <c:pt idx="15">
                  <c:v>-7.6237822702436425E-3</c:v>
                </c:pt>
                <c:pt idx="16">
                  <c:v>-7.6005288395281454E-3</c:v>
                </c:pt>
                <c:pt idx="17">
                  <c:v>-7.5299838691859052E-3</c:v>
                </c:pt>
                <c:pt idx="18">
                  <c:v>-7.5159388690629741E-3</c:v>
                </c:pt>
                <c:pt idx="19">
                  <c:v>-7.4399648414396396E-3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'Chg_T_neg_den '!$A$29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'!$B$29:$U$29</c:f>
              <c:numCache>
                <c:formatCode>General</c:formatCode>
                <c:ptCount val="20"/>
                <c:pt idx="0">
                  <c:v>-7.3921502483163147E-3</c:v>
                </c:pt>
                <c:pt idx="1">
                  <c:v>-7.4052727291198904E-3</c:v>
                </c:pt>
                <c:pt idx="2">
                  <c:v>-7.6313114020806977E-3</c:v>
                </c:pt>
                <c:pt idx="3">
                  <c:v>-7.7289495363752321E-3</c:v>
                </c:pt>
                <c:pt idx="4">
                  <c:v>-7.7690938472435665E-3</c:v>
                </c:pt>
                <c:pt idx="5">
                  <c:v>-7.6945377270578458E-3</c:v>
                </c:pt>
                <c:pt idx="6">
                  <c:v>-7.5822157167483957E-3</c:v>
                </c:pt>
                <c:pt idx="7">
                  <c:v>-7.4749112057070693E-3</c:v>
                </c:pt>
                <c:pt idx="8">
                  <c:v>-7.4721767524728719E-3</c:v>
                </c:pt>
                <c:pt idx="9">
                  <c:v>-7.4360180681470461E-3</c:v>
                </c:pt>
                <c:pt idx="10">
                  <c:v>-7.3325885601163805E-3</c:v>
                </c:pt>
                <c:pt idx="11">
                  <c:v>-7.4562416793018506E-3</c:v>
                </c:pt>
                <c:pt idx="12">
                  <c:v>-7.4368914535158171E-3</c:v>
                </c:pt>
                <c:pt idx="13">
                  <c:v>-7.3858292173220206E-3</c:v>
                </c:pt>
                <c:pt idx="14">
                  <c:v>-7.3810231337676753E-3</c:v>
                </c:pt>
                <c:pt idx="15">
                  <c:v>-7.3725699064707611E-3</c:v>
                </c:pt>
                <c:pt idx="16">
                  <c:v>-7.3347820245007952E-3</c:v>
                </c:pt>
                <c:pt idx="17">
                  <c:v>-7.3510261122310882E-3</c:v>
                </c:pt>
                <c:pt idx="18">
                  <c:v>-7.4175213978281591E-3</c:v>
                </c:pt>
                <c:pt idx="19">
                  <c:v>-7.342157982118366E-3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'Chg_T_neg_den '!$A$30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'!$B$30:$U$30</c:f>
              <c:numCache>
                <c:formatCode>General</c:formatCode>
                <c:ptCount val="20"/>
                <c:pt idx="0">
                  <c:v>-8.4134324354967968E-3</c:v>
                </c:pt>
                <c:pt idx="1">
                  <c:v>-8.7689659072289067E-3</c:v>
                </c:pt>
                <c:pt idx="2">
                  <c:v>-9.4118951446172106E-3</c:v>
                </c:pt>
                <c:pt idx="3">
                  <c:v>-9.7082291811846164E-3</c:v>
                </c:pt>
                <c:pt idx="4">
                  <c:v>-9.8107104764897021E-3</c:v>
                </c:pt>
                <c:pt idx="5">
                  <c:v>-9.8117918377999547E-3</c:v>
                </c:pt>
                <c:pt idx="6">
                  <c:v>-9.8416690548457312E-3</c:v>
                </c:pt>
                <c:pt idx="7">
                  <c:v>-9.8778847960473495E-3</c:v>
                </c:pt>
                <c:pt idx="8">
                  <c:v>-9.9041174631858669E-3</c:v>
                </c:pt>
                <c:pt idx="9">
                  <c:v>-9.8387774548855042E-3</c:v>
                </c:pt>
                <c:pt idx="10">
                  <c:v>-9.8158509168963636E-3</c:v>
                </c:pt>
                <c:pt idx="11">
                  <c:v>-9.7983746191250762E-3</c:v>
                </c:pt>
                <c:pt idx="12">
                  <c:v>-9.7620092429211765E-3</c:v>
                </c:pt>
                <c:pt idx="13">
                  <c:v>-9.8966358728753857E-3</c:v>
                </c:pt>
                <c:pt idx="14">
                  <c:v>-1.001807987588888E-2</c:v>
                </c:pt>
                <c:pt idx="15">
                  <c:v>-1.0008546870334865E-2</c:v>
                </c:pt>
                <c:pt idx="16">
                  <c:v>-9.9256587377219273E-3</c:v>
                </c:pt>
                <c:pt idx="17">
                  <c:v>-9.8464241275431491E-3</c:v>
                </c:pt>
                <c:pt idx="18">
                  <c:v>-9.7550507890100824E-3</c:v>
                </c:pt>
                <c:pt idx="19">
                  <c:v>-9.6974431535511059E-3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'Chg_T_neg_den '!$A$31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'!$B$31:$U$31</c:f>
              <c:numCache>
                <c:formatCode>General</c:formatCode>
                <c:ptCount val="20"/>
                <c:pt idx="0">
                  <c:v>-8.7378628732057151E-3</c:v>
                </c:pt>
                <c:pt idx="1">
                  <c:v>-9.1498956249627724E-3</c:v>
                </c:pt>
                <c:pt idx="2">
                  <c:v>-9.6992542428912427E-3</c:v>
                </c:pt>
                <c:pt idx="3">
                  <c:v>-1.0125776000790253E-2</c:v>
                </c:pt>
                <c:pt idx="4">
                  <c:v>-1.0414628527840057E-2</c:v>
                </c:pt>
                <c:pt idx="5">
                  <c:v>-1.0496756376158529E-2</c:v>
                </c:pt>
                <c:pt idx="6">
                  <c:v>-1.0626654373200015E-2</c:v>
                </c:pt>
                <c:pt idx="7">
                  <c:v>-1.0683038627357833E-2</c:v>
                </c:pt>
                <c:pt idx="8">
                  <c:v>-1.0687019651381123E-2</c:v>
                </c:pt>
                <c:pt idx="9">
                  <c:v>-1.0776147012199424E-2</c:v>
                </c:pt>
                <c:pt idx="10">
                  <c:v>-1.087475946338033E-2</c:v>
                </c:pt>
                <c:pt idx="11">
                  <c:v>-1.0874555234937331E-2</c:v>
                </c:pt>
                <c:pt idx="12">
                  <c:v>-1.0877839467704932E-2</c:v>
                </c:pt>
                <c:pt idx="13">
                  <c:v>-1.106280067670269E-2</c:v>
                </c:pt>
                <c:pt idx="14">
                  <c:v>-1.1022658325228979E-2</c:v>
                </c:pt>
                <c:pt idx="15">
                  <c:v>-1.1093345432711248E-2</c:v>
                </c:pt>
                <c:pt idx="16">
                  <c:v>-1.1158234800152466E-2</c:v>
                </c:pt>
                <c:pt idx="17">
                  <c:v>-1.1198419900989682E-2</c:v>
                </c:pt>
                <c:pt idx="18">
                  <c:v>-1.1293879312465203E-2</c:v>
                </c:pt>
                <c:pt idx="19">
                  <c:v>-1.1373130072306436E-2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'Chg_T_neg_den '!$A$32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'!$B$32:$U$32</c:f>
              <c:numCache>
                <c:formatCode>General</c:formatCode>
                <c:ptCount val="20"/>
                <c:pt idx="0">
                  <c:v>-1.0753612158799638E-2</c:v>
                </c:pt>
                <c:pt idx="1">
                  <c:v>-1.2286175449923331E-2</c:v>
                </c:pt>
                <c:pt idx="2">
                  <c:v>-1.4010391642674197E-2</c:v>
                </c:pt>
                <c:pt idx="3">
                  <c:v>-1.5068062711740354E-2</c:v>
                </c:pt>
                <c:pt idx="4">
                  <c:v>-1.5736626396871751E-2</c:v>
                </c:pt>
                <c:pt idx="5">
                  <c:v>-1.6221181166426586E-2</c:v>
                </c:pt>
                <c:pt idx="6">
                  <c:v>-1.646250976403283E-2</c:v>
                </c:pt>
                <c:pt idx="7">
                  <c:v>-1.6938448815786968E-2</c:v>
                </c:pt>
                <c:pt idx="8">
                  <c:v>-1.7359113906518606E-2</c:v>
                </c:pt>
                <c:pt idx="9">
                  <c:v>-1.7636482202414389E-2</c:v>
                </c:pt>
                <c:pt idx="10">
                  <c:v>-1.8076576749563419E-2</c:v>
                </c:pt>
                <c:pt idx="11">
                  <c:v>-1.8449581172143278E-2</c:v>
                </c:pt>
                <c:pt idx="12">
                  <c:v>-1.8605653942201147E-2</c:v>
                </c:pt>
                <c:pt idx="13">
                  <c:v>-1.8660491031394829E-2</c:v>
                </c:pt>
                <c:pt idx="14">
                  <c:v>-1.892004517142146E-2</c:v>
                </c:pt>
                <c:pt idx="15">
                  <c:v>-1.8990552215863082E-2</c:v>
                </c:pt>
                <c:pt idx="16">
                  <c:v>-1.9063798278288691E-2</c:v>
                </c:pt>
                <c:pt idx="17">
                  <c:v>-1.9032707438225917E-2</c:v>
                </c:pt>
                <c:pt idx="18">
                  <c:v>-1.9073158219431816E-2</c:v>
                </c:pt>
                <c:pt idx="19">
                  <c:v>-1.9266063979623382E-2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'Chg_T_neg_den '!$A$33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'!$B$33:$U$33</c:f>
              <c:numCache>
                <c:formatCode>General</c:formatCode>
                <c:ptCount val="20"/>
                <c:pt idx="0">
                  <c:v>-1.0952502804982878E-2</c:v>
                </c:pt>
                <c:pt idx="1">
                  <c:v>-1.2389228741094764E-2</c:v>
                </c:pt>
                <c:pt idx="2">
                  <c:v>-1.3864741896652559E-2</c:v>
                </c:pt>
                <c:pt idx="3">
                  <c:v>-1.4839536976701349E-2</c:v>
                </c:pt>
                <c:pt idx="4">
                  <c:v>-1.5368528708264115E-2</c:v>
                </c:pt>
                <c:pt idx="5">
                  <c:v>-1.594210652719219E-2</c:v>
                </c:pt>
                <c:pt idx="6">
                  <c:v>-1.6403355490605183E-2</c:v>
                </c:pt>
                <c:pt idx="7">
                  <c:v>-1.682277759287568E-2</c:v>
                </c:pt>
                <c:pt idx="8">
                  <c:v>-1.7100931143098283E-2</c:v>
                </c:pt>
                <c:pt idx="9">
                  <c:v>-1.7346240708756788E-2</c:v>
                </c:pt>
                <c:pt idx="10">
                  <c:v>-1.7643687001257367E-2</c:v>
                </c:pt>
                <c:pt idx="11">
                  <c:v>-1.7722329914690485E-2</c:v>
                </c:pt>
                <c:pt idx="12">
                  <c:v>-1.8008151252705881E-2</c:v>
                </c:pt>
                <c:pt idx="13">
                  <c:v>-1.8429110040580593E-2</c:v>
                </c:pt>
                <c:pt idx="14">
                  <c:v>-1.8665635823062035E-2</c:v>
                </c:pt>
                <c:pt idx="15">
                  <c:v>-1.8828186883781885E-2</c:v>
                </c:pt>
                <c:pt idx="16">
                  <c:v>-1.8743753897280009E-2</c:v>
                </c:pt>
                <c:pt idx="17">
                  <c:v>-1.881412750576553E-2</c:v>
                </c:pt>
                <c:pt idx="18">
                  <c:v>-1.869263538853537E-2</c:v>
                </c:pt>
                <c:pt idx="19">
                  <c:v>-1.8615661243510138E-2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'Chg_T_neg_den '!$A$34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'!$B$34:$U$34</c:f>
              <c:numCache>
                <c:formatCode>General</c:formatCode>
                <c:ptCount val="20"/>
                <c:pt idx="0">
                  <c:v>-1.0904759273921842E-2</c:v>
                </c:pt>
                <c:pt idx="1">
                  <c:v>-1.237255136612312E-2</c:v>
                </c:pt>
                <c:pt idx="2">
                  <c:v>-1.3934544987362348E-2</c:v>
                </c:pt>
                <c:pt idx="3">
                  <c:v>-1.4746053528734773E-2</c:v>
                </c:pt>
                <c:pt idx="4">
                  <c:v>-1.5442410155613562E-2</c:v>
                </c:pt>
                <c:pt idx="5">
                  <c:v>-1.6022099543540547E-2</c:v>
                </c:pt>
                <c:pt idx="6">
                  <c:v>-1.6434688458159038E-2</c:v>
                </c:pt>
                <c:pt idx="7">
                  <c:v>-1.6853735925936589E-2</c:v>
                </c:pt>
                <c:pt idx="8">
                  <c:v>-1.7111638838493804E-2</c:v>
                </c:pt>
                <c:pt idx="9">
                  <c:v>-1.7359820420517289E-2</c:v>
                </c:pt>
                <c:pt idx="10">
                  <c:v>-1.7613247751883287E-2</c:v>
                </c:pt>
                <c:pt idx="11">
                  <c:v>-1.7783324941712253E-2</c:v>
                </c:pt>
                <c:pt idx="12">
                  <c:v>-1.7913067069033225E-2</c:v>
                </c:pt>
                <c:pt idx="13">
                  <c:v>-1.8228434161505221E-2</c:v>
                </c:pt>
                <c:pt idx="14">
                  <c:v>-1.8223141710754148E-2</c:v>
                </c:pt>
                <c:pt idx="15">
                  <c:v>-1.8349008879143491E-2</c:v>
                </c:pt>
                <c:pt idx="16">
                  <c:v>-1.8324603990415904E-2</c:v>
                </c:pt>
                <c:pt idx="17">
                  <c:v>-1.8532135743187707E-2</c:v>
                </c:pt>
                <c:pt idx="18">
                  <c:v>-1.8634658419185948E-2</c:v>
                </c:pt>
                <c:pt idx="19">
                  <c:v>-1.8709180812869274E-2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'Chg_T_neg_den '!$A$35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'!$B$35:$U$35</c:f>
              <c:numCache>
                <c:formatCode>General</c:formatCode>
                <c:ptCount val="20"/>
                <c:pt idx="0">
                  <c:v>-8.6963168848498106E-3</c:v>
                </c:pt>
                <c:pt idx="1">
                  <c:v>-8.9120190744961299E-3</c:v>
                </c:pt>
                <c:pt idx="2">
                  <c:v>-9.0960251522535004E-3</c:v>
                </c:pt>
                <c:pt idx="3">
                  <c:v>-9.2141337417615543E-3</c:v>
                </c:pt>
                <c:pt idx="4">
                  <c:v>-9.3259627526646235E-3</c:v>
                </c:pt>
                <c:pt idx="5">
                  <c:v>-9.4303273593125108E-3</c:v>
                </c:pt>
                <c:pt idx="6">
                  <c:v>-9.5339604665115596E-3</c:v>
                </c:pt>
                <c:pt idx="7">
                  <c:v>-9.6572309425668086E-3</c:v>
                </c:pt>
                <c:pt idx="8">
                  <c:v>-9.6845475292922853E-3</c:v>
                </c:pt>
                <c:pt idx="9">
                  <c:v>-9.8453159675171206E-3</c:v>
                </c:pt>
                <c:pt idx="10">
                  <c:v>-9.9602557094629566E-3</c:v>
                </c:pt>
                <c:pt idx="11">
                  <c:v>-1.0036258310841945E-2</c:v>
                </c:pt>
                <c:pt idx="12">
                  <c:v>-1.0080538214741188E-2</c:v>
                </c:pt>
                <c:pt idx="13">
                  <c:v>-1.0095979892100364E-2</c:v>
                </c:pt>
                <c:pt idx="14">
                  <c:v>-1.0130599393758424E-2</c:v>
                </c:pt>
                <c:pt idx="15">
                  <c:v>-1.0180609054123704E-2</c:v>
                </c:pt>
                <c:pt idx="16">
                  <c:v>-1.0207404754516867E-2</c:v>
                </c:pt>
                <c:pt idx="17">
                  <c:v>-1.0202780777523625E-2</c:v>
                </c:pt>
                <c:pt idx="18">
                  <c:v>-1.017760886630004E-2</c:v>
                </c:pt>
                <c:pt idx="19">
                  <c:v>-1.0178060451325723E-2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'Chg_T_neg_den '!$A$36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'!$B$36:$U$36</c:f>
              <c:numCache>
                <c:formatCode>General</c:formatCode>
                <c:ptCount val="20"/>
                <c:pt idx="0">
                  <c:v>-8.9118739729249601E-3</c:v>
                </c:pt>
                <c:pt idx="1">
                  <c:v>-9.0366221697058737E-3</c:v>
                </c:pt>
                <c:pt idx="2">
                  <c:v>-9.2390387804992067E-3</c:v>
                </c:pt>
                <c:pt idx="3">
                  <c:v>-9.3750188372920124E-3</c:v>
                </c:pt>
                <c:pt idx="4">
                  <c:v>-9.4656656467821312E-3</c:v>
                </c:pt>
                <c:pt idx="5">
                  <c:v>-9.5786209767113745E-3</c:v>
                </c:pt>
                <c:pt idx="6">
                  <c:v>-9.6543503357057782E-3</c:v>
                </c:pt>
                <c:pt idx="7">
                  <c:v>-9.7468922276778367E-3</c:v>
                </c:pt>
                <c:pt idx="8">
                  <c:v>-9.8438164964357918E-3</c:v>
                </c:pt>
                <c:pt idx="9">
                  <c:v>-9.9184325769542236E-3</c:v>
                </c:pt>
                <c:pt idx="10">
                  <c:v>-9.9314817051917477E-3</c:v>
                </c:pt>
                <c:pt idx="11">
                  <c:v>-1.0043061492368041E-2</c:v>
                </c:pt>
                <c:pt idx="12">
                  <c:v>-1.0050700972725897E-2</c:v>
                </c:pt>
                <c:pt idx="13">
                  <c:v>-1.0121396167179369E-2</c:v>
                </c:pt>
                <c:pt idx="14">
                  <c:v>-1.0194687864209056E-2</c:v>
                </c:pt>
                <c:pt idx="15">
                  <c:v>-1.0275988910408018E-2</c:v>
                </c:pt>
                <c:pt idx="16">
                  <c:v>-1.0357262727523985E-2</c:v>
                </c:pt>
                <c:pt idx="17">
                  <c:v>-1.043961433259011E-2</c:v>
                </c:pt>
                <c:pt idx="18">
                  <c:v>-1.0465054564227942E-2</c:v>
                </c:pt>
                <c:pt idx="19">
                  <c:v>-1.0484180037978203E-2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'Chg_T_neg_den '!$A$37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'Chg_T_neg_den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'Chg_T_neg_den '!$B$37:$U$37</c:f>
              <c:numCache>
                <c:formatCode>General</c:formatCode>
                <c:ptCount val="20"/>
                <c:pt idx="0">
                  <c:v>-8.684490651633776E-3</c:v>
                </c:pt>
                <c:pt idx="1">
                  <c:v>-8.6711105862217839E-3</c:v>
                </c:pt>
                <c:pt idx="2">
                  <c:v>-8.7464668478048051E-3</c:v>
                </c:pt>
                <c:pt idx="3">
                  <c:v>-8.7574649895304935E-3</c:v>
                </c:pt>
                <c:pt idx="4">
                  <c:v>-8.7976049796636251E-3</c:v>
                </c:pt>
                <c:pt idx="5">
                  <c:v>-8.843102446216923E-3</c:v>
                </c:pt>
                <c:pt idx="6">
                  <c:v>-8.8554811228540881E-3</c:v>
                </c:pt>
                <c:pt idx="7">
                  <c:v>-8.8804649689607166E-3</c:v>
                </c:pt>
                <c:pt idx="8">
                  <c:v>-8.933969651139094E-3</c:v>
                </c:pt>
                <c:pt idx="9">
                  <c:v>-9.0158615134523362E-3</c:v>
                </c:pt>
                <c:pt idx="10">
                  <c:v>-8.9993070917007058E-3</c:v>
                </c:pt>
                <c:pt idx="11">
                  <c:v>-9.0386519403113427E-3</c:v>
                </c:pt>
                <c:pt idx="12">
                  <c:v>-9.1261613337584938E-3</c:v>
                </c:pt>
                <c:pt idx="13">
                  <c:v>-9.1275018385852478E-3</c:v>
                </c:pt>
                <c:pt idx="14">
                  <c:v>-9.132487385852801E-3</c:v>
                </c:pt>
                <c:pt idx="15">
                  <c:v>-9.1541831328533895E-3</c:v>
                </c:pt>
                <c:pt idx="16">
                  <c:v>-9.2544589801164343E-3</c:v>
                </c:pt>
                <c:pt idx="17">
                  <c:v>-9.33924488276211E-3</c:v>
                </c:pt>
                <c:pt idx="18">
                  <c:v>-9.4312330229364034E-3</c:v>
                </c:pt>
                <c:pt idx="19">
                  <c:v>-9.4912276442673076E-3</c:v>
                </c:pt>
              </c:numCache>
            </c:numRef>
          </c:yVal>
          <c:smooth val="1"/>
        </c:ser>
        <c:axId val="99097600"/>
        <c:axId val="99132544"/>
      </c:scatterChart>
      <c:valAx>
        <c:axId val="9909760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132544"/>
        <c:crosses val="autoZero"/>
        <c:crossBetween val="midCat"/>
      </c:valAx>
      <c:valAx>
        <c:axId val="99132544"/>
        <c:scaling>
          <c:orientation val="minMax"/>
        </c:scaling>
        <c:axPos val="l"/>
        <c:numFmt formatCode="General" sourceLinked="1"/>
        <c:tickLblPos val="nextTo"/>
        <c:crossAx val="990976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885182152230976"/>
          <c:y val="7.9861475648877231E-2"/>
          <c:w val="0.24932266666666666"/>
          <c:h val="0.8799471233978963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Chg_S_neg_den!$B$3:$U$3</c:f>
              <c:numCache>
                <c:formatCode>General</c:formatCode>
                <c:ptCount val="20"/>
                <c:pt idx="0">
                  <c:v>-7.618807653339982E-3</c:v>
                </c:pt>
                <c:pt idx="1">
                  <c:v>-7.6186276653870304E-3</c:v>
                </c:pt>
                <c:pt idx="2">
                  <c:v>-7.7013754013597916E-3</c:v>
                </c:pt>
                <c:pt idx="3">
                  <c:v>-7.6522043735568366E-3</c:v>
                </c:pt>
                <c:pt idx="4">
                  <c:v>-7.7528078111574949E-3</c:v>
                </c:pt>
                <c:pt idx="5">
                  <c:v>-7.7678289595491945E-3</c:v>
                </c:pt>
                <c:pt idx="6">
                  <c:v>-7.6907174454468362E-3</c:v>
                </c:pt>
                <c:pt idx="7">
                  <c:v>-7.7674537303508689E-3</c:v>
                </c:pt>
                <c:pt idx="8">
                  <c:v>-7.6173907113652366E-3</c:v>
                </c:pt>
                <c:pt idx="9">
                  <c:v>-7.4440865275312755E-3</c:v>
                </c:pt>
                <c:pt idx="10">
                  <c:v>-7.5258594093797039E-3</c:v>
                </c:pt>
                <c:pt idx="11">
                  <c:v>-7.6107288017576557E-3</c:v>
                </c:pt>
                <c:pt idx="12">
                  <c:v>-7.5848142214535218E-3</c:v>
                </c:pt>
                <c:pt idx="13">
                  <c:v>-7.5986025817142084E-3</c:v>
                </c:pt>
                <c:pt idx="14">
                  <c:v>-7.5292458207372242E-3</c:v>
                </c:pt>
                <c:pt idx="15">
                  <c:v>-7.6452032628692842E-3</c:v>
                </c:pt>
                <c:pt idx="16">
                  <c:v>-7.6014133404582141E-3</c:v>
                </c:pt>
                <c:pt idx="17">
                  <c:v>-7.5742625488458021E-3</c:v>
                </c:pt>
                <c:pt idx="18">
                  <c:v>-7.5094668613149076E-3</c:v>
                </c:pt>
                <c:pt idx="19">
                  <c:v>-7.1937462647449048E-3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Chg_S_neg_den!$B$21:$U$21</c:f>
              <c:numCache>
                <c:formatCode>General</c:formatCode>
                <c:ptCount val="20"/>
                <c:pt idx="0">
                  <c:v>-6.1530586142310153E-3</c:v>
                </c:pt>
                <c:pt idx="1">
                  <c:v>-6.1137080756791425E-3</c:v>
                </c:pt>
                <c:pt idx="2">
                  <c:v>-6.2428717597127602E-3</c:v>
                </c:pt>
                <c:pt idx="3">
                  <c:v>-6.2827706145145634E-3</c:v>
                </c:pt>
                <c:pt idx="4">
                  <c:v>-6.2910020591988068E-3</c:v>
                </c:pt>
                <c:pt idx="5">
                  <c:v>-6.100792652795577E-3</c:v>
                </c:pt>
                <c:pt idx="6">
                  <c:v>-6.1436648630512954E-3</c:v>
                </c:pt>
                <c:pt idx="7">
                  <c:v>-6.0666032198404378E-3</c:v>
                </c:pt>
                <c:pt idx="8">
                  <c:v>-6.0107983344116801E-3</c:v>
                </c:pt>
                <c:pt idx="9">
                  <c:v>-5.8967203567345796E-3</c:v>
                </c:pt>
                <c:pt idx="10">
                  <c:v>-5.8935203311580517E-3</c:v>
                </c:pt>
                <c:pt idx="11">
                  <c:v>-5.8481988184222898E-3</c:v>
                </c:pt>
                <c:pt idx="12">
                  <c:v>-5.9014151758815898E-3</c:v>
                </c:pt>
                <c:pt idx="13">
                  <c:v>-5.8815247606592274E-3</c:v>
                </c:pt>
                <c:pt idx="14">
                  <c:v>-5.8233295467710871E-3</c:v>
                </c:pt>
                <c:pt idx="15">
                  <c:v>-5.8518202391486494E-3</c:v>
                </c:pt>
                <c:pt idx="16">
                  <c:v>-5.8027235832056531E-3</c:v>
                </c:pt>
                <c:pt idx="17">
                  <c:v>-5.7869044677974707E-3</c:v>
                </c:pt>
                <c:pt idx="18">
                  <c:v>-5.7769375118823614E-3</c:v>
                </c:pt>
                <c:pt idx="19">
                  <c:v>-5.6549140401289232E-3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Chg_S_neg_den!$B$37:$U$37</c:f>
              <c:numCache>
                <c:formatCode>General</c:formatCode>
                <c:ptCount val="20"/>
                <c:pt idx="0">
                  <c:v>-6.5322373773630052E-3</c:v>
                </c:pt>
                <c:pt idx="1">
                  <c:v>-6.3959933679786467E-3</c:v>
                </c:pt>
                <c:pt idx="2">
                  <c:v>-6.2467535750169037E-3</c:v>
                </c:pt>
                <c:pt idx="3">
                  <c:v>-6.0558900217219311E-3</c:v>
                </c:pt>
                <c:pt idx="4">
                  <c:v>-5.9304335623593099E-3</c:v>
                </c:pt>
                <c:pt idx="5">
                  <c:v>-5.8229051820005021E-3</c:v>
                </c:pt>
                <c:pt idx="6">
                  <c:v>-5.7177980422024018E-3</c:v>
                </c:pt>
                <c:pt idx="7">
                  <c:v>-5.6730133205349469E-3</c:v>
                </c:pt>
                <c:pt idx="8">
                  <c:v>-5.656533098178403E-3</c:v>
                </c:pt>
                <c:pt idx="9">
                  <c:v>-5.6032203194895918E-3</c:v>
                </c:pt>
                <c:pt idx="10">
                  <c:v>-5.5633095010021371E-3</c:v>
                </c:pt>
                <c:pt idx="11">
                  <c:v>-5.5401926419040336E-3</c:v>
                </c:pt>
                <c:pt idx="12">
                  <c:v>-5.5540381855347281E-3</c:v>
                </c:pt>
                <c:pt idx="13">
                  <c:v>-5.5438593629301945E-3</c:v>
                </c:pt>
                <c:pt idx="14">
                  <c:v>-5.4893028716530108E-3</c:v>
                </c:pt>
                <c:pt idx="15">
                  <c:v>-5.4633256772382219E-3</c:v>
                </c:pt>
                <c:pt idx="16">
                  <c:v>-5.5499099509927737E-3</c:v>
                </c:pt>
                <c:pt idx="17">
                  <c:v>-5.5885740770779176E-3</c:v>
                </c:pt>
                <c:pt idx="18">
                  <c:v>-5.392071822643757E-3</c:v>
                </c:pt>
                <c:pt idx="19">
                  <c:v>-5.3532951296648076E-3</c:v>
                </c:pt>
              </c:numCache>
            </c:numRef>
          </c:yVal>
          <c:smooth val="1"/>
        </c:ser>
        <c:axId val="74182016"/>
        <c:axId val="98567680"/>
      </c:scatterChart>
      <c:valAx>
        <c:axId val="7418201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67680"/>
        <c:crosses val="autoZero"/>
        <c:crossBetween val="midCat"/>
      </c:valAx>
      <c:valAx>
        <c:axId val="98567680"/>
        <c:scaling>
          <c:orientation val="minMax"/>
        </c:scaling>
        <c:axPos val="l"/>
        <c:numFmt formatCode="General" sourceLinked="1"/>
        <c:tickLblPos val="nextTo"/>
        <c:crossAx val="741820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AA_pho_ind!$B$3:$U$3</c:f>
              <c:numCache>
                <c:formatCode>General</c:formatCode>
                <c:ptCount val="20"/>
                <c:pt idx="0">
                  <c:v>-1.3652315E-2</c:v>
                </c:pt>
                <c:pt idx="1">
                  <c:v>-1.4124071E-2</c:v>
                </c:pt>
                <c:pt idx="2">
                  <c:v>-1.4354797000000001E-2</c:v>
                </c:pt>
                <c:pt idx="3">
                  <c:v>-1.4389525E-2</c:v>
                </c:pt>
                <c:pt idx="4">
                  <c:v>-1.4588689E-2</c:v>
                </c:pt>
                <c:pt idx="5">
                  <c:v>-1.3893057E-2</c:v>
                </c:pt>
                <c:pt idx="6">
                  <c:v>-1.4487316E-2</c:v>
                </c:pt>
                <c:pt idx="7">
                  <c:v>-1.4313387E-2</c:v>
                </c:pt>
                <c:pt idx="8">
                  <c:v>-1.4335123999999999E-2</c:v>
                </c:pt>
                <c:pt idx="9">
                  <c:v>-1.4173280999999999E-2</c:v>
                </c:pt>
                <c:pt idx="10">
                  <c:v>-1.4167542E-2</c:v>
                </c:pt>
                <c:pt idx="11">
                  <c:v>-1.4609893000000001E-2</c:v>
                </c:pt>
                <c:pt idx="12">
                  <c:v>-1.5217368E-2</c:v>
                </c:pt>
                <c:pt idx="13">
                  <c:v>-1.5322379000000001E-2</c:v>
                </c:pt>
                <c:pt idx="14">
                  <c:v>-1.5104611E-2</c:v>
                </c:pt>
                <c:pt idx="15">
                  <c:v>-1.5011962E-2</c:v>
                </c:pt>
                <c:pt idx="16">
                  <c:v>-1.4582403000000001E-2</c:v>
                </c:pt>
                <c:pt idx="17">
                  <c:v>-1.4607765999999999E-2</c:v>
                </c:pt>
                <c:pt idx="18">
                  <c:v>-1.473177E-2</c:v>
                </c:pt>
                <c:pt idx="19">
                  <c:v>-1.4688903E-2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AA_pho_ind!$B$21:$U$21</c:f>
              <c:numCache>
                <c:formatCode>General</c:formatCode>
                <c:ptCount val="20"/>
                <c:pt idx="0">
                  <c:v>-1.2463695E-2</c:v>
                </c:pt>
                <c:pt idx="1">
                  <c:v>-1.2438205000000001E-2</c:v>
                </c:pt>
                <c:pt idx="2">
                  <c:v>-1.1518230000000001E-2</c:v>
                </c:pt>
                <c:pt idx="3">
                  <c:v>-1.071751E-2</c:v>
                </c:pt>
                <c:pt idx="4">
                  <c:v>-1.0584277E-2</c:v>
                </c:pt>
                <c:pt idx="5">
                  <c:v>-9.8581966000000007E-3</c:v>
                </c:pt>
                <c:pt idx="6">
                  <c:v>-1.0166542000000001E-2</c:v>
                </c:pt>
                <c:pt idx="7">
                  <c:v>-9.7381072000000003E-3</c:v>
                </c:pt>
                <c:pt idx="8">
                  <c:v>-9.7945640000000004E-3</c:v>
                </c:pt>
                <c:pt idx="9">
                  <c:v>-9.2137800999999991E-3</c:v>
                </c:pt>
                <c:pt idx="10">
                  <c:v>-9.9079404000000006E-3</c:v>
                </c:pt>
                <c:pt idx="11">
                  <c:v>-9.9843833999999996E-3</c:v>
                </c:pt>
                <c:pt idx="12">
                  <c:v>-9.5652471999999999E-3</c:v>
                </c:pt>
                <c:pt idx="13">
                  <c:v>-9.6104080000000008E-3</c:v>
                </c:pt>
                <c:pt idx="14">
                  <c:v>-9.8780802999999997E-3</c:v>
                </c:pt>
                <c:pt idx="15">
                  <c:v>-1.0033431000000001E-2</c:v>
                </c:pt>
                <c:pt idx="16">
                  <c:v>-9.6795699000000006E-3</c:v>
                </c:pt>
                <c:pt idx="17">
                  <c:v>-9.8480367999999995E-3</c:v>
                </c:pt>
                <c:pt idx="18">
                  <c:v>-9.9250823000000005E-3</c:v>
                </c:pt>
                <c:pt idx="19">
                  <c:v>-1.0019561999999999E-2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AA_pho_ind!$B$37:$U$37</c:f>
              <c:numCache>
                <c:formatCode>General</c:formatCode>
                <c:ptCount val="20"/>
                <c:pt idx="0">
                  <c:v>-1.1336165E-2</c:v>
                </c:pt>
                <c:pt idx="1">
                  <c:v>-1.1463605999999999E-2</c:v>
                </c:pt>
                <c:pt idx="2">
                  <c:v>-1.1250519E-2</c:v>
                </c:pt>
                <c:pt idx="3">
                  <c:v>-1.0903546E-2</c:v>
                </c:pt>
                <c:pt idx="4">
                  <c:v>-1.1120065E-2</c:v>
                </c:pt>
                <c:pt idx="5">
                  <c:v>-1.087699E-2</c:v>
                </c:pt>
                <c:pt idx="6">
                  <c:v>-1.1491335E-2</c:v>
                </c:pt>
                <c:pt idx="7">
                  <c:v>-1.1575112E-2</c:v>
                </c:pt>
                <c:pt idx="8">
                  <c:v>-1.1832456E-2</c:v>
                </c:pt>
                <c:pt idx="9">
                  <c:v>-1.1908037999999999E-2</c:v>
                </c:pt>
                <c:pt idx="10">
                  <c:v>-1.2016865E-2</c:v>
                </c:pt>
                <c:pt idx="11">
                  <c:v>-1.2266304E-2</c:v>
                </c:pt>
                <c:pt idx="12">
                  <c:v>-1.2649839E-2</c:v>
                </c:pt>
                <c:pt idx="13">
                  <c:v>-1.2663755E-2</c:v>
                </c:pt>
                <c:pt idx="14">
                  <c:v>-1.2423831E-2</c:v>
                </c:pt>
                <c:pt idx="15">
                  <c:v>-1.2589144E-2</c:v>
                </c:pt>
                <c:pt idx="16">
                  <c:v>-1.2428982999999999E-2</c:v>
                </c:pt>
                <c:pt idx="17">
                  <c:v>-1.2661767000000001E-2</c:v>
                </c:pt>
                <c:pt idx="18">
                  <c:v>-1.2872031000000001E-2</c:v>
                </c:pt>
                <c:pt idx="19">
                  <c:v>-1.2961395000000001E-2</c:v>
                </c:pt>
              </c:numCache>
            </c:numRef>
          </c:yVal>
          <c:smooth val="1"/>
        </c:ser>
        <c:axId val="91782528"/>
        <c:axId val="91796992"/>
      </c:scatterChart>
      <c:valAx>
        <c:axId val="9178252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96992"/>
        <c:crosses val="autoZero"/>
        <c:crossBetween val="midCat"/>
      </c:valAx>
      <c:valAx>
        <c:axId val="91796992"/>
        <c:scaling>
          <c:orientation val="minMax"/>
        </c:scaling>
        <c:axPos val="l"/>
        <c:numFmt formatCode="General" sourceLinked="1"/>
        <c:tickLblPos val="nextTo"/>
        <c:crossAx val="91782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8456433652113184E-2"/>
          <c:y val="3.5785720177403287E-2"/>
          <c:w val="0.66313681050091777"/>
          <c:h val="0.92842855964519344"/>
        </c:manualLayout>
      </c:layout>
      <c:scatterChart>
        <c:scatterStyle val="smoothMarker"/>
        <c:ser>
          <c:idx val="0"/>
          <c:order val="0"/>
          <c:tx>
            <c:strRef>
              <c:f>Chg_S_neg_den!$A$3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Chg_S_neg_den!$B$3:$U$3</c:f>
              <c:numCache>
                <c:formatCode>General</c:formatCode>
                <c:ptCount val="20"/>
                <c:pt idx="0">
                  <c:v>-7.618807653339982E-3</c:v>
                </c:pt>
                <c:pt idx="1">
                  <c:v>-7.6186276653870304E-3</c:v>
                </c:pt>
                <c:pt idx="2">
                  <c:v>-7.7013754013597916E-3</c:v>
                </c:pt>
                <c:pt idx="3">
                  <c:v>-7.6522043735568366E-3</c:v>
                </c:pt>
                <c:pt idx="4">
                  <c:v>-7.7528078111574949E-3</c:v>
                </c:pt>
                <c:pt idx="5">
                  <c:v>-7.7678289595491945E-3</c:v>
                </c:pt>
                <c:pt idx="6">
                  <c:v>-7.6907174454468362E-3</c:v>
                </c:pt>
                <c:pt idx="7">
                  <c:v>-7.7674537303508689E-3</c:v>
                </c:pt>
                <c:pt idx="8">
                  <c:v>-7.6173907113652366E-3</c:v>
                </c:pt>
                <c:pt idx="9">
                  <c:v>-7.4440865275312755E-3</c:v>
                </c:pt>
                <c:pt idx="10">
                  <c:v>-7.5258594093797039E-3</c:v>
                </c:pt>
                <c:pt idx="11">
                  <c:v>-7.6107288017576557E-3</c:v>
                </c:pt>
                <c:pt idx="12">
                  <c:v>-7.5848142214535218E-3</c:v>
                </c:pt>
                <c:pt idx="13">
                  <c:v>-7.5986025817142084E-3</c:v>
                </c:pt>
                <c:pt idx="14">
                  <c:v>-7.5292458207372242E-3</c:v>
                </c:pt>
                <c:pt idx="15">
                  <c:v>-7.6452032628692842E-3</c:v>
                </c:pt>
                <c:pt idx="16">
                  <c:v>-7.6014133404582141E-3</c:v>
                </c:pt>
                <c:pt idx="17">
                  <c:v>-7.5742625488458021E-3</c:v>
                </c:pt>
                <c:pt idx="18">
                  <c:v>-7.5094668613149076E-3</c:v>
                </c:pt>
                <c:pt idx="19">
                  <c:v>-7.1937462647449048E-3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Chg_S_neg_den!$A$4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Chg_S_neg_den!$B$4:$U$4</c:f>
              <c:numCache>
                <c:formatCode>General</c:formatCode>
                <c:ptCount val="20"/>
                <c:pt idx="0">
                  <c:v>-7.284056944034706E-3</c:v>
                </c:pt>
                <c:pt idx="1">
                  <c:v>-7.5269938518221224E-3</c:v>
                </c:pt>
                <c:pt idx="2">
                  <c:v>-7.7040611750482267E-3</c:v>
                </c:pt>
                <c:pt idx="3">
                  <c:v>-7.791076460094591E-3</c:v>
                </c:pt>
                <c:pt idx="4">
                  <c:v>-7.8611021648473181E-3</c:v>
                </c:pt>
                <c:pt idx="5">
                  <c:v>-7.8220405451920726E-3</c:v>
                </c:pt>
                <c:pt idx="6">
                  <c:v>-7.9162218945756924E-3</c:v>
                </c:pt>
                <c:pt idx="7">
                  <c:v>-7.8030624547789839E-3</c:v>
                </c:pt>
                <c:pt idx="8">
                  <c:v>-7.933540560794013E-3</c:v>
                </c:pt>
                <c:pt idx="9">
                  <c:v>-7.929113132142741E-3</c:v>
                </c:pt>
                <c:pt idx="10">
                  <c:v>-7.9331134972111701E-3</c:v>
                </c:pt>
                <c:pt idx="11">
                  <c:v>-7.9912095928978029E-3</c:v>
                </c:pt>
                <c:pt idx="12">
                  <c:v>-8.0693858289403193E-3</c:v>
                </c:pt>
                <c:pt idx="13">
                  <c:v>-7.9878757249863645E-3</c:v>
                </c:pt>
                <c:pt idx="14">
                  <c:v>-8.0201948933849698E-3</c:v>
                </c:pt>
                <c:pt idx="15">
                  <c:v>-8.09040271039526E-3</c:v>
                </c:pt>
                <c:pt idx="16">
                  <c:v>-8.2074056452991762E-3</c:v>
                </c:pt>
                <c:pt idx="17">
                  <c:v>-8.2885367826913883E-3</c:v>
                </c:pt>
                <c:pt idx="18">
                  <c:v>-8.2629461938112259E-3</c:v>
                </c:pt>
                <c:pt idx="19">
                  <c:v>-8.2928360429357483E-3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Chg_S_neg_den!$A$5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Chg_S_neg_den!$B$5:$U$5</c:f>
              <c:numCache>
                <c:formatCode>General</c:formatCode>
                <c:ptCount val="20"/>
                <c:pt idx="0">
                  <c:v>-7.8850373538629625E-3</c:v>
                </c:pt>
                <c:pt idx="1">
                  <c:v>-8.2035246912539571E-3</c:v>
                </c:pt>
                <c:pt idx="2">
                  <c:v>-8.6384615464236581E-3</c:v>
                </c:pt>
                <c:pt idx="3">
                  <c:v>-8.9338670351165241E-3</c:v>
                </c:pt>
                <c:pt idx="4">
                  <c:v>-9.1495367436362999E-3</c:v>
                </c:pt>
                <c:pt idx="5">
                  <c:v>-9.1562013844583533E-3</c:v>
                </c:pt>
                <c:pt idx="6">
                  <c:v>-9.107305696003631E-3</c:v>
                </c:pt>
                <c:pt idx="7">
                  <c:v>-9.1433129377627622E-3</c:v>
                </c:pt>
                <c:pt idx="8">
                  <c:v>-9.2373614504267006E-3</c:v>
                </c:pt>
                <c:pt idx="9">
                  <c:v>-9.2932684573647645E-3</c:v>
                </c:pt>
                <c:pt idx="10">
                  <c:v>-9.325248587608392E-3</c:v>
                </c:pt>
                <c:pt idx="11">
                  <c:v>-9.3770613560260827E-3</c:v>
                </c:pt>
                <c:pt idx="12">
                  <c:v>-9.3843779689197788E-3</c:v>
                </c:pt>
                <c:pt idx="13">
                  <c:v>-9.4399933289394129E-3</c:v>
                </c:pt>
                <c:pt idx="14">
                  <c:v>-9.5720772543233662E-3</c:v>
                </c:pt>
                <c:pt idx="15">
                  <c:v>-9.5749061872877853E-3</c:v>
                </c:pt>
                <c:pt idx="16">
                  <c:v>-9.4562815853947574E-3</c:v>
                </c:pt>
                <c:pt idx="17">
                  <c:v>-9.5259904104006317E-3</c:v>
                </c:pt>
                <c:pt idx="18">
                  <c:v>-9.4337603807251348E-3</c:v>
                </c:pt>
                <c:pt idx="19">
                  <c:v>-9.3356371850363204E-3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Chg_S_neg_den!$A$6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Chg_S_neg_den!$B$6:$U$6</c:f>
              <c:numCache>
                <c:formatCode>General</c:formatCode>
                <c:ptCount val="20"/>
                <c:pt idx="0">
                  <c:v>-6.8473101828901099E-3</c:v>
                </c:pt>
                <c:pt idx="1">
                  <c:v>-6.9359828263018918E-3</c:v>
                </c:pt>
                <c:pt idx="2">
                  <c:v>-6.7822818088378008E-3</c:v>
                </c:pt>
                <c:pt idx="3">
                  <c:v>-6.6979913223223081E-3</c:v>
                </c:pt>
                <c:pt idx="4">
                  <c:v>-6.6149565013620777E-3</c:v>
                </c:pt>
                <c:pt idx="5">
                  <c:v>-6.4479984865440879E-3</c:v>
                </c:pt>
                <c:pt idx="6">
                  <c:v>-6.2435072993024228E-3</c:v>
                </c:pt>
                <c:pt idx="7">
                  <c:v>-6.1916451088611631E-3</c:v>
                </c:pt>
                <c:pt idx="8">
                  <c:v>-6.243654822335026E-3</c:v>
                </c:pt>
                <c:pt idx="9">
                  <c:v>-6.1729182400492291E-3</c:v>
                </c:pt>
                <c:pt idx="10">
                  <c:v>-6.2420847831283696E-3</c:v>
                </c:pt>
                <c:pt idx="11">
                  <c:v>-6.1329900042942226E-3</c:v>
                </c:pt>
                <c:pt idx="12">
                  <c:v>-6.2327844447714895E-3</c:v>
                </c:pt>
                <c:pt idx="13">
                  <c:v>-6.1641584384315657E-3</c:v>
                </c:pt>
                <c:pt idx="14">
                  <c:v>-6.1970246144115275E-3</c:v>
                </c:pt>
                <c:pt idx="15">
                  <c:v>-6.0420783188536165E-3</c:v>
                </c:pt>
                <c:pt idx="16">
                  <c:v>-6.1209106191362096E-3</c:v>
                </c:pt>
                <c:pt idx="17">
                  <c:v>-6.1439027886725384E-3</c:v>
                </c:pt>
                <c:pt idx="18">
                  <c:v>-5.9811229030025375E-3</c:v>
                </c:pt>
                <c:pt idx="19">
                  <c:v>-5.9688287940874267E-3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Chg_S_neg_den!$A$7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Chg_S_neg_den!$B$7:$U$7</c:f>
              <c:numCache>
                <c:formatCode>General</c:formatCode>
                <c:ptCount val="20"/>
                <c:pt idx="0">
                  <c:v>-7.0497722542886077E-3</c:v>
                </c:pt>
                <c:pt idx="1">
                  <c:v>-7.1458769225349987E-3</c:v>
                </c:pt>
                <c:pt idx="2">
                  <c:v>-7.020966043316694E-3</c:v>
                </c:pt>
                <c:pt idx="3">
                  <c:v>-6.8803455281083023E-3</c:v>
                </c:pt>
                <c:pt idx="4">
                  <c:v>-6.7245396598079408E-3</c:v>
                </c:pt>
                <c:pt idx="5">
                  <c:v>-6.6761998140322772E-3</c:v>
                </c:pt>
                <c:pt idx="6">
                  <c:v>-6.576511667499358E-3</c:v>
                </c:pt>
                <c:pt idx="7">
                  <c:v>-6.5384683016609362E-3</c:v>
                </c:pt>
                <c:pt idx="8">
                  <c:v>-6.5998829157499599E-3</c:v>
                </c:pt>
                <c:pt idx="9">
                  <c:v>-6.6856059438552586E-3</c:v>
                </c:pt>
                <c:pt idx="10">
                  <c:v>-6.4269302548565343E-3</c:v>
                </c:pt>
                <c:pt idx="11">
                  <c:v>-6.6128531917293704E-3</c:v>
                </c:pt>
                <c:pt idx="12">
                  <c:v>-6.4723442661157992E-3</c:v>
                </c:pt>
                <c:pt idx="13">
                  <c:v>-6.5958379023577504E-3</c:v>
                </c:pt>
                <c:pt idx="14">
                  <c:v>-6.6217040198481977E-3</c:v>
                </c:pt>
                <c:pt idx="15">
                  <c:v>-6.6555199629334989E-3</c:v>
                </c:pt>
                <c:pt idx="16">
                  <c:v>-6.7665331565757063E-3</c:v>
                </c:pt>
                <c:pt idx="17">
                  <c:v>-6.5367225204945104E-3</c:v>
                </c:pt>
                <c:pt idx="18">
                  <c:v>-6.4876098963790327E-3</c:v>
                </c:pt>
                <c:pt idx="19">
                  <c:v>-6.496421617558536E-3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Chg_S_neg_den!$A$8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Chg_S_neg_den!$B$8:$U$8</c:f>
              <c:numCache>
                <c:formatCode>General</c:formatCode>
                <c:ptCount val="20"/>
                <c:pt idx="0">
                  <c:v>-7.2719686036707247E-3</c:v>
                </c:pt>
                <c:pt idx="1">
                  <c:v>-7.4070114935801843E-3</c:v>
                </c:pt>
                <c:pt idx="2">
                  <c:v>-7.1886429249965415E-3</c:v>
                </c:pt>
                <c:pt idx="3">
                  <c:v>-7.0063624931568733E-3</c:v>
                </c:pt>
                <c:pt idx="4">
                  <c:v>-6.859690699669979E-3</c:v>
                </c:pt>
                <c:pt idx="5">
                  <c:v>-6.7191441067399951E-3</c:v>
                </c:pt>
                <c:pt idx="6">
                  <c:v>-6.5735495791506898E-3</c:v>
                </c:pt>
                <c:pt idx="7">
                  <c:v>-6.4932129585066846E-3</c:v>
                </c:pt>
                <c:pt idx="8">
                  <c:v>-6.4407184122786849E-3</c:v>
                </c:pt>
                <c:pt idx="9">
                  <c:v>-6.4611722169394172E-3</c:v>
                </c:pt>
                <c:pt idx="10">
                  <c:v>-6.4502480530638003E-3</c:v>
                </c:pt>
                <c:pt idx="11">
                  <c:v>-6.3569024103340265E-3</c:v>
                </c:pt>
                <c:pt idx="12">
                  <c:v>-6.1746156786714294E-3</c:v>
                </c:pt>
                <c:pt idx="13">
                  <c:v>-6.0460161743750062E-3</c:v>
                </c:pt>
                <c:pt idx="14">
                  <c:v>-5.7817934866961074E-3</c:v>
                </c:pt>
                <c:pt idx="15">
                  <c:v>-5.7182098256126843E-3</c:v>
                </c:pt>
                <c:pt idx="16">
                  <c:v>-5.615387558073141E-3</c:v>
                </c:pt>
                <c:pt idx="17">
                  <c:v>-5.5269334532714572E-3</c:v>
                </c:pt>
                <c:pt idx="18">
                  <c:v>-5.5084440185053938E-3</c:v>
                </c:pt>
                <c:pt idx="19">
                  <c:v>-5.4402874792910273E-3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Chg_S_neg_den!$A$9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Chg_S_neg_den!$B$9:$U$9</c:f>
              <c:numCache>
                <c:formatCode>General</c:formatCode>
                <c:ptCount val="20"/>
                <c:pt idx="0">
                  <c:v>-7.1478007192616252E-3</c:v>
                </c:pt>
                <c:pt idx="1">
                  <c:v>-7.4091622956692646E-3</c:v>
                </c:pt>
                <c:pt idx="2">
                  <c:v>-7.2588085199347986E-3</c:v>
                </c:pt>
                <c:pt idx="3">
                  <c:v>-6.8107174242811987E-3</c:v>
                </c:pt>
                <c:pt idx="4">
                  <c:v>-6.75324472078896E-3</c:v>
                </c:pt>
                <c:pt idx="5">
                  <c:v>-6.6182855800559744E-3</c:v>
                </c:pt>
                <c:pt idx="6">
                  <c:v>-6.5787941598169043E-3</c:v>
                </c:pt>
                <c:pt idx="7">
                  <c:v>-6.4719192074933511E-3</c:v>
                </c:pt>
                <c:pt idx="8">
                  <c:v>-6.3114422611982943E-3</c:v>
                </c:pt>
                <c:pt idx="9">
                  <c:v>-6.3400924709381811E-3</c:v>
                </c:pt>
                <c:pt idx="10">
                  <c:v>-6.2815115025178416E-3</c:v>
                </c:pt>
                <c:pt idx="11">
                  <c:v>-6.1222380562291744E-3</c:v>
                </c:pt>
                <c:pt idx="12">
                  <c:v>-6.104139769148479E-3</c:v>
                </c:pt>
                <c:pt idx="13">
                  <c:v>-5.932937884149979E-3</c:v>
                </c:pt>
                <c:pt idx="14">
                  <c:v>-5.9206720606867855E-3</c:v>
                </c:pt>
                <c:pt idx="15">
                  <c:v>-5.8990650156550122E-3</c:v>
                </c:pt>
                <c:pt idx="16">
                  <c:v>-5.7737927293393327E-3</c:v>
                </c:pt>
                <c:pt idx="17">
                  <c:v>-5.7374498176582887E-3</c:v>
                </c:pt>
                <c:pt idx="18">
                  <c:v>-5.5902247925054879E-3</c:v>
                </c:pt>
                <c:pt idx="19">
                  <c:v>-5.5876460762371519E-3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Chg_S_neg_den!$A$10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Chg_S_neg_den!$B$10:$U$10</c:f>
              <c:numCache>
                <c:formatCode>General</c:formatCode>
                <c:ptCount val="20"/>
                <c:pt idx="0">
                  <c:v>-7.6515467828943019E-3</c:v>
                </c:pt>
                <c:pt idx="1">
                  <c:v>-7.9508795587190859E-3</c:v>
                </c:pt>
                <c:pt idx="2">
                  <c:v>-7.8761546102157718E-3</c:v>
                </c:pt>
                <c:pt idx="3">
                  <c:v>-7.7651292342825508E-3</c:v>
                </c:pt>
                <c:pt idx="4">
                  <c:v>-7.5545772351005153E-3</c:v>
                </c:pt>
                <c:pt idx="5">
                  <c:v>-7.4742494443947819E-3</c:v>
                </c:pt>
                <c:pt idx="6">
                  <c:v>-7.3063180469596332E-3</c:v>
                </c:pt>
                <c:pt idx="7">
                  <c:v>-7.0655080176442531E-3</c:v>
                </c:pt>
                <c:pt idx="8">
                  <c:v>-7.105532381717755E-3</c:v>
                </c:pt>
                <c:pt idx="9">
                  <c:v>-7.019897926407081E-3</c:v>
                </c:pt>
                <c:pt idx="10">
                  <c:v>-7.1661624468506296E-3</c:v>
                </c:pt>
                <c:pt idx="11">
                  <c:v>-7.0126900015167687E-3</c:v>
                </c:pt>
                <c:pt idx="12">
                  <c:v>-7.0004175894433389E-3</c:v>
                </c:pt>
                <c:pt idx="13">
                  <c:v>-6.7741956901480448E-3</c:v>
                </c:pt>
                <c:pt idx="14">
                  <c:v>-6.8284516811977563E-3</c:v>
                </c:pt>
                <c:pt idx="15">
                  <c:v>-6.6679941796047521E-3</c:v>
                </c:pt>
                <c:pt idx="16">
                  <c:v>-6.6097039755667183E-3</c:v>
                </c:pt>
                <c:pt idx="17">
                  <c:v>-6.4083487351094372E-3</c:v>
                </c:pt>
                <c:pt idx="18">
                  <c:v>-6.4494381165129131E-3</c:v>
                </c:pt>
                <c:pt idx="19">
                  <c:v>-6.5674555301175894E-3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Chg_S_neg_den!$A$11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Chg_S_neg_den!$B$11:$U$11</c:f>
              <c:numCache>
                <c:formatCode>General</c:formatCode>
                <c:ptCount val="20"/>
                <c:pt idx="0">
                  <c:v>-7.8157404043848154E-3</c:v>
                </c:pt>
                <c:pt idx="1">
                  <c:v>-8.1948689870293637E-3</c:v>
                </c:pt>
                <c:pt idx="2">
                  <c:v>-8.1381746372825286E-3</c:v>
                </c:pt>
                <c:pt idx="3">
                  <c:v>-8.1146945021530869E-3</c:v>
                </c:pt>
                <c:pt idx="4">
                  <c:v>-8.0126130291442547E-3</c:v>
                </c:pt>
                <c:pt idx="5">
                  <c:v>-8.0463275831075785E-3</c:v>
                </c:pt>
                <c:pt idx="6">
                  <c:v>-7.9463550794960213E-3</c:v>
                </c:pt>
                <c:pt idx="7">
                  <c:v>-7.6176961682644425E-3</c:v>
                </c:pt>
                <c:pt idx="8">
                  <c:v>-7.7125796439806412E-3</c:v>
                </c:pt>
                <c:pt idx="9">
                  <c:v>-7.4395076168197625E-3</c:v>
                </c:pt>
                <c:pt idx="10">
                  <c:v>-7.6921206953235802E-3</c:v>
                </c:pt>
                <c:pt idx="11">
                  <c:v>-7.6557381180837715E-3</c:v>
                </c:pt>
                <c:pt idx="12">
                  <c:v>-7.5043863262148373E-3</c:v>
                </c:pt>
                <c:pt idx="13">
                  <c:v>-7.4839114386828463E-3</c:v>
                </c:pt>
                <c:pt idx="14">
                  <c:v>-7.5615391021425556E-3</c:v>
                </c:pt>
                <c:pt idx="15">
                  <c:v>-7.2465226165010993E-3</c:v>
                </c:pt>
                <c:pt idx="16">
                  <c:v>-7.2384556681431905E-3</c:v>
                </c:pt>
                <c:pt idx="17">
                  <c:v>-7.1698495881773218E-3</c:v>
                </c:pt>
                <c:pt idx="18">
                  <c:v>-7.0540874528436069E-3</c:v>
                </c:pt>
                <c:pt idx="19">
                  <c:v>-7.1426224494620478E-3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Chg_S_neg_den!$A$12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Chg_S_neg_den!$B$12:$U$12</c:f>
              <c:numCache>
                <c:formatCode>General</c:formatCode>
                <c:ptCount val="20"/>
                <c:pt idx="0">
                  <c:v>-8.1333202439625284E-3</c:v>
                </c:pt>
                <c:pt idx="1">
                  <c:v>-8.2677259277924835E-3</c:v>
                </c:pt>
                <c:pt idx="2">
                  <c:v>-8.2938214285844681E-3</c:v>
                </c:pt>
                <c:pt idx="3">
                  <c:v>-8.2973507584344214E-3</c:v>
                </c:pt>
                <c:pt idx="4">
                  <c:v>-8.2797587099036288E-3</c:v>
                </c:pt>
                <c:pt idx="5">
                  <c:v>-8.3071646623496757E-3</c:v>
                </c:pt>
                <c:pt idx="6">
                  <c:v>-8.5908105904684909E-3</c:v>
                </c:pt>
                <c:pt idx="7">
                  <c:v>-8.5114711615953687E-3</c:v>
                </c:pt>
                <c:pt idx="8">
                  <c:v>-8.5646558635272471E-3</c:v>
                </c:pt>
                <c:pt idx="9">
                  <c:v>-8.4506156800676704E-3</c:v>
                </c:pt>
                <c:pt idx="10">
                  <c:v>-8.6587784029242554E-3</c:v>
                </c:pt>
                <c:pt idx="11">
                  <c:v>-8.6384157599107853E-3</c:v>
                </c:pt>
                <c:pt idx="12">
                  <c:v>-8.5897503281212508E-3</c:v>
                </c:pt>
                <c:pt idx="13">
                  <c:v>-8.5817838280069503E-3</c:v>
                </c:pt>
                <c:pt idx="14">
                  <c:v>-8.6227981039155993E-3</c:v>
                </c:pt>
                <c:pt idx="15">
                  <c:v>-8.6901294263684661E-3</c:v>
                </c:pt>
                <c:pt idx="16">
                  <c:v>-8.6639048688974922E-3</c:v>
                </c:pt>
                <c:pt idx="17">
                  <c:v>-8.5524817455095731E-3</c:v>
                </c:pt>
                <c:pt idx="18">
                  <c:v>-8.6165711345755503E-3</c:v>
                </c:pt>
                <c:pt idx="19">
                  <c:v>-8.7844869439853025E-3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Chg_S_neg_den!$A$13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Chg_S_neg_den!$B$13:$U$13</c:f>
              <c:numCache>
                <c:formatCode>General</c:formatCode>
                <c:ptCount val="20"/>
                <c:pt idx="0">
                  <c:v>-8.3079915795335746E-3</c:v>
                </c:pt>
                <c:pt idx="1">
                  <c:v>-8.5335341099732811E-3</c:v>
                </c:pt>
                <c:pt idx="2">
                  <c:v>-8.4869348791806829E-3</c:v>
                </c:pt>
                <c:pt idx="3">
                  <c:v>-8.4443223857275478E-3</c:v>
                </c:pt>
                <c:pt idx="4">
                  <c:v>-8.4084021044621426E-3</c:v>
                </c:pt>
                <c:pt idx="5">
                  <c:v>-8.5155906994736439E-3</c:v>
                </c:pt>
                <c:pt idx="6">
                  <c:v>-8.4532646908081158E-3</c:v>
                </c:pt>
                <c:pt idx="7">
                  <c:v>-8.4598761920739018E-3</c:v>
                </c:pt>
                <c:pt idx="8">
                  <c:v>-8.4972662671508343E-3</c:v>
                </c:pt>
                <c:pt idx="9">
                  <c:v>-8.7053003557605313E-3</c:v>
                </c:pt>
                <c:pt idx="10">
                  <c:v>-8.6539082215682309E-3</c:v>
                </c:pt>
                <c:pt idx="11">
                  <c:v>-8.7507134591156242E-3</c:v>
                </c:pt>
                <c:pt idx="12">
                  <c:v>-8.7727743573178963E-3</c:v>
                </c:pt>
                <c:pt idx="13">
                  <c:v>-8.8501714784352224E-3</c:v>
                </c:pt>
                <c:pt idx="14">
                  <c:v>-8.7526722056738941E-3</c:v>
                </c:pt>
                <c:pt idx="15">
                  <c:v>-8.8069166390148581E-3</c:v>
                </c:pt>
                <c:pt idx="16">
                  <c:v>-8.7306238071592022E-3</c:v>
                </c:pt>
                <c:pt idx="17">
                  <c:v>-8.8127156539633909E-3</c:v>
                </c:pt>
                <c:pt idx="18">
                  <c:v>-9.0311130000474988E-3</c:v>
                </c:pt>
                <c:pt idx="19">
                  <c:v>-8.9408681249019441E-3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Chg_S_neg_den!$A$14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Chg_S_neg_den!$B$14:$U$14</c:f>
              <c:numCache>
                <c:formatCode>General</c:formatCode>
                <c:ptCount val="20"/>
                <c:pt idx="0">
                  <c:v>-8.0596179840718603E-3</c:v>
                </c:pt>
                <c:pt idx="1">
                  <c:v>-8.0271589476122261E-3</c:v>
                </c:pt>
                <c:pt idx="2">
                  <c:v>-7.8624147930188137E-3</c:v>
                </c:pt>
                <c:pt idx="3">
                  <c:v>-7.6864671929582438E-3</c:v>
                </c:pt>
                <c:pt idx="4">
                  <c:v>-7.7927764865074042E-3</c:v>
                </c:pt>
                <c:pt idx="5">
                  <c:v>-7.7496472325066209E-3</c:v>
                </c:pt>
                <c:pt idx="6">
                  <c:v>-7.7583896601502939E-3</c:v>
                </c:pt>
                <c:pt idx="7">
                  <c:v>-7.8691970885712125E-3</c:v>
                </c:pt>
                <c:pt idx="8">
                  <c:v>-7.7412941185133911E-3</c:v>
                </c:pt>
                <c:pt idx="9">
                  <c:v>-7.8175840233804181E-3</c:v>
                </c:pt>
                <c:pt idx="10">
                  <c:v>-7.9656822830090086E-3</c:v>
                </c:pt>
                <c:pt idx="11">
                  <c:v>-7.9596596830630115E-3</c:v>
                </c:pt>
                <c:pt idx="12">
                  <c:v>-7.9520025617219135E-3</c:v>
                </c:pt>
                <c:pt idx="13">
                  <c:v>-7.9835961482029334E-3</c:v>
                </c:pt>
                <c:pt idx="14">
                  <c:v>-7.9009044924436035E-3</c:v>
                </c:pt>
                <c:pt idx="15">
                  <c:v>-8.1020821829080256E-3</c:v>
                </c:pt>
                <c:pt idx="16">
                  <c:v>-8.3448595914898255E-3</c:v>
                </c:pt>
                <c:pt idx="17">
                  <c:v>-8.460378647851291E-3</c:v>
                </c:pt>
                <c:pt idx="18">
                  <c:v>-8.5439666770212828E-3</c:v>
                </c:pt>
                <c:pt idx="19">
                  <c:v>-8.5323261246641156E-3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Chg_S_neg_den!$A$15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Chg_S_neg_den!$B$15:$U$15</c:f>
              <c:numCache>
                <c:formatCode>General</c:formatCode>
                <c:ptCount val="20"/>
                <c:pt idx="0">
                  <c:v>-6.360719814016245E-3</c:v>
                </c:pt>
                <c:pt idx="1">
                  <c:v>-6.1171237792017139E-3</c:v>
                </c:pt>
                <c:pt idx="2">
                  <c:v>-5.9304869355750562E-3</c:v>
                </c:pt>
                <c:pt idx="3">
                  <c:v>-5.7527829673494025E-3</c:v>
                </c:pt>
                <c:pt idx="4">
                  <c:v>-5.7067936535094878E-3</c:v>
                </c:pt>
                <c:pt idx="5">
                  <c:v>-5.6847729180682675E-3</c:v>
                </c:pt>
                <c:pt idx="6">
                  <c:v>-5.6685843461067855E-3</c:v>
                </c:pt>
                <c:pt idx="7">
                  <c:v>-5.6659426831583894E-3</c:v>
                </c:pt>
                <c:pt idx="8">
                  <c:v>-5.63576911753365E-3</c:v>
                </c:pt>
                <c:pt idx="9">
                  <c:v>-5.6226834196405878E-3</c:v>
                </c:pt>
                <c:pt idx="10">
                  <c:v>-5.6443389675487317E-3</c:v>
                </c:pt>
                <c:pt idx="11">
                  <c:v>-5.5616374132087159E-3</c:v>
                </c:pt>
                <c:pt idx="12">
                  <c:v>-5.5835379281460725E-3</c:v>
                </c:pt>
                <c:pt idx="13">
                  <c:v>-5.6445885785450798E-3</c:v>
                </c:pt>
                <c:pt idx="14">
                  <c:v>-5.679907428512339E-3</c:v>
                </c:pt>
                <c:pt idx="15">
                  <c:v>-5.7571267438501347E-3</c:v>
                </c:pt>
                <c:pt idx="16">
                  <c:v>-5.8031589003775339E-3</c:v>
                </c:pt>
                <c:pt idx="17">
                  <c:v>-5.721940247114538E-3</c:v>
                </c:pt>
                <c:pt idx="18">
                  <c:v>-5.6477470596652413E-3</c:v>
                </c:pt>
                <c:pt idx="19">
                  <c:v>-5.5420354089256172E-3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Chg_S_neg_den!$A$16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Chg_S_neg_den!$B$16:$U$16</c:f>
              <c:numCache>
                <c:formatCode>General</c:formatCode>
                <c:ptCount val="20"/>
                <c:pt idx="0">
                  <c:v>-7.7904947482271636E-3</c:v>
                </c:pt>
                <c:pt idx="1">
                  <c:v>-8.188270869919842E-3</c:v>
                </c:pt>
                <c:pt idx="2">
                  <c:v>-8.3883829601711594E-3</c:v>
                </c:pt>
                <c:pt idx="3">
                  <c:v>-8.3941968591795101E-3</c:v>
                </c:pt>
                <c:pt idx="4">
                  <c:v>-8.3933052046569461E-3</c:v>
                </c:pt>
                <c:pt idx="5">
                  <c:v>-8.2932568787891636E-3</c:v>
                </c:pt>
                <c:pt idx="6">
                  <c:v>-8.3219820100059617E-3</c:v>
                </c:pt>
                <c:pt idx="7">
                  <c:v>-8.3681549883300142E-3</c:v>
                </c:pt>
                <c:pt idx="8">
                  <c:v>-8.4214786804267822E-3</c:v>
                </c:pt>
                <c:pt idx="9">
                  <c:v>-8.2654388257513214E-3</c:v>
                </c:pt>
                <c:pt idx="10">
                  <c:v>-8.3650144102949166E-3</c:v>
                </c:pt>
                <c:pt idx="11">
                  <c:v>-8.2999886967333562E-3</c:v>
                </c:pt>
                <c:pt idx="12">
                  <c:v>-8.3495201398197522E-3</c:v>
                </c:pt>
                <c:pt idx="13">
                  <c:v>-8.3499790875830194E-3</c:v>
                </c:pt>
                <c:pt idx="14">
                  <c:v>-8.4329071259605128E-3</c:v>
                </c:pt>
                <c:pt idx="15">
                  <c:v>-8.2602679413799601E-3</c:v>
                </c:pt>
                <c:pt idx="16">
                  <c:v>-8.2460077357727635E-3</c:v>
                </c:pt>
                <c:pt idx="17">
                  <c:v>-8.2242277802978235E-3</c:v>
                </c:pt>
                <c:pt idx="18">
                  <c:v>-8.2581022551704332E-3</c:v>
                </c:pt>
                <c:pt idx="19">
                  <c:v>-8.3879145211668907E-3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Chg_S_neg_den!$A$17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Chg_S_neg_den!$B$17:$U$17</c:f>
              <c:numCache>
                <c:formatCode>General</c:formatCode>
                <c:ptCount val="20"/>
                <c:pt idx="0">
                  <c:v>-7.7884529448565554E-3</c:v>
                </c:pt>
                <c:pt idx="1">
                  <c:v>-8.1625839498429206E-3</c:v>
                </c:pt>
                <c:pt idx="2">
                  <c:v>-8.4027178144242334E-3</c:v>
                </c:pt>
                <c:pt idx="3">
                  <c:v>-8.4931793832111521E-3</c:v>
                </c:pt>
                <c:pt idx="4">
                  <c:v>-8.5079520353160843E-3</c:v>
                </c:pt>
                <c:pt idx="5">
                  <c:v>-8.4806074748094776E-3</c:v>
                </c:pt>
                <c:pt idx="6">
                  <c:v>-8.4618141360564836E-3</c:v>
                </c:pt>
                <c:pt idx="7">
                  <c:v>-8.3477399827929875E-3</c:v>
                </c:pt>
                <c:pt idx="8">
                  <c:v>-8.3813002395924322E-3</c:v>
                </c:pt>
                <c:pt idx="9">
                  <c:v>-8.4454890062350373E-3</c:v>
                </c:pt>
                <c:pt idx="10">
                  <c:v>-8.3933613049527282E-3</c:v>
                </c:pt>
                <c:pt idx="11">
                  <c:v>-8.4659432469386571E-3</c:v>
                </c:pt>
                <c:pt idx="12">
                  <c:v>-8.3802106900599908E-3</c:v>
                </c:pt>
                <c:pt idx="13">
                  <c:v>-8.2691956835008931E-3</c:v>
                </c:pt>
                <c:pt idx="14">
                  <c:v>-8.4438498606041641E-3</c:v>
                </c:pt>
                <c:pt idx="15">
                  <c:v>-8.494614689467132E-3</c:v>
                </c:pt>
                <c:pt idx="16">
                  <c:v>-8.3760932564297778E-3</c:v>
                </c:pt>
                <c:pt idx="17">
                  <c:v>-8.3545798421243919E-3</c:v>
                </c:pt>
                <c:pt idx="18">
                  <c:v>-8.3229099791022783E-3</c:v>
                </c:pt>
                <c:pt idx="19">
                  <c:v>-8.2711310989146466E-3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Chg_S_neg_den!$A$18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Chg_S_neg_den!$B$18:$U$18</c:f>
              <c:numCache>
                <c:formatCode>General</c:formatCode>
                <c:ptCount val="20"/>
                <c:pt idx="0">
                  <c:v>-7.5592813835491657E-3</c:v>
                </c:pt>
                <c:pt idx="1">
                  <c:v>-7.8367361951852312E-3</c:v>
                </c:pt>
                <c:pt idx="2">
                  <c:v>-7.8776069548741699E-3</c:v>
                </c:pt>
                <c:pt idx="3">
                  <c:v>-7.9320422338016363E-3</c:v>
                </c:pt>
                <c:pt idx="4">
                  <c:v>-7.8368209587649923E-3</c:v>
                </c:pt>
                <c:pt idx="5">
                  <c:v>-7.8374817996106558E-3</c:v>
                </c:pt>
                <c:pt idx="6">
                  <c:v>-7.7951462405986367E-3</c:v>
                </c:pt>
                <c:pt idx="7">
                  <c:v>-7.8560186520726209E-3</c:v>
                </c:pt>
                <c:pt idx="8">
                  <c:v>-7.8758899590857349E-3</c:v>
                </c:pt>
                <c:pt idx="9">
                  <c:v>-7.9074835587584543E-3</c:v>
                </c:pt>
                <c:pt idx="10">
                  <c:v>-7.8924786147227949E-3</c:v>
                </c:pt>
                <c:pt idx="11">
                  <c:v>-7.9294422874130882E-3</c:v>
                </c:pt>
                <c:pt idx="12">
                  <c:v>-7.8233691452526954E-3</c:v>
                </c:pt>
                <c:pt idx="13">
                  <c:v>-7.8337040574925007E-3</c:v>
                </c:pt>
                <c:pt idx="14">
                  <c:v>-7.9835402532984368E-3</c:v>
                </c:pt>
                <c:pt idx="15">
                  <c:v>-7.9740583414438914E-3</c:v>
                </c:pt>
                <c:pt idx="16">
                  <c:v>-7.9512390231501699E-3</c:v>
                </c:pt>
                <c:pt idx="17">
                  <c:v>-8.0807612196047915E-3</c:v>
                </c:pt>
                <c:pt idx="18">
                  <c:v>-8.1654683123777178E-3</c:v>
                </c:pt>
                <c:pt idx="19">
                  <c:v>-8.2394244516434435E-3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Chg_S_neg_den!$A$19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Chg_S_neg_den!$B$19:$U$19</c:f>
              <c:numCache>
                <c:formatCode>General</c:formatCode>
                <c:ptCount val="20"/>
                <c:pt idx="0">
                  <c:v>-6.2629629769406087E-3</c:v>
                </c:pt>
                <c:pt idx="1">
                  <c:v>-6.2927459753617816E-3</c:v>
                </c:pt>
                <c:pt idx="2">
                  <c:v>-6.3018187587170057E-3</c:v>
                </c:pt>
                <c:pt idx="3">
                  <c:v>-6.2903827858443746E-3</c:v>
                </c:pt>
                <c:pt idx="4">
                  <c:v>-6.2614347315954081E-3</c:v>
                </c:pt>
                <c:pt idx="5">
                  <c:v>-6.2343542007416075E-3</c:v>
                </c:pt>
                <c:pt idx="6">
                  <c:v>-6.1195176303253862E-3</c:v>
                </c:pt>
                <c:pt idx="7">
                  <c:v>-6.1406283257565307E-3</c:v>
                </c:pt>
                <c:pt idx="8">
                  <c:v>-6.1588558097448219E-3</c:v>
                </c:pt>
                <c:pt idx="9">
                  <c:v>-6.0518144173636297E-3</c:v>
                </c:pt>
                <c:pt idx="10">
                  <c:v>-6.040049094596405E-3</c:v>
                </c:pt>
                <c:pt idx="11">
                  <c:v>-6.0453018155812712E-3</c:v>
                </c:pt>
                <c:pt idx="12">
                  <c:v>-6.0278447463797038E-3</c:v>
                </c:pt>
                <c:pt idx="13">
                  <c:v>-6.0583148209312427E-3</c:v>
                </c:pt>
                <c:pt idx="14">
                  <c:v>-6.0474933511548519E-3</c:v>
                </c:pt>
                <c:pt idx="15">
                  <c:v>-6.1007801061993315E-3</c:v>
                </c:pt>
                <c:pt idx="16">
                  <c:v>-6.1266815855426605E-3</c:v>
                </c:pt>
                <c:pt idx="17">
                  <c:v>-6.1718082070301872E-3</c:v>
                </c:pt>
                <c:pt idx="18">
                  <c:v>-6.1756626271056506E-3</c:v>
                </c:pt>
                <c:pt idx="19">
                  <c:v>-6.072217515954023E-3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Chg_S_neg_den!$A$20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Chg_S_neg_den!$B$20:$U$20</c:f>
              <c:numCache>
                <c:formatCode>General</c:formatCode>
                <c:ptCount val="20"/>
                <c:pt idx="0">
                  <c:v>-6.1656538410104463E-3</c:v>
                </c:pt>
                <c:pt idx="1">
                  <c:v>-6.0892024465790239E-3</c:v>
                </c:pt>
                <c:pt idx="2">
                  <c:v>-6.2252645802164828E-3</c:v>
                </c:pt>
                <c:pt idx="3">
                  <c:v>-6.2612617836726231E-3</c:v>
                </c:pt>
                <c:pt idx="4">
                  <c:v>-6.2490181800743559E-3</c:v>
                </c:pt>
                <c:pt idx="5">
                  <c:v>-6.130843234383389E-3</c:v>
                </c:pt>
                <c:pt idx="6">
                  <c:v>-6.0950212063391636E-3</c:v>
                </c:pt>
                <c:pt idx="7">
                  <c:v>-6.0516175871198419E-3</c:v>
                </c:pt>
                <c:pt idx="8">
                  <c:v>-5.9693280654369461E-3</c:v>
                </c:pt>
                <c:pt idx="9">
                  <c:v>-5.980201101832199E-3</c:v>
                </c:pt>
                <c:pt idx="10">
                  <c:v>-5.9830032779956072E-3</c:v>
                </c:pt>
                <c:pt idx="11">
                  <c:v>-5.8673520239804905E-3</c:v>
                </c:pt>
                <c:pt idx="12">
                  <c:v>-5.8752294719287739E-3</c:v>
                </c:pt>
                <c:pt idx="13">
                  <c:v>-5.8550593881245656E-3</c:v>
                </c:pt>
                <c:pt idx="14">
                  <c:v>-5.8184418920256536E-3</c:v>
                </c:pt>
                <c:pt idx="15">
                  <c:v>-5.7081320160573068E-3</c:v>
                </c:pt>
                <c:pt idx="16">
                  <c:v>-5.7180236261263184E-3</c:v>
                </c:pt>
                <c:pt idx="17">
                  <c:v>-5.6858340802589079E-3</c:v>
                </c:pt>
                <c:pt idx="18">
                  <c:v>-5.6840554521690456E-3</c:v>
                </c:pt>
                <c:pt idx="19">
                  <c:v>-5.659574340415658E-3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Chg_S_neg_den!$A$21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Chg_S_neg_den!$B$21:$U$21</c:f>
              <c:numCache>
                <c:formatCode>General</c:formatCode>
                <c:ptCount val="20"/>
                <c:pt idx="0">
                  <c:v>-6.1530586142310153E-3</c:v>
                </c:pt>
                <c:pt idx="1">
                  <c:v>-6.1137080756791425E-3</c:v>
                </c:pt>
                <c:pt idx="2">
                  <c:v>-6.2428717597127602E-3</c:v>
                </c:pt>
                <c:pt idx="3">
                  <c:v>-6.2827706145145634E-3</c:v>
                </c:pt>
                <c:pt idx="4">
                  <c:v>-6.2910020591988068E-3</c:v>
                </c:pt>
                <c:pt idx="5">
                  <c:v>-6.100792652795577E-3</c:v>
                </c:pt>
                <c:pt idx="6">
                  <c:v>-6.1436648630512954E-3</c:v>
                </c:pt>
                <c:pt idx="7">
                  <c:v>-6.0666032198404378E-3</c:v>
                </c:pt>
                <c:pt idx="8">
                  <c:v>-6.0107983344116801E-3</c:v>
                </c:pt>
                <c:pt idx="9">
                  <c:v>-5.8967203567345796E-3</c:v>
                </c:pt>
                <c:pt idx="10">
                  <c:v>-5.8935203311580517E-3</c:v>
                </c:pt>
                <c:pt idx="11">
                  <c:v>-5.8481988184222898E-3</c:v>
                </c:pt>
                <c:pt idx="12">
                  <c:v>-5.9014151758815898E-3</c:v>
                </c:pt>
                <c:pt idx="13">
                  <c:v>-5.8815247606592274E-3</c:v>
                </c:pt>
                <c:pt idx="14">
                  <c:v>-5.8233295467710871E-3</c:v>
                </c:pt>
                <c:pt idx="15">
                  <c:v>-5.8518202391486494E-3</c:v>
                </c:pt>
                <c:pt idx="16">
                  <c:v>-5.8027235832056531E-3</c:v>
                </c:pt>
                <c:pt idx="17">
                  <c:v>-5.7869044677974707E-3</c:v>
                </c:pt>
                <c:pt idx="18">
                  <c:v>-5.7769375118823614E-3</c:v>
                </c:pt>
                <c:pt idx="19">
                  <c:v>-5.6549140401289232E-3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Chg_S_neg_den!$A$22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Chg_S_neg_den!$B$22:$U$22</c:f>
              <c:numCache>
                <c:formatCode>General</c:formatCode>
                <c:ptCount val="20"/>
                <c:pt idx="0">
                  <c:v>-6.2948649616486182E-3</c:v>
                </c:pt>
                <c:pt idx="1">
                  <c:v>-6.2724959301270157E-3</c:v>
                </c:pt>
                <c:pt idx="2">
                  <c:v>-6.3132272758729784E-3</c:v>
                </c:pt>
                <c:pt idx="3">
                  <c:v>-6.342822548593717E-3</c:v>
                </c:pt>
                <c:pt idx="4">
                  <c:v>-6.3265558724276659E-3</c:v>
                </c:pt>
                <c:pt idx="5">
                  <c:v>-6.297416883723558E-3</c:v>
                </c:pt>
                <c:pt idx="6">
                  <c:v>-6.2521594603657492E-3</c:v>
                </c:pt>
                <c:pt idx="7">
                  <c:v>-6.2333214515623995E-3</c:v>
                </c:pt>
                <c:pt idx="8">
                  <c:v>-6.0946118736688558E-3</c:v>
                </c:pt>
                <c:pt idx="9">
                  <c:v>-6.03054820219877E-3</c:v>
                </c:pt>
                <c:pt idx="10">
                  <c:v>-5.9131521927007118E-3</c:v>
                </c:pt>
                <c:pt idx="11">
                  <c:v>-5.9429023689198633E-3</c:v>
                </c:pt>
                <c:pt idx="12">
                  <c:v>-5.906458312400927E-3</c:v>
                </c:pt>
                <c:pt idx="13">
                  <c:v>-5.8539682047616271E-3</c:v>
                </c:pt>
                <c:pt idx="14">
                  <c:v>-5.7921428204293522E-3</c:v>
                </c:pt>
                <c:pt idx="15">
                  <c:v>-5.7835282001844016E-3</c:v>
                </c:pt>
                <c:pt idx="16">
                  <c:v>-5.7618305505964373E-3</c:v>
                </c:pt>
                <c:pt idx="17">
                  <c:v>-5.7419544500852083E-3</c:v>
                </c:pt>
                <c:pt idx="18">
                  <c:v>-5.7085133574611736E-3</c:v>
                </c:pt>
                <c:pt idx="19">
                  <c:v>-5.6449036035254212E-3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Chg_S_neg_den!$A$23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Chg_S_neg_den!$B$23:$U$23</c:f>
              <c:numCache>
                <c:formatCode>General</c:formatCode>
                <c:ptCount val="20"/>
                <c:pt idx="0">
                  <c:v>-6.1976966265008381E-3</c:v>
                </c:pt>
                <c:pt idx="1">
                  <c:v>-6.161611300471664E-3</c:v>
                </c:pt>
                <c:pt idx="2">
                  <c:v>-6.2952327662764438E-3</c:v>
                </c:pt>
                <c:pt idx="3">
                  <c:v>-6.3157772637957394E-3</c:v>
                </c:pt>
                <c:pt idx="4">
                  <c:v>-6.2869615854349494E-3</c:v>
                </c:pt>
                <c:pt idx="5">
                  <c:v>-6.1889287960355203E-3</c:v>
                </c:pt>
                <c:pt idx="6">
                  <c:v>-6.1615744517396227E-3</c:v>
                </c:pt>
                <c:pt idx="7">
                  <c:v>-6.1653775706278736E-3</c:v>
                </c:pt>
                <c:pt idx="8">
                  <c:v>-6.0887036358905928E-3</c:v>
                </c:pt>
                <c:pt idx="9">
                  <c:v>-6.0142731129072726E-3</c:v>
                </c:pt>
                <c:pt idx="10">
                  <c:v>-5.9561866071442364E-3</c:v>
                </c:pt>
                <c:pt idx="11">
                  <c:v>-5.93562655955904E-3</c:v>
                </c:pt>
                <c:pt idx="12">
                  <c:v>-5.9299891626818655E-3</c:v>
                </c:pt>
                <c:pt idx="13">
                  <c:v>-5.8995469499099279E-3</c:v>
                </c:pt>
                <c:pt idx="14">
                  <c:v>-5.8558275389818835E-3</c:v>
                </c:pt>
                <c:pt idx="15">
                  <c:v>-5.8073678566083068E-3</c:v>
                </c:pt>
                <c:pt idx="16">
                  <c:v>-5.6788431863307896E-3</c:v>
                </c:pt>
                <c:pt idx="17">
                  <c:v>-5.6874602576464208E-3</c:v>
                </c:pt>
                <c:pt idx="18">
                  <c:v>-5.7227173635195274E-3</c:v>
                </c:pt>
                <c:pt idx="19">
                  <c:v>-5.6331785266068466E-3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Chg_S_neg_den!$A$24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Chg_S_neg_den!$B$24:$U$24</c:f>
              <c:numCache>
                <c:formatCode>General</c:formatCode>
                <c:ptCount val="20"/>
                <c:pt idx="0">
                  <c:v>-6.2409276580647471E-3</c:v>
                </c:pt>
                <c:pt idx="1">
                  <c:v>-6.1893262171379762E-3</c:v>
                </c:pt>
                <c:pt idx="2">
                  <c:v>-6.2018555540386639E-3</c:v>
                </c:pt>
                <c:pt idx="3">
                  <c:v>-6.1537705687317173E-3</c:v>
                </c:pt>
                <c:pt idx="4">
                  <c:v>-6.157736000616751E-3</c:v>
                </c:pt>
                <c:pt idx="5">
                  <c:v>-6.013625821337772E-3</c:v>
                </c:pt>
                <c:pt idx="6">
                  <c:v>-5.8848288580745766E-3</c:v>
                </c:pt>
                <c:pt idx="7">
                  <c:v>-5.7994869929837512E-3</c:v>
                </c:pt>
                <c:pt idx="8">
                  <c:v>-5.8073311390145739E-3</c:v>
                </c:pt>
                <c:pt idx="9">
                  <c:v>-5.7660519473704446E-3</c:v>
                </c:pt>
                <c:pt idx="10">
                  <c:v>-5.7124469684241485E-3</c:v>
                </c:pt>
                <c:pt idx="11">
                  <c:v>-5.6888018531431129E-3</c:v>
                </c:pt>
                <c:pt idx="12">
                  <c:v>-5.6685686952874645E-3</c:v>
                </c:pt>
                <c:pt idx="13">
                  <c:v>-5.6241928288767954E-3</c:v>
                </c:pt>
                <c:pt idx="14">
                  <c:v>-5.6910109759811534E-3</c:v>
                </c:pt>
                <c:pt idx="15">
                  <c:v>-5.6963847655850264E-3</c:v>
                </c:pt>
                <c:pt idx="16">
                  <c:v>-5.5817847383389267E-3</c:v>
                </c:pt>
                <c:pt idx="17">
                  <c:v>-5.5507574620251429E-3</c:v>
                </c:pt>
                <c:pt idx="18">
                  <c:v>-5.5247304910105146E-3</c:v>
                </c:pt>
                <c:pt idx="19">
                  <c:v>-5.511165741365817E-3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Chg_S_neg_den!$A$25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Chg_S_neg_den!$B$25:$U$25</c:f>
              <c:numCache>
                <c:formatCode>General</c:formatCode>
                <c:ptCount val="20"/>
                <c:pt idx="0">
                  <c:v>-6.1971709055700453E-3</c:v>
                </c:pt>
                <c:pt idx="1">
                  <c:v>-6.1637790467234657E-3</c:v>
                </c:pt>
                <c:pt idx="2">
                  <c:v>-6.2667033980185948E-3</c:v>
                </c:pt>
                <c:pt idx="3">
                  <c:v>-6.2943812126267139E-3</c:v>
                </c:pt>
                <c:pt idx="4">
                  <c:v>-6.2732276914158518E-3</c:v>
                </c:pt>
                <c:pt idx="5">
                  <c:v>-6.1737901549121883E-3</c:v>
                </c:pt>
                <c:pt idx="6">
                  <c:v>-6.0986428158234327E-3</c:v>
                </c:pt>
                <c:pt idx="7">
                  <c:v>-6.1377595793381725E-3</c:v>
                </c:pt>
                <c:pt idx="8">
                  <c:v>-6.0240392481937096E-3</c:v>
                </c:pt>
                <c:pt idx="9">
                  <c:v>-5.9880538349224351E-3</c:v>
                </c:pt>
                <c:pt idx="10">
                  <c:v>-5.959261067365329E-3</c:v>
                </c:pt>
                <c:pt idx="11">
                  <c:v>-5.8900178738104363E-3</c:v>
                </c:pt>
                <c:pt idx="12">
                  <c:v>-5.8487591834457476E-3</c:v>
                </c:pt>
                <c:pt idx="13">
                  <c:v>-5.9125937439249553E-3</c:v>
                </c:pt>
                <c:pt idx="14">
                  <c:v>-5.8969639577480665E-3</c:v>
                </c:pt>
                <c:pt idx="15">
                  <c:v>-5.9063739189558944E-3</c:v>
                </c:pt>
                <c:pt idx="16">
                  <c:v>-5.81545874779034E-3</c:v>
                </c:pt>
                <c:pt idx="17">
                  <c:v>-5.7891481678588293E-3</c:v>
                </c:pt>
                <c:pt idx="18">
                  <c:v>-5.7487111143977405E-3</c:v>
                </c:pt>
                <c:pt idx="19">
                  <c:v>-5.6159864348706784E-3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Chg_S_neg_den!$A$26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Chg_S_neg_den!$B$26:$U$26</c:f>
              <c:numCache>
                <c:formatCode>General</c:formatCode>
                <c:ptCount val="20"/>
                <c:pt idx="0">
                  <c:v>-7.5710551850443845E-3</c:v>
                </c:pt>
                <c:pt idx="1">
                  <c:v>-7.868807991358447E-3</c:v>
                </c:pt>
                <c:pt idx="2">
                  <c:v>-7.9831105403090491E-3</c:v>
                </c:pt>
                <c:pt idx="3">
                  <c:v>-7.995949493389715E-3</c:v>
                </c:pt>
                <c:pt idx="4">
                  <c:v>-8.0207699427098933E-3</c:v>
                </c:pt>
                <c:pt idx="5">
                  <c:v>-7.909507227602388E-3</c:v>
                </c:pt>
                <c:pt idx="6">
                  <c:v>-7.8685599063614987E-3</c:v>
                </c:pt>
                <c:pt idx="7">
                  <c:v>-7.8200711895415383E-3</c:v>
                </c:pt>
                <c:pt idx="8">
                  <c:v>-7.569936182225308E-3</c:v>
                </c:pt>
                <c:pt idx="9">
                  <c:v>-7.5573297502698868E-3</c:v>
                </c:pt>
                <c:pt idx="10">
                  <c:v>-7.4604216851012197E-3</c:v>
                </c:pt>
                <c:pt idx="11">
                  <c:v>-7.3235089223514281E-3</c:v>
                </c:pt>
                <c:pt idx="12">
                  <c:v>-7.4517424551413351E-3</c:v>
                </c:pt>
                <c:pt idx="13">
                  <c:v>-7.364073541771308E-3</c:v>
                </c:pt>
                <c:pt idx="14">
                  <c:v>-7.3063975320390396E-3</c:v>
                </c:pt>
                <c:pt idx="15">
                  <c:v>-7.2688489605974519E-3</c:v>
                </c:pt>
                <c:pt idx="16">
                  <c:v>-7.3450520894433697E-3</c:v>
                </c:pt>
                <c:pt idx="17">
                  <c:v>-7.2139507269197867E-3</c:v>
                </c:pt>
                <c:pt idx="18">
                  <c:v>-7.1118666057571386E-3</c:v>
                </c:pt>
                <c:pt idx="19">
                  <c:v>-7.1526815235520734E-3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Chg_S_neg_den!$A$27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Chg_S_neg_den!$B$27:$U$27</c:f>
              <c:numCache>
                <c:formatCode>General</c:formatCode>
                <c:ptCount val="20"/>
                <c:pt idx="0">
                  <c:v>-6.3062900446250953E-3</c:v>
                </c:pt>
                <c:pt idx="1">
                  <c:v>-6.3173976328707851E-3</c:v>
                </c:pt>
                <c:pt idx="2">
                  <c:v>-6.4502942030862723E-3</c:v>
                </c:pt>
                <c:pt idx="3">
                  <c:v>-6.503085604357986E-3</c:v>
                </c:pt>
                <c:pt idx="4">
                  <c:v>-6.5341359080212944E-3</c:v>
                </c:pt>
                <c:pt idx="5">
                  <c:v>-6.5268522496390296E-3</c:v>
                </c:pt>
                <c:pt idx="6">
                  <c:v>-6.4183535375602887E-3</c:v>
                </c:pt>
                <c:pt idx="7">
                  <c:v>-6.3843788656571055E-3</c:v>
                </c:pt>
                <c:pt idx="8">
                  <c:v>-6.2572939504504871E-3</c:v>
                </c:pt>
                <c:pt idx="9">
                  <c:v>-6.1871017306239246E-3</c:v>
                </c:pt>
                <c:pt idx="10">
                  <c:v>-6.189803703436649E-3</c:v>
                </c:pt>
                <c:pt idx="11">
                  <c:v>-6.0410521336688198E-3</c:v>
                </c:pt>
                <c:pt idx="12">
                  <c:v>-5.9421789315590246E-3</c:v>
                </c:pt>
                <c:pt idx="13">
                  <c:v>-5.8586834515649095E-3</c:v>
                </c:pt>
                <c:pt idx="14">
                  <c:v>-5.9019651054920807E-3</c:v>
                </c:pt>
                <c:pt idx="15">
                  <c:v>-5.867878651305892E-3</c:v>
                </c:pt>
                <c:pt idx="16">
                  <c:v>-5.8912983682702065E-3</c:v>
                </c:pt>
                <c:pt idx="17">
                  <c:v>-5.8547458371024253E-3</c:v>
                </c:pt>
                <c:pt idx="18">
                  <c:v>-5.8209271465871227E-3</c:v>
                </c:pt>
                <c:pt idx="19">
                  <c:v>-5.7603918266944864E-3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Chg_S_neg_den!$A$28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Chg_S_neg_den!$B$28:$U$28</c:f>
              <c:numCache>
                <c:formatCode>General</c:formatCode>
                <c:ptCount val="20"/>
                <c:pt idx="0">
                  <c:v>-6.2171888670130519E-3</c:v>
                </c:pt>
                <c:pt idx="1">
                  <c:v>-6.1355996202181826E-3</c:v>
                </c:pt>
                <c:pt idx="2">
                  <c:v>-6.1529197481725367E-3</c:v>
                </c:pt>
                <c:pt idx="3">
                  <c:v>-6.1193567204586297E-3</c:v>
                </c:pt>
                <c:pt idx="4">
                  <c:v>-6.0854591629900447E-3</c:v>
                </c:pt>
                <c:pt idx="5">
                  <c:v>-5.9848035206294366E-3</c:v>
                </c:pt>
                <c:pt idx="6">
                  <c:v>-5.8758520171444508E-3</c:v>
                </c:pt>
                <c:pt idx="7">
                  <c:v>-5.7439408628913603E-3</c:v>
                </c:pt>
                <c:pt idx="8">
                  <c:v>-5.6680909537295526E-3</c:v>
                </c:pt>
                <c:pt idx="9">
                  <c:v>-5.5874989431503068E-3</c:v>
                </c:pt>
                <c:pt idx="10">
                  <c:v>-5.6397051536364621E-3</c:v>
                </c:pt>
                <c:pt idx="11">
                  <c:v>-5.6311459261941194E-3</c:v>
                </c:pt>
                <c:pt idx="12">
                  <c:v>-5.6059445575135092E-3</c:v>
                </c:pt>
                <c:pt idx="13">
                  <c:v>-5.606390108400223E-3</c:v>
                </c:pt>
                <c:pt idx="14">
                  <c:v>-5.563095257964344E-3</c:v>
                </c:pt>
                <c:pt idx="15">
                  <c:v>-5.6036374483127514E-3</c:v>
                </c:pt>
                <c:pt idx="16">
                  <c:v>-5.5791007496101483E-3</c:v>
                </c:pt>
                <c:pt idx="17">
                  <c:v>-5.5137698204221989E-3</c:v>
                </c:pt>
                <c:pt idx="18">
                  <c:v>-5.4802619805568789E-3</c:v>
                </c:pt>
                <c:pt idx="19">
                  <c:v>-5.4247888409386536E-3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Chg_S_neg_den!$A$29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Chg_S_neg_den!$B$29:$U$29</c:f>
              <c:numCache>
                <c:formatCode>General</c:formatCode>
                <c:ptCount val="20"/>
                <c:pt idx="0">
                  <c:v>-6.0878275858106973E-3</c:v>
                </c:pt>
                <c:pt idx="1">
                  <c:v>-6.0288604485010241E-3</c:v>
                </c:pt>
                <c:pt idx="2">
                  <c:v>-6.0555181834025459E-3</c:v>
                </c:pt>
                <c:pt idx="3">
                  <c:v>-6.0890489147906552E-3</c:v>
                </c:pt>
                <c:pt idx="4">
                  <c:v>-6.0459512761339967E-3</c:v>
                </c:pt>
                <c:pt idx="5">
                  <c:v>-5.9422886645906156E-3</c:v>
                </c:pt>
                <c:pt idx="6">
                  <c:v>-5.8382941079374688E-3</c:v>
                </c:pt>
                <c:pt idx="7">
                  <c:v>-5.7318199389287967E-3</c:v>
                </c:pt>
                <c:pt idx="8">
                  <c:v>-5.7138466473742495E-3</c:v>
                </c:pt>
                <c:pt idx="9">
                  <c:v>-5.695089853999428E-3</c:v>
                </c:pt>
                <c:pt idx="10">
                  <c:v>-5.6155089187519668E-3</c:v>
                </c:pt>
                <c:pt idx="11">
                  <c:v>-5.7299685331023897E-3</c:v>
                </c:pt>
                <c:pt idx="12">
                  <c:v>-5.739692399809565E-3</c:v>
                </c:pt>
                <c:pt idx="13">
                  <c:v>-5.7198075697026864E-3</c:v>
                </c:pt>
                <c:pt idx="14">
                  <c:v>-5.7384130858842888E-3</c:v>
                </c:pt>
                <c:pt idx="15">
                  <c:v>-5.7245840362140322E-3</c:v>
                </c:pt>
                <c:pt idx="16">
                  <c:v>-5.6668428367684836E-3</c:v>
                </c:pt>
                <c:pt idx="17">
                  <c:v>-5.6618918817651848E-3</c:v>
                </c:pt>
                <c:pt idx="18">
                  <c:v>-5.6493928820811404E-3</c:v>
                </c:pt>
                <c:pt idx="19">
                  <c:v>-5.5265447198883395E-3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Chg_S_neg_den!$A$30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Chg_S_neg_den!$B$30:$U$30</c:f>
              <c:numCache>
                <c:formatCode>General</c:formatCode>
                <c:ptCount val="20"/>
                <c:pt idx="0">
                  <c:v>-7.043809071133415E-3</c:v>
                </c:pt>
                <c:pt idx="1">
                  <c:v>-7.3396371656531826E-3</c:v>
                </c:pt>
                <c:pt idx="2">
                  <c:v>-7.878865724864877E-3</c:v>
                </c:pt>
                <c:pt idx="3">
                  <c:v>-8.1522729840493146E-3</c:v>
                </c:pt>
                <c:pt idx="4">
                  <c:v>-8.2491966846818792E-3</c:v>
                </c:pt>
                <c:pt idx="5">
                  <c:v>-8.2688768344951567E-3</c:v>
                </c:pt>
                <c:pt idx="6">
                  <c:v>-8.3051494683581625E-3</c:v>
                </c:pt>
                <c:pt idx="7">
                  <c:v>-8.3594858180643054E-3</c:v>
                </c:pt>
                <c:pt idx="8">
                  <c:v>-8.3592229895528263E-3</c:v>
                </c:pt>
                <c:pt idx="9">
                  <c:v>-8.2795990901257683E-3</c:v>
                </c:pt>
                <c:pt idx="10">
                  <c:v>-8.2476480425421553E-3</c:v>
                </c:pt>
                <c:pt idx="11">
                  <c:v>-8.3043226583865721E-3</c:v>
                </c:pt>
                <c:pt idx="12">
                  <c:v>-8.2935941381146721E-3</c:v>
                </c:pt>
                <c:pt idx="13">
                  <c:v>-8.4620848189126754E-3</c:v>
                </c:pt>
                <c:pt idx="14">
                  <c:v>-8.5519123619325291E-3</c:v>
                </c:pt>
                <c:pt idx="15">
                  <c:v>-8.5377709859558674E-3</c:v>
                </c:pt>
                <c:pt idx="16">
                  <c:v>-8.4782086945458107E-3</c:v>
                </c:pt>
                <c:pt idx="17">
                  <c:v>-8.4121933109767549E-3</c:v>
                </c:pt>
                <c:pt idx="18">
                  <c:v>-8.322417105406649E-3</c:v>
                </c:pt>
                <c:pt idx="19">
                  <c:v>-8.2552706839813597E-3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Chg_S_neg_den!$A$31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Chg_S_neg_den!$B$31:$U$31</c:f>
              <c:numCache>
                <c:formatCode>General</c:formatCode>
                <c:ptCount val="20"/>
                <c:pt idx="0">
                  <c:v>-7.1794910853463425E-3</c:v>
                </c:pt>
                <c:pt idx="1">
                  <c:v>-7.5300281255590885E-3</c:v>
                </c:pt>
                <c:pt idx="2">
                  <c:v>-7.9981084857897559E-3</c:v>
                </c:pt>
                <c:pt idx="3">
                  <c:v>-8.3470062021761653E-3</c:v>
                </c:pt>
                <c:pt idx="4">
                  <c:v>-8.5576339064090366E-3</c:v>
                </c:pt>
                <c:pt idx="5">
                  <c:v>-8.5383722033477716E-3</c:v>
                </c:pt>
                <c:pt idx="6">
                  <c:v>-8.5411657443503469E-3</c:v>
                </c:pt>
                <c:pt idx="7">
                  <c:v>-8.5261467861521365E-3</c:v>
                </c:pt>
                <c:pt idx="8">
                  <c:v>-8.4956547500035402E-3</c:v>
                </c:pt>
                <c:pt idx="9">
                  <c:v>-8.5174419311578684E-3</c:v>
                </c:pt>
                <c:pt idx="10">
                  <c:v>-8.5182324236299373E-3</c:v>
                </c:pt>
                <c:pt idx="11">
                  <c:v>-8.4451720576371424E-3</c:v>
                </c:pt>
                <c:pt idx="12">
                  <c:v>-8.4290484822439928E-3</c:v>
                </c:pt>
                <c:pt idx="13">
                  <c:v>-8.5420917562269473E-3</c:v>
                </c:pt>
                <c:pt idx="14">
                  <c:v>-8.4722771649165945E-3</c:v>
                </c:pt>
                <c:pt idx="15">
                  <c:v>-8.5384891262637406E-3</c:v>
                </c:pt>
                <c:pt idx="16">
                  <c:v>-8.5612909482807222E-3</c:v>
                </c:pt>
                <c:pt idx="17">
                  <c:v>-8.5878811184792909E-3</c:v>
                </c:pt>
                <c:pt idx="18">
                  <c:v>-8.6249404468153774E-3</c:v>
                </c:pt>
                <c:pt idx="19">
                  <c:v>-8.6412392923235562E-3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Chg_S_neg_den!$A$32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Chg_S_neg_den!$B$32:$U$32</c:f>
              <c:numCache>
                <c:formatCode>General</c:formatCode>
                <c:ptCount val="20"/>
                <c:pt idx="0">
                  <c:v>-8.9933811195145544E-3</c:v>
                </c:pt>
                <c:pt idx="1">
                  <c:v>-1.0067750071422181E-2</c:v>
                </c:pt>
                <c:pt idx="2">
                  <c:v>-1.1152567180534213E-2</c:v>
                </c:pt>
                <c:pt idx="3">
                  <c:v>-1.1779960134411151E-2</c:v>
                </c:pt>
                <c:pt idx="4">
                  <c:v>-1.2002784077146613E-2</c:v>
                </c:pt>
                <c:pt idx="5">
                  <c:v>-1.2355150975333606E-2</c:v>
                </c:pt>
                <c:pt idx="6">
                  <c:v>-1.238853699135852E-2</c:v>
                </c:pt>
                <c:pt idx="7">
                  <c:v>-1.2527704599389504E-2</c:v>
                </c:pt>
                <c:pt idx="8">
                  <c:v>-1.2812366494713907E-2</c:v>
                </c:pt>
                <c:pt idx="9">
                  <c:v>-1.2970160747469152E-2</c:v>
                </c:pt>
                <c:pt idx="10">
                  <c:v>-1.312848477241842E-2</c:v>
                </c:pt>
                <c:pt idx="11">
                  <c:v>-1.3235523792089478E-2</c:v>
                </c:pt>
                <c:pt idx="12">
                  <c:v>-1.3268074181425614E-2</c:v>
                </c:pt>
                <c:pt idx="13">
                  <c:v>-1.3179600847574167E-2</c:v>
                </c:pt>
                <c:pt idx="14">
                  <c:v>-1.3261174006360786E-2</c:v>
                </c:pt>
                <c:pt idx="15">
                  <c:v>-1.3132905629261839E-2</c:v>
                </c:pt>
                <c:pt idx="16">
                  <c:v>-1.2973525014553037E-2</c:v>
                </c:pt>
                <c:pt idx="17">
                  <c:v>-1.3056495987053844E-2</c:v>
                </c:pt>
                <c:pt idx="18">
                  <c:v>-1.3164704322618894E-2</c:v>
                </c:pt>
                <c:pt idx="19">
                  <c:v>-1.3122963199744276E-2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Chg_S_neg_den!$A$33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Chg_S_neg_den!$B$33:$U$33</c:f>
              <c:numCache>
                <c:formatCode>General</c:formatCode>
                <c:ptCount val="20"/>
                <c:pt idx="0">
                  <c:v>-9.1832480838792956E-3</c:v>
                </c:pt>
                <c:pt idx="1">
                  <c:v>-1.0190901471837908E-2</c:v>
                </c:pt>
                <c:pt idx="2">
                  <c:v>-1.1186308105835744E-2</c:v>
                </c:pt>
                <c:pt idx="3">
                  <c:v>-1.1733460225192274E-2</c:v>
                </c:pt>
                <c:pt idx="4">
                  <c:v>-1.2132827659458324E-2</c:v>
                </c:pt>
                <c:pt idx="5">
                  <c:v>-1.2445477954661624E-2</c:v>
                </c:pt>
                <c:pt idx="6">
                  <c:v>-1.2730756310932125E-2</c:v>
                </c:pt>
                <c:pt idx="7">
                  <c:v>-1.2857238782637526E-2</c:v>
                </c:pt>
                <c:pt idx="8">
                  <c:v>-1.2955459344015733E-2</c:v>
                </c:pt>
                <c:pt idx="9">
                  <c:v>-1.2993960098064024E-2</c:v>
                </c:pt>
                <c:pt idx="10">
                  <c:v>-1.3030666609009346E-2</c:v>
                </c:pt>
                <c:pt idx="11">
                  <c:v>-1.3059996979384298E-2</c:v>
                </c:pt>
                <c:pt idx="12">
                  <c:v>-1.3148858260584581E-2</c:v>
                </c:pt>
                <c:pt idx="13">
                  <c:v>-1.3327033518825011E-2</c:v>
                </c:pt>
                <c:pt idx="14">
                  <c:v>-1.3398334832840638E-2</c:v>
                </c:pt>
                <c:pt idx="15">
                  <c:v>-1.3542884039735305E-2</c:v>
                </c:pt>
                <c:pt idx="16">
                  <c:v>-1.3394516310479866E-2</c:v>
                </c:pt>
                <c:pt idx="17">
                  <c:v>-1.3313236193178809E-2</c:v>
                </c:pt>
                <c:pt idx="18">
                  <c:v>-1.3203336557613719E-2</c:v>
                </c:pt>
                <c:pt idx="19">
                  <c:v>-1.3034675177780423E-2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Chg_S_neg_den!$A$34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Chg_S_neg_den!$B$34:$U$34</c:f>
              <c:numCache>
                <c:formatCode>General</c:formatCode>
                <c:ptCount val="20"/>
                <c:pt idx="0">
                  <c:v>-9.1558419559662624E-3</c:v>
                </c:pt>
                <c:pt idx="1">
                  <c:v>-1.0156766410942587E-2</c:v>
                </c:pt>
                <c:pt idx="2">
                  <c:v>-1.1198527314603262E-2</c:v>
                </c:pt>
                <c:pt idx="3">
                  <c:v>-1.1711228005359462E-2</c:v>
                </c:pt>
                <c:pt idx="4">
                  <c:v>-1.2164815456634717E-2</c:v>
                </c:pt>
                <c:pt idx="5">
                  <c:v>-1.2490477933300142E-2</c:v>
                </c:pt>
                <c:pt idx="6">
                  <c:v>-1.2702712709757114E-2</c:v>
                </c:pt>
                <c:pt idx="7">
                  <c:v>-1.3010320154252372E-2</c:v>
                </c:pt>
                <c:pt idx="8">
                  <c:v>-1.3121003554605794E-2</c:v>
                </c:pt>
                <c:pt idx="9">
                  <c:v>-1.306996483640272E-2</c:v>
                </c:pt>
                <c:pt idx="10">
                  <c:v>-1.3080099902977552E-2</c:v>
                </c:pt>
                <c:pt idx="11">
                  <c:v>-1.3197590554096816E-2</c:v>
                </c:pt>
                <c:pt idx="12">
                  <c:v>-1.3147469033317816E-2</c:v>
                </c:pt>
                <c:pt idx="13">
                  <c:v>-1.3231966647223236E-2</c:v>
                </c:pt>
                <c:pt idx="14">
                  <c:v>-1.3084961764844767E-2</c:v>
                </c:pt>
                <c:pt idx="15">
                  <c:v>-1.3096063686229996E-2</c:v>
                </c:pt>
                <c:pt idx="16">
                  <c:v>-1.3060001106812694E-2</c:v>
                </c:pt>
                <c:pt idx="17">
                  <c:v>-1.3241379114915854E-2</c:v>
                </c:pt>
                <c:pt idx="18">
                  <c:v>-1.3353582618140999E-2</c:v>
                </c:pt>
                <c:pt idx="19">
                  <c:v>-1.3323551658505064E-2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Chg_S_neg_den!$A$35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Chg_S_neg_den!$B$35:$U$35</c:f>
              <c:numCache>
                <c:formatCode>General</c:formatCode>
                <c:ptCount val="20"/>
                <c:pt idx="0">
                  <c:v>-6.7446396212383075E-3</c:v>
                </c:pt>
                <c:pt idx="1">
                  <c:v>-6.8318160540603258E-3</c:v>
                </c:pt>
                <c:pt idx="2">
                  <c:v>-6.8147708687212403E-3</c:v>
                </c:pt>
                <c:pt idx="3">
                  <c:v>-6.7554319340776938E-3</c:v>
                </c:pt>
                <c:pt idx="4">
                  <c:v>-6.7227603994125563E-3</c:v>
                </c:pt>
                <c:pt idx="5">
                  <c:v>-6.7016884869762292E-3</c:v>
                </c:pt>
                <c:pt idx="6">
                  <c:v>-6.6150092392128742E-3</c:v>
                </c:pt>
                <c:pt idx="7">
                  <c:v>-6.5999977909700107E-3</c:v>
                </c:pt>
                <c:pt idx="8">
                  <c:v>-6.5147800844576253E-3</c:v>
                </c:pt>
                <c:pt idx="9">
                  <c:v>-6.5288209401284424E-3</c:v>
                </c:pt>
                <c:pt idx="10">
                  <c:v>-6.5511759509248625E-3</c:v>
                </c:pt>
                <c:pt idx="11">
                  <c:v>-6.5890940103301293E-3</c:v>
                </c:pt>
                <c:pt idx="12">
                  <c:v>-6.5990942589677238E-3</c:v>
                </c:pt>
                <c:pt idx="13">
                  <c:v>-6.5973192733962387E-3</c:v>
                </c:pt>
                <c:pt idx="14">
                  <c:v>-6.5568214850462488E-3</c:v>
                </c:pt>
                <c:pt idx="15">
                  <c:v>-6.5746384387834842E-3</c:v>
                </c:pt>
                <c:pt idx="16">
                  <c:v>-6.6265375330317412E-3</c:v>
                </c:pt>
                <c:pt idx="17">
                  <c:v>-6.5899412186574396E-3</c:v>
                </c:pt>
                <c:pt idx="18">
                  <c:v>-6.5180724315957658E-3</c:v>
                </c:pt>
                <c:pt idx="19">
                  <c:v>-6.3370839727226909E-3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Chg_S_neg_den!$A$36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Chg_S_neg_den!$B$36:$U$36</c:f>
              <c:numCache>
                <c:formatCode>General</c:formatCode>
                <c:ptCount val="20"/>
                <c:pt idx="0">
                  <c:v>-6.9137468604458796E-3</c:v>
                </c:pt>
                <c:pt idx="1">
                  <c:v>-6.9399467480927264E-3</c:v>
                </c:pt>
                <c:pt idx="2">
                  <c:v>-6.9720847615119463E-3</c:v>
                </c:pt>
                <c:pt idx="3">
                  <c:v>-6.9739976570426052E-3</c:v>
                </c:pt>
                <c:pt idx="4">
                  <c:v>-6.957317659442035E-3</c:v>
                </c:pt>
                <c:pt idx="5">
                  <c:v>-6.9379900153164822E-3</c:v>
                </c:pt>
                <c:pt idx="6">
                  <c:v>-6.9052997082127724E-3</c:v>
                </c:pt>
                <c:pt idx="7">
                  <c:v>-6.8935114817910426E-3</c:v>
                </c:pt>
                <c:pt idx="8">
                  <c:v>-6.9603542352838837E-3</c:v>
                </c:pt>
                <c:pt idx="9">
                  <c:v>-6.9547470834178116E-3</c:v>
                </c:pt>
                <c:pt idx="10">
                  <c:v>-6.9405092513049917E-3</c:v>
                </c:pt>
                <c:pt idx="11">
                  <c:v>-6.9875754517417094E-3</c:v>
                </c:pt>
                <c:pt idx="12">
                  <c:v>-6.953202040782161E-3</c:v>
                </c:pt>
                <c:pt idx="13">
                  <c:v>-6.9974954143694869E-3</c:v>
                </c:pt>
                <c:pt idx="14">
                  <c:v>-7.0759067952194769E-3</c:v>
                </c:pt>
                <c:pt idx="15">
                  <c:v>-7.1122104864467612E-3</c:v>
                </c:pt>
                <c:pt idx="16">
                  <c:v>-7.3120921598855736E-3</c:v>
                </c:pt>
                <c:pt idx="17">
                  <c:v>-7.3490667674378949E-3</c:v>
                </c:pt>
                <c:pt idx="18">
                  <c:v>-7.2412800275404726E-3</c:v>
                </c:pt>
                <c:pt idx="19">
                  <c:v>-7.2317617572951309E-3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Chg_S_neg_den!$A$37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Chg_S_neg_den!$B$2:$U$2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Chg_S_neg_den!$B$37:$U$37</c:f>
              <c:numCache>
                <c:formatCode>General</c:formatCode>
                <c:ptCount val="20"/>
                <c:pt idx="0">
                  <c:v>-6.5322373773630052E-3</c:v>
                </c:pt>
                <c:pt idx="1">
                  <c:v>-6.3959933679786467E-3</c:v>
                </c:pt>
                <c:pt idx="2">
                  <c:v>-6.2467535750169037E-3</c:v>
                </c:pt>
                <c:pt idx="3">
                  <c:v>-6.0558900217219311E-3</c:v>
                </c:pt>
                <c:pt idx="4">
                  <c:v>-5.9304335623593099E-3</c:v>
                </c:pt>
                <c:pt idx="5">
                  <c:v>-5.8229051820005021E-3</c:v>
                </c:pt>
                <c:pt idx="6">
                  <c:v>-5.7177980422024018E-3</c:v>
                </c:pt>
                <c:pt idx="7">
                  <c:v>-5.6730133205349469E-3</c:v>
                </c:pt>
                <c:pt idx="8">
                  <c:v>-5.656533098178403E-3</c:v>
                </c:pt>
                <c:pt idx="9">
                  <c:v>-5.6032203194895918E-3</c:v>
                </c:pt>
                <c:pt idx="10">
                  <c:v>-5.5633095010021371E-3</c:v>
                </c:pt>
                <c:pt idx="11">
                  <c:v>-5.5401926419040336E-3</c:v>
                </c:pt>
                <c:pt idx="12">
                  <c:v>-5.5540381855347281E-3</c:v>
                </c:pt>
                <c:pt idx="13">
                  <c:v>-5.5438593629301945E-3</c:v>
                </c:pt>
                <c:pt idx="14">
                  <c:v>-5.4893028716530108E-3</c:v>
                </c:pt>
                <c:pt idx="15">
                  <c:v>-5.4633256772382219E-3</c:v>
                </c:pt>
                <c:pt idx="16">
                  <c:v>-5.5499099509927737E-3</c:v>
                </c:pt>
                <c:pt idx="17">
                  <c:v>-5.5885740770779176E-3</c:v>
                </c:pt>
                <c:pt idx="18">
                  <c:v>-5.392071822643757E-3</c:v>
                </c:pt>
                <c:pt idx="19">
                  <c:v>-5.3532951296648076E-3</c:v>
                </c:pt>
              </c:numCache>
            </c:numRef>
          </c:yVal>
          <c:smooth val="1"/>
        </c:ser>
        <c:axId val="98606080"/>
        <c:axId val="98632832"/>
      </c:scatterChart>
      <c:valAx>
        <c:axId val="9860608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632832"/>
        <c:crosses val="autoZero"/>
        <c:crossBetween val="midCat"/>
      </c:valAx>
      <c:valAx>
        <c:axId val="98632832"/>
        <c:scaling>
          <c:orientation val="minMax"/>
        </c:scaling>
        <c:axPos val="l"/>
        <c:numFmt formatCode="General" sourceLinked="1"/>
        <c:tickLblPos val="nextTo"/>
        <c:crossAx val="986060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565954813269163"/>
          <c:y val="7.9861475648877231E-2"/>
          <c:w val="0.25251194901752522"/>
          <c:h val="0.87427461978211629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Chg_T!$B$3:$U$3</c:f>
              <c:numCache>
                <c:formatCode>General</c:formatCode>
                <c:ptCount val="20"/>
                <c:pt idx="0">
                  <c:v>-11.176383</c:v>
                </c:pt>
                <c:pt idx="1">
                  <c:v>-7.1044450000000001</c:v>
                </c:pt>
                <c:pt idx="2">
                  <c:v>-4.1764109999999999</c:v>
                </c:pt>
                <c:pt idx="3">
                  <c:v>-2.6548749999999997</c:v>
                </c:pt>
                <c:pt idx="4">
                  <c:v>-1.9864929999999998</c:v>
                </c:pt>
                <c:pt idx="5">
                  <c:v>-1.5515380000000001</c:v>
                </c:pt>
                <c:pt idx="6">
                  <c:v>-1.2152399999999999</c:v>
                </c:pt>
                <c:pt idx="7">
                  <c:v>-1.031282</c:v>
                </c:pt>
                <c:pt idx="8">
                  <c:v>-0.86028559999999998</c:v>
                </c:pt>
                <c:pt idx="9">
                  <c:v>-0.71976160000000011</c:v>
                </c:pt>
                <c:pt idx="10">
                  <c:v>-0.68931909999999996</c:v>
                </c:pt>
                <c:pt idx="11">
                  <c:v>-0.64858920000000009</c:v>
                </c:pt>
                <c:pt idx="12">
                  <c:v>-0.57866669999999998</c:v>
                </c:pt>
                <c:pt idx="13">
                  <c:v>-0.51601980000000003</c:v>
                </c:pt>
                <c:pt idx="14">
                  <c:v>-0.47188560000000002</c:v>
                </c:pt>
                <c:pt idx="15">
                  <c:v>-0.45740190000000003</c:v>
                </c:pt>
                <c:pt idx="16">
                  <c:v>-0.4201491</c:v>
                </c:pt>
                <c:pt idx="17">
                  <c:v>-0.37807019999999997</c:v>
                </c:pt>
                <c:pt idx="18">
                  <c:v>-0.37032439999999994</c:v>
                </c:pt>
                <c:pt idx="19">
                  <c:v>-0.32024340000000001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Chg_T!$B$21:$U$21</c:f>
              <c:numCache>
                <c:formatCode>General</c:formatCode>
                <c:ptCount val="20"/>
                <c:pt idx="0">
                  <c:v>-34.794849999999997</c:v>
                </c:pt>
                <c:pt idx="1">
                  <c:v>-19.831969999999998</c:v>
                </c:pt>
                <c:pt idx="2">
                  <c:v>-10.313089999999999</c:v>
                </c:pt>
                <c:pt idx="3">
                  <c:v>-6.3647180000000008</c:v>
                </c:pt>
                <c:pt idx="4">
                  <c:v>-4.364533999999999</c:v>
                </c:pt>
                <c:pt idx="5">
                  <c:v>-2.9453230000000001</c:v>
                </c:pt>
                <c:pt idx="6">
                  <c:v>-2.3600089999999994</c:v>
                </c:pt>
                <c:pt idx="7">
                  <c:v>-1.8225569999999998</c:v>
                </c:pt>
                <c:pt idx="8">
                  <c:v>-1.4945540000000004</c:v>
                </c:pt>
                <c:pt idx="9">
                  <c:v>-1.1776790000000004</c:v>
                </c:pt>
                <c:pt idx="10">
                  <c:v>-0.99253100000000005</c:v>
                </c:pt>
                <c:pt idx="11">
                  <c:v>-0.85095600000000005</c:v>
                </c:pt>
                <c:pt idx="12">
                  <c:v>-0.79615800000000014</c:v>
                </c:pt>
                <c:pt idx="13">
                  <c:v>-0.69104699999999997</c:v>
                </c:pt>
                <c:pt idx="14">
                  <c:v>-0.59224299999999985</c:v>
                </c:pt>
                <c:pt idx="15">
                  <c:v>-0.55245499999999992</c:v>
                </c:pt>
                <c:pt idx="16">
                  <c:v>-0.49083900000000003</c:v>
                </c:pt>
                <c:pt idx="17">
                  <c:v>-0.457673</c:v>
                </c:pt>
                <c:pt idx="18">
                  <c:v>-0.40506299999999995</c:v>
                </c:pt>
                <c:pt idx="19">
                  <c:v>-0.32501100000000016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Chg_T!$B$37:$U$37</c:f>
              <c:numCache>
                <c:formatCode>General</c:formatCode>
                <c:ptCount val="20"/>
                <c:pt idx="0">
                  <c:v>-94.496309999999994</c:v>
                </c:pt>
                <c:pt idx="1">
                  <c:v>-57.176309999999994</c:v>
                </c:pt>
                <c:pt idx="2">
                  <c:v>-29.612820000000003</c:v>
                </c:pt>
                <c:pt idx="3">
                  <c:v>-17.000180000000004</c:v>
                </c:pt>
                <c:pt idx="4">
                  <c:v>-10.74757</c:v>
                </c:pt>
                <c:pt idx="5">
                  <c:v>-7.1310500000000001</c:v>
                </c:pt>
                <c:pt idx="6">
                  <c:v>-5.02895</c:v>
                </c:pt>
                <c:pt idx="7">
                  <c:v>-3.8706129999999987</c:v>
                </c:pt>
                <c:pt idx="8">
                  <c:v>-3.1671020000000007</c:v>
                </c:pt>
                <c:pt idx="9">
                  <c:v>-2.5623960000000006</c:v>
                </c:pt>
                <c:pt idx="10">
                  <c:v>-2.141489</c:v>
                </c:pt>
                <c:pt idx="11">
                  <c:v>-1.9014900000000008</c:v>
                </c:pt>
                <c:pt idx="12">
                  <c:v>-1.6830280000000002</c:v>
                </c:pt>
                <c:pt idx="13">
                  <c:v>-1.5369509999999993</c:v>
                </c:pt>
                <c:pt idx="14">
                  <c:v>-1.304532</c:v>
                </c:pt>
                <c:pt idx="15">
                  <c:v>-1.201489</c:v>
                </c:pt>
                <c:pt idx="16">
                  <c:v>-1.1889629999999998</c:v>
                </c:pt>
                <c:pt idx="17">
                  <c:v>-1.0799119999999998</c:v>
                </c:pt>
                <c:pt idx="18">
                  <c:v>-0.8217080000000001</c:v>
                </c:pt>
                <c:pt idx="19">
                  <c:v>-0.72190799999999999</c:v>
                </c:pt>
              </c:numCache>
            </c:numRef>
          </c:yVal>
          <c:smooth val="1"/>
        </c:ser>
        <c:axId val="98746752"/>
        <c:axId val="98748672"/>
      </c:scatterChart>
      <c:valAx>
        <c:axId val="98746752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748672"/>
        <c:crosses val="autoZero"/>
        <c:crossBetween val="midCat"/>
      </c:valAx>
      <c:valAx>
        <c:axId val="98748672"/>
        <c:scaling>
          <c:orientation val="minMax"/>
        </c:scaling>
        <c:axPos val="l"/>
        <c:numFmt formatCode="General" sourceLinked="1"/>
        <c:tickLblPos val="nextTo"/>
        <c:crossAx val="98746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Chg_T!$A$3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Chg_T!$B$3:$U$3</c:f>
              <c:numCache>
                <c:formatCode>General</c:formatCode>
                <c:ptCount val="20"/>
                <c:pt idx="0">
                  <c:v>-11.176383</c:v>
                </c:pt>
                <c:pt idx="1">
                  <c:v>-7.1044450000000001</c:v>
                </c:pt>
                <c:pt idx="2">
                  <c:v>-4.1764109999999999</c:v>
                </c:pt>
                <c:pt idx="3">
                  <c:v>-2.6548749999999997</c:v>
                </c:pt>
                <c:pt idx="4">
                  <c:v>-1.9864929999999998</c:v>
                </c:pt>
                <c:pt idx="5">
                  <c:v>-1.5515380000000001</c:v>
                </c:pt>
                <c:pt idx="6">
                  <c:v>-1.2152399999999999</c:v>
                </c:pt>
                <c:pt idx="7">
                  <c:v>-1.031282</c:v>
                </c:pt>
                <c:pt idx="8">
                  <c:v>-0.86028559999999998</c:v>
                </c:pt>
                <c:pt idx="9">
                  <c:v>-0.71976160000000011</c:v>
                </c:pt>
                <c:pt idx="10">
                  <c:v>-0.68931909999999996</c:v>
                </c:pt>
                <c:pt idx="11">
                  <c:v>-0.64858920000000009</c:v>
                </c:pt>
                <c:pt idx="12">
                  <c:v>-0.57866669999999998</c:v>
                </c:pt>
                <c:pt idx="13">
                  <c:v>-0.51601980000000003</c:v>
                </c:pt>
                <c:pt idx="14">
                  <c:v>-0.47188560000000002</c:v>
                </c:pt>
                <c:pt idx="15">
                  <c:v>-0.45740190000000003</c:v>
                </c:pt>
                <c:pt idx="16">
                  <c:v>-0.4201491</c:v>
                </c:pt>
                <c:pt idx="17">
                  <c:v>-0.37807019999999997</c:v>
                </c:pt>
                <c:pt idx="18">
                  <c:v>-0.37032439999999994</c:v>
                </c:pt>
                <c:pt idx="19">
                  <c:v>-0.32024340000000001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Chg_T!$A$4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Chg_T!$B$4:$U$4</c:f>
              <c:numCache>
                <c:formatCode>General</c:formatCode>
                <c:ptCount val="20"/>
                <c:pt idx="0">
                  <c:v>-14.474102000000002</c:v>
                </c:pt>
                <c:pt idx="1">
                  <c:v>-9.3496789999999983</c:v>
                </c:pt>
                <c:pt idx="2">
                  <c:v>-5.2224459999999997</c:v>
                </c:pt>
                <c:pt idx="3">
                  <c:v>-3.332255</c:v>
                </c:pt>
                <c:pt idx="4">
                  <c:v>-2.418139</c:v>
                </c:pt>
                <c:pt idx="5">
                  <c:v>-1.8343750000000001</c:v>
                </c:pt>
                <c:pt idx="6">
                  <c:v>-1.586552</c:v>
                </c:pt>
                <c:pt idx="7">
                  <c:v>-1.2649240000000002</c:v>
                </c:pt>
                <c:pt idx="8">
                  <c:v>-1.1212359999999999</c:v>
                </c:pt>
                <c:pt idx="9">
                  <c:v>-0.97632459999999999</c:v>
                </c:pt>
                <c:pt idx="10">
                  <c:v>-0.92152650000000003</c:v>
                </c:pt>
                <c:pt idx="11">
                  <c:v>-0.80550870000000008</c:v>
                </c:pt>
                <c:pt idx="12">
                  <c:v>-0.75823249999999998</c:v>
                </c:pt>
                <c:pt idx="13">
                  <c:v>-0.69134929999999994</c:v>
                </c:pt>
                <c:pt idx="14">
                  <c:v>-0.63552870000000006</c:v>
                </c:pt>
                <c:pt idx="15">
                  <c:v>-0.60229499999999991</c:v>
                </c:pt>
                <c:pt idx="16">
                  <c:v>-0.56812580000000001</c:v>
                </c:pt>
                <c:pt idx="17">
                  <c:v>-0.54707289999999997</c:v>
                </c:pt>
                <c:pt idx="18">
                  <c:v>-0.51110730000000015</c:v>
                </c:pt>
                <c:pt idx="19">
                  <c:v>-0.49094019999999999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Chg_T!$A$5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Chg_T!$B$5:$U$5</c:f>
              <c:numCache>
                <c:formatCode>General</c:formatCode>
                <c:ptCount val="20"/>
                <c:pt idx="0">
                  <c:v>-27.203086999999996</c:v>
                </c:pt>
                <c:pt idx="1">
                  <c:v>-18.035798</c:v>
                </c:pt>
                <c:pt idx="2">
                  <c:v>-11.286569999999999</c:v>
                </c:pt>
                <c:pt idx="3">
                  <c:v>-7.7682580000000003</c:v>
                </c:pt>
                <c:pt idx="4">
                  <c:v>-5.8906690000000008</c:v>
                </c:pt>
                <c:pt idx="5">
                  <c:v>-4.4522750000000002</c:v>
                </c:pt>
                <c:pt idx="6">
                  <c:v>-3.409535</c:v>
                </c:pt>
                <c:pt idx="7">
                  <c:v>-2.7759390000000006</c:v>
                </c:pt>
                <c:pt idx="8">
                  <c:v>-2.4609390000000002</c:v>
                </c:pt>
                <c:pt idx="9">
                  <c:v>-2.0862430000000001</c:v>
                </c:pt>
                <c:pt idx="10">
                  <c:v>-1.875448</c:v>
                </c:pt>
                <c:pt idx="11">
                  <c:v>-1.6686270000000001</c:v>
                </c:pt>
                <c:pt idx="12">
                  <c:v>-1.4908879999999998</c:v>
                </c:pt>
                <c:pt idx="13">
                  <c:v>-1.3602179999999997</c:v>
                </c:pt>
                <c:pt idx="14">
                  <c:v>-1.2854919999999999</c:v>
                </c:pt>
                <c:pt idx="15">
                  <c:v>-1.1460320000000002</c:v>
                </c:pt>
                <c:pt idx="16">
                  <c:v>-1.0228269999999999</c:v>
                </c:pt>
                <c:pt idx="17">
                  <c:v>-0.97260900000000006</c:v>
                </c:pt>
                <c:pt idx="18">
                  <c:v>-0.90788399999999991</c:v>
                </c:pt>
                <c:pt idx="19">
                  <c:v>-0.82597599999999982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Chg_T!$A$6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Chg_T!$B$6:$U$6</c:f>
              <c:numCache>
                <c:formatCode>General</c:formatCode>
                <c:ptCount val="20"/>
                <c:pt idx="0">
                  <c:v>-8.3544109999999989</c:v>
                </c:pt>
                <c:pt idx="1">
                  <c:v>-4.4085539999999996</c:v>
                </c:pt>
                <c:pt idx="2">
                  <c:v>-2.3127329999999997</c:v>
                </c:pt>
                <c:pt idx="3">
                  <c:v>-1.5140373</c:v>
                </c:pt>
                <c:pt idx="4">
                  <c:v>-1.0259227</c:v>
                </c:pt>
                <c:pt idx="5">
                  <c:v>-0.74544189999999999</c:v>
                </c:pt>
                <c:pt idx="6">
                  <c:v>-0.5571235000000001</c:v>
                </c:pt>
                <c:pt idx="7">
                  <c:v>-0.43715680000000001</c:v>
                </c:pt>
                <c:pt idx="8">
                  <c:v>-0.38277619999999996</c:v>
                </c:pt>
                <c:pt idx="9">
                  <c:v>-0.32505790000000001</c:v>
                </c:pt>
                <c:pt idx="10">
                  <c:v>-0.30129379999999994</c:v>
                </c:pt>
                <c:pt idx="11">
                  <c:v>-0.25742999999999999</c:v>
                </c:pt>
                <c:pt idx="12">
                  <c:v>-0.2548301</c:v>
                </c:pt>
                <c:pt idx="13">
                  <c:v>-0.2375505</c:v>
                </c:pt>
                <c:pt idx="14">
                  <c:v>-0.22009820000000002</c:v>
                </c:pt>
                <c:pt idx="15">
                  <c:v>-0.18273020000000001</c:v>
                </c:pt>
                <c:pt idx="16">
                  <c:v>-0.18279239999999997</c:v>
                </c:pt>
                <c:pt idx="17">
                  <c:v>-0.16946850000000002</c:v>
                </c:pt>
                <c:pt idx="18">
                  <c:v>-0.1391877</c:v>
                </c:pt>
                <c:pt idx="19">
                  <c:v>-0.13927630000000002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Chg_T!$A$7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Chg_T!$B$7:$U$7</c:f>
              <c:numCache>
                <c:formatCode>General</c:formatCode>
                <c:ptCount val="20"/>
                <c:pt idx="0">
                  <c:v>-8.1749570000000009</c:v>
                </c:pt>
                <c:pt idx="1">
                  <c:v>-4.3512370000000002</c:v>
                </c:pt>
                <c:pt idx="2">
                  <c:v>-2.2893880000000002</c:v>
                </c:pt>
                <c:pt idx="3">
                  <c:v>-1.4015530000000003</c:v>
                </c:pt>
                <c:pt idx="4">
                  <c:v>-0.96836279999999986</c:v>
                </c:pt>
                <c:pt idx="5">
                  <c:v>-0.75864169999999997</c:v>
                </c:pt>
                <c:pt idx="6">
                  <c:v>-0.58933520000000006</c:v>
                </c:pt>
                <c:pt idx="7">
                  <c:v>-0.46366289999999988</c:v>
                </c:pt>
                <c:pt idx="8">
                  <c:v>-0.41093030000000003</c:v>
                </c:pt>
                <c:pt idx="9">
                  <c:v>-0.38115320000000003</c:v>
                </c:pt>
                <c:pt idx="10">
                  <c:v>-0.2952997</c:v>
                </c:pt>
                <c:pt idx="11">
                  <c:v>-0.28422440000000004</c:v>
                </c:pt>
                <c:pt idx="12">
                  <c:v>-0.2293364</c:v>
                </c:pt>
                <c:pt idx="13">
                  <c:v>-0.22551249999999995</c:v>
                </c:pt>
                <c:pt idx="14">
                  <c:v>-0.20731179999999999</c:v>
                </c:pt>
                <c:pt idx="15">
                  <c:v>-0.21235469999999998</c:v>
                </c:pt>
                <c:pt idx="16">
                  <c:v>-0.206485</c:v>
                </c:pt>
                <c:pt idx="17">
                  <c:v>-0.16427949999999997</c:v>
                </c:pt>
                <c:pt idx="18">
                  <c:v>-0.15402890000000002</c:v>
                </c:pt>
                <c:pt idx="19">
                  <c:v>-0.1462302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Chg_T!$A$8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Chg_T!$B$8:$U$8</c:f>
              <c:numCache>
                <c:formatCode>General</c:formatCode>
                <c:ptCount val="20"/>
                <c:pt idx="0">
                  <c:v>-9.0997560000000011</c:v>
                </c:pt>
                <c:pt idx="1">
                  <c:v>-5.1304069999999999</c:v>
                </c:pt>
                <c:pt idx="2">
                  <c:v>-2.6576560000000002</c:v>
                </c:pt>
                <c:pt idx="3">
                  <c:v>-1.734181</c:v>
                </c:pt>
                <c:pt idx="4">
                  <c:v>-1.2298189000000002</c:v>
                </c:pt>
                <c:pt idx="5">
                  <c:v>-0.915628</c:v>
                </c:pt>
                <c:pt idx="6">
                  <c:v>-0.70617190000000007</c:v>
                </c:pt>
                <c:pt idx="7">
                  <c:v>-0.57992399999999988</c:v>
                </c:pt>
                <c:pt idx="8">
                  <c:v>-0.50537889999999996</c:v>
                </c:pt>
                <c:pt idx="9">
                  <c:v>-0.4338418</c:v>
                </c:pt>
                <c:pt idx="10">
                  <c:v>-0.39078099999999999</c:v>
                </c:pt>
                <c:pt idx="11">
                  <c:v>-0.36553089999999999</c:v>
                </c:pt>
                <c:pt idx="12">
                  <c:v>-0.30708429999999998</c:v>
                </c:pt>
                <c:pt idx="13">
                  <c:v>-0.27352799999999999</c:v>
                </c:pt>
                <c:pt idx="14">
                  <c:v>-0.22559529999999997</c:v>
                </c:pt>
                <c:pt idx="15">
                  <c:v>-0.21140200000000001</c:v>
                </c:pt>
                <c:pt idx="16">
                  <c:v>-0.1890761</c:v>
                </c:pt>
                <c:pt idx="17">
                  <c:v>-0.1722997</c:v>
                </c:pt>
                <c:pt idx="18">
                  <c:v>-0.15944400000000003</c:v>
                </c:pt>
                <c:pt idx="19">
                  <c:v>-0.14565870000000003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Chg_T!$A$9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Chg_T!$B$9:$U$9</c:f>
              <c:numCache>
                <c:formatCode>General</c:formatCode>
                <c:ptCount val="20"/>
                <c:pt idx="0">
                  <c:v>-8.4052930000000003</c:v>
                </c:pt>
                <c:pt idx="1">
                  <c:v>-4.620533</c:v>
                </c:pt>
                <c:pt idx="2">
                  <c:v>-2.356379</c:v>
                </c:pt>
                <c:pt idx="3">
                  <c:v>-1.4059520000000001</c:v>
                </c:pt>
                <c:pt idx="4">
                  <c:v>-0.9758671000000001</c:v>
                </c:pt>
                <c:pt idx="5">
                  <c:v>-0.7079508000000001</c:v>
                </c:pt>
                <c:pt idx="6">
                  <c:v>-0.58601740000000002</c:v>
                </c:pt>
                <c:pt idx="7">
                  <c:v>-0.47428150000000002</c:v>
                </c:pt>
                <c:pt idx="8">
                  <c:v>-0.39013159999999997</c:v>
                </c:pt>
                <c:pt idx="9">
                  <c:v>-0.35297669999999992</c:v>
                </c:pt>
                <c:pt idx="10">
                  <c:v>-0.30885299999999999</c:v>
                </c:pt>
                <c:pt idx="11">
                  <c:v>-0.25418280000000004</c:v>
                </c:pt>
                <c:pt idx="12">
                  <c:v>-0.23663819999999997</c:v>
                </c:pt>
                <c:pt idx="13">
                  <c:v>-0.2062619</c:v>
                </c:pt>
                <c:pt idx="14">
                  <c:v>-0.18907190000000001</c:v>
                </c:pt>
                <c:pt idx="15">
                  <c:v>-0.17413729999999999</c:v>
                </c:pt>
                <c:pt idx="16">
                  <c:v>-0.15071079999999998</c:v>
                </c:pt>
                <c:pt idx="17">
                  <c:v>-0.13362260000000004</c:v>
                </c:pt>
                <c:pt idx="18">
                  <c:v>-0.1128651</c:v>
                </c:pt>
                <c:pt idx="19">
                  <c:v>-0.1170465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Chg_T!$A$10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Chg_T!$B$10:$U$10</c:f>
              <c:numCache>
                <c:formatCode>General</c:formatCode>
                <c:ptCount val="20"/>
                <c:pt idx="0">
                  <c:v>-12.167042</c:v>
                </c:pt>
                <c:pt idx="1">
                  <c:v>-6.41465</c:v>
                </c:pt>
                <c:pt idx="2">
                  <c:v>-3.1827239999999999</c:v>
                </c:pt>
                <c:pt idx="3">
                  <c:v>-1.9090589999999998</c:v>
                </c:pt>
                <c:pt idx="4">
                  <c:v>-1.2291030000000001</c:v>
                </c:pt>
                <c:pt idx="5">
                  <c:v>-0.87472499999999997</c:v>
                </c:pt>
                <c:pt idx="6">
                  <c:v>-0.61643750000000008</c:v>
                </c:pt>
                <c:pt idx="7">
                  <c:v>-0.44326450000000006</c:v>
                </c:pt>
                <c:pt idx="8">
                  <c:v>-0.38160439999999995</c:v>
                </c:pt>
                <c:pt idx="9">
                  <c:v>-0.32455230000000002</c:v>
                </c:pt>
                <c:pt idx="10">
                  <c:v>-0.31343870000000007</c:v>
                </c:pt>
                <c:pt idx="11">
                  <c:v>-0.2709781</c:v>
                </c:pt>
                <c:pt idx="12">
                  <c:v>-0.23353420000000003</c:v>
                </c:pt>
                <c:pt idx="13">
                  <c:v>-0.19774730000000007</c:v>
                </c:pt>
                <c:pt idx="14">
                  <c:v>-0.19109119999999996</c:v>
                </c:pt>
                <c:pt idx="15">
                  <c:v>-0.17375469999999998</c:v>
                </c:pt>
                <c:pt idx="16">
                  <c:v>-0.15957669999999996</c:v>
                </c:pt>
                <c:pt idx="17">
                  <c:v>-0.11994550000000004</c:v>
                </c:pt>
                <c:pt idx="18">
                  <c:v>-0.12789480000000003</c:v>
                </c:pt>
                <c:pt idx="19">
                  <c:v>-0.11976439999999999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Chg_T!$A$11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Chg_T!$B$11:$U$11</c:f>
              <c:numCache>
                <c:formatCode>General</c:formatCode>
                <c:ptCount val="20"/>
                <c:pt idx="0">
                  <c:v>-12.660939000000001</c:v>
                </c:pt>
                <c:pt idx="1">
                  <c:v>-6.7922580000000004</c:v>
                </c:pt>
                <c:pt idx="2">
                  <c:v>-3.417008</c:v>
                </c:pt>
                <c:pt idx="3">
                  <c:v>-2.0191080000000001</c:v>
                </c:pt>
                <c:pt idx="4">
                  <c:v>-1.3451759999999997</c:v>
                </c:pt>
                <c:pt idx="5">
                  <c:v>-0.97554800000000008</c:v>
                </c:pt>
                <c:pt idx="6">
                  <c:v>-0.72795100000000001</c:v>
                </c:pt>
                <c:pt idx="7">
                  <c:v>-0.50021759999999993</c:v>
                </c:pt>
                <c:pt idx="8">
                  <c:v>-0.43425939999999996</c:v>
                </c:pt>
                <c:pt idx="9">
                  <c:v>-0.31599729999999993</c:v>
                </c:pt>
                <c:pt idx="10">
                  <c:v>-0.30964210000000003</c:v>
                </c:pt>
                <c:pt idx="11">
                  <c:v>-0.24997439999999993</c:v>
                </c:pt>
                <c:pt idx="12">
                  <c:v>-0.18281459999999994</c:v>
                </c:pt>
                <c:pt idx="13">
                  <c:v>-0.15848259999999992</c:v>
                </c:pt>
                <c:pt idx="14">
                  <c:v>-0.15346309999999996</c:v>
                </c:pt>
                <c:pt idx="15">
                  <c:v>-0.10784589999999999</c:v>
                </c:pt>
                <c:pt idx="16">
                  <c:v>-9.359679999999998E-2</c:v>
                </c:pt>
                <c:pt idx="17">
                  <c:v>-7.8103599999999995E-2</c:v>
                </c:pt>
                <c:pt idx="18">
                  <c:v>-4.938229999999999E-2</c:v>
                </c:pt>
                <c:pt idx="19">
                  <c:v>-6.227309999999997E-2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Chg_T!$A$12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Chg_T!$B$12:$U$12</c:f>
              <c:numCache>
                <c:formatCode>General</c:formatCode>
                <c:ptCount val="20"/>
                <c:pt idx="0">
                  <c:v>-10.107671</c:v>
                </c:pt>
                <c:pt idx="1">
                  <c:v>-5.7205619999999993</c:v>
                </c:pt>
                <c:pt idx="2">
                  <c:v>-3.1487259999999999</c:v>
                </c:pt>
                <c:pt idx="3">
                  <c:v>-2.1698395000000001</c:v>
                </c:pt>
                <c:pt idx="4">
                  <c:v>-1.5897621999999998</c:v>
                </c:pt>
                <c:pt idx="5">
                  <c:v>-1.2394341</c:v>
                </c:pt>
                <c:pt idx="6">
                  <c:v>-1.0774269999999999</c:v>
                </c:pt>
                <c:pt idx="7">
                  <c:v>-0.89844970000000002</c:v>
                </c:pt>
                <c:pt idx="8">
                  <c:v>-0.7932013</c:v>
                </c:pt>
                <c:pt idx="9">
                  <c:v>-0.71051599999999993</c:v>
                </c:pt>
                <c:pt idx="10">
                  <c:v>-0.67036919999999989</c:v>
                </c:pt>
                <c:pt idx="11">
                  <c:v>-0.62296409999999991</c:v>
                </c:pt>
                <c:pt idx="12">
                  <c:v>-0.58432209999999996</c:v>
                </c:pt>
                <c:pt idx="13">
                  <c:v>-0.53630370000000005</c:v>
                </c:pt>
                <c:pt idx="14">
                  <c:v>-0.49049670000000001</c:v>
                </c:pt>
                <c:pt idx="15">
                  <c:v>-0.46560500000000005</c:v>
                </c:pt>
                <c:pt idx="16">
                  <c:v>-0.45242290000000007</c:v>
                </c:pt>
                <c:pt idx="17">
                  <c:v>-0.4125318</c:v>
                </c:pt>
                <c:pt idx="18">
                  <c:v>-0.38699800000000006</c:v>
                </c:pt>
                <c:pt idx="19">
                  <c:v>-0.38515670000000002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Chg_T!$A$13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Chg_T!$B$13:$U$13</c:f>
              <c:numCache>
                <c:formatCode>General</c:formatCode>
                <c:ptCount val="20"/>
                <c:pt idx="0">
                  <c:v>-10.567741</c:v>
                </c:pt>
                <c:pt idx="1">
                  <c:v>-6.1987779999999999</c:v>
                </c:pt>
                <c:pt idx="2">
                  <c:v>-3.5229360000000005</c:v>
                </c:pt>
                <c:pt idx="3">
                  <c:v>-2.3437207</c:v>
                </c:pt>
                <c:pt idx="4">
                  <c:v>-1.7360639999999998</c:v>
                </c:pt>
                <c:pt idx="5">
                  <c:v>-1.3553951</c:v>
                </c:pt>
                <c:pt idx="6">
                  <c:v>-1.0830270999999998</c:v>
                </c:pt>
                <c:pt idx="7">
                  <c:v>-0.90171349999999995</c:v>
                </c:pt>
                <c:pt idx="8">
                  <c:v>-0.7905932</c:v>
                </c:pt>
                <c:pt idx="9">
                  <c:v>-0.72166920000000001</c:v>
                </c:pt>
                <c:pt idx="10">
                  <c:v>-0.6565976</c:v>
                </c:pt>
                <c:pt idx="11">
                  <c:v>-0.61376850000000005</c:v>
                </c:pt>
                <c:pt idx="12">
                  <c:v>-0.56705559999999999</c:v>
                </c:pt>
                <c:pt idx="13">
                  <c:v>-0.53513189999999999</c:v>
                </c:pt>
                <c:pt idx="14">
                  <c:v>-0.47540390000000005</c:v>
                </c:pt>
                <c:pt idx="15">
                  <c:v>-0.4544724</c:v>
                </c:pt>
                <c:pt idx="16">
                  <c:v>-0.42004850000000005</c:v>
                </c:pt>
                <c:pt idx="17">
                  <c:v>-0.39691339999999997</c:v>
                </c:pt>
                <c:pt idx="18">
                  <c:v>-0.38110769999999999</c:v>
                </c:pt>
                <c:pt idx="19">
                  <c:v>-0.3556381999999999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Chg_T!$A$14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Chg_T!$B$14:$U$14</c:f>
              <c:numCache>
                <c:formatCode>General</c:formatCode>
                <c:ptCount val="20"/>
                <c:pt idx="0">
                  <c:v>-9.5976309999999998</c:v>
                </c:pt>
                <c:pt idx="1">
                  <c:v>-5.103116</c:v>
                </c:pt>
                <c:pt idx="2">
                  <c:v>-2.5911719999999994</c:v>
                </c:pt>
                <c:pt idx="3">
                  <c:v>-1.5660650000000003</c:v>
                </c:pt>
                <c:pt idx="4">
                  <c:v>-1.1560010000000001</c:v>
                </c:pt>
                <c:pt idx="5">
                  <c:v>-0.86720980000000003</c:v>
                </c:pt>
                <c:pt idx="6">
                  <c:v>-0.68445739999999999</c:v>
                </c:pt>
                <c:pt idx="7">
                  <c:v>-0.55843110000000007</c:v>
                </c:pt>
                <c:pt idx="8">
                  <c:v>-0.45671950000000006</c:v>
                </c:pt>
                <c:pt idx="9">
                  <c:v>-0.42447800000000002</c:v>
                </c:pt>
                <c:pt idx="10">
                  <c:v>-0.40002690000000002</c:v>
                </c:pt>
                <c:pt idx="11">
                  <c:v>-0.35988049999999999</c:v>
                </c:pt>
                <c:pt idx="12">
                  <c:v>-0.32755020000000001</c:v>
                </c:pt>
                <c:pt idx="13">
                  <c:v>-0.29654770000000003</c:v>
                </c:pt>
                <c:pt idx="14">
                  <c:v>-0.24239419999999995</c:v>
                </c:pt>
                <c:pt idx="15">
                  <c:v>-0.25249159999999998</c:v>
                </c:pt>
                <c:pt idx="16">
                  <c:v>-0.24988519999999997</c:v>
                </c:pt>
                <c:pt idx="17">
                  <c:v>-0.25137419999999994</c:v>
                </c:pt>
                <c:pt idx="18">
                  <c:v>-0.25521839999999996</c:v>
                </c:pt>
                <c:pt idx="19">
                  <c:v>-0.23869679999999999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Chg_T!$A$15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Chg_T!$B$15:$U$15</c:f>
              <c:numCache>
                <c:formatCode>General</c:formatCode>
                <c:ptCount val="20"/>
                <c:pt idx="0">
                  <c:v>-16.807871999999996</c:v>
                </c:pt>
                <c:pt idx="1">
                  <c:v>-10.008221000000001</c:v>
                </c:pt>
                <c:pt idx="2">
                  <c:v>-5.3520830000000004</c:v>
                </c:pt>
                <c:pt idx="3">
                  <c:v>-3.2283519999999997</c:v>
                </c:pt>
                <c:pt idx="4">
                  <c:v>-2.3611890000000004</c:v>
                </c:pt>
                <c:pt idx="5">
                  <c:v>-1.835467</c:v>
                </c:pt>
                <c:pt idx="6">
                  <c:v>-1.471034</c:v>
                </c:pt>
                <c:pt idx="7">
                  <c:v>-1.2636180000000001</c:v>
                </c:pt>
                <c:pt idx="8">
                  <c:v>-1.0525690000000001</c:v>
                </c:pt>
                <c:pt idx="9">
                  <c:v>-0.92852300000000021</c:v>
                </c:pt>
                <c:pt idx="10">
                  <c:v>-0.80718600000000018</c:v>
                </c:pt>
                <c:pt idx="11">
                  <c:v>-0.66313400000000011</c:v>
                </c:pt>
                <c:pt idx="12">
                  <c:v>-0.60478499999999991</c:v>
                </c:pt>
                <c:pt idx="13">
                  <c:v>-0.62721300000000002</c:v>
                </c:pt>
                <c:pt idx="14">
                  <c:v>-0.54948100000000011</c:v>
                </c:pt>
                <c:pt idx="15">
                  <c:v>-0.55914500000000011</c:v>
                </c:pt>
                <c:pt idx="16">
                  <c:v>-0.49594420000000006</c:v>
                </c:pt>
                <c:pt idx="17">
                  <c:v>-0.44427900000000009</c:v>
                </c:pt>
                <c:pt idx="18">
                  <c:v>-0.41760280000000005</c:v>
                </c:pt>
                <c:pt idx="19">
                  <c:v>-0.37191269999999998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Chg_T!$A$16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Chg_T!$B$16:$U$16</c:f>
              <c:numCache>
                <c:formatCode>General</c:formatCode>
                <c:ptCount val="20"/>
                <c:pt idx="0">
                  <c:v>-23.321916999999999</c:v>
                </c:pt>
                <c:pt idx="1">
                  <c:v>-12.804069</c:v>
                </c:pt>
                <c:pt idx="2">
                  <c:v>-6.3965779999999999</c:v>
                </c:pt>
                <c:pt idx="3">
                  <c:v>-3.9170590000000001</c:v>
                </c:pt>
                <c:pt idx="4">
                  <c:v>-2.7802229999999999</c:v>
                </c:pt>
                <c:pt idx="5">
                  <c:v>-2.017166</c:v>
                </c:pt>
                <c:pt idx="6">
                  <c:v>-1.5636749999999999</c:v>
                </c:pt>
                <c:pt idx="7">
                  <c:v>-1.2811189999999999</c:v>
                </c:pt>
                <c:pt idx="8">
                  <c:v>-1.095996</c:v>
                </c:pt>
                <c:pt idx="9">
                  <c:v>-0.89666500000000005</c:v>
                </c:pt>
                <c:pt idx="10">
                  <c:v>-0.78132600000000019</c:v>
                </c:pt>
                <c:pt idx="11">
                  <c:v>-0.66592699999999994</c:v>
                </c:pt>
                <c:pt idx="12">
                  <c:v>-0.61899080000000006</c:v>
                </c:pt>
                <c:pt idx="13">
                  <c:v>-0.5783465000000001</c:v>
                </c:pt>
                <c:pt idx="14">
                  <c:v>-0.55166340000000003</c:v>
                </c:pt>
                <c:pt idx="15">
                  <c:v>-0.46026310000000004</c:v>
                </c:pt>
                <c:pt idx="16">
                  <c:v>-0.40756610000000004</c:v>
                </c:pt>
                <c:pt idx="17">
                  <c:v>-0.39267130000000006</c:v>
                </c:pt>
                <c:pt idx="18">
                  <c:v>-0.38119600000000009</c:v>
                </c:pt>
                <c:pt idx="19">
                  <c:v>-0.4013504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Chg_T!$A$17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Chg_T!$B$17:$U$17</c:f>
              <c:numCache>
                <c:formatCode>General</c:formatCode>
                <c:ptCount val="20"/>
                <c:pt idx="0">
                  <c:v>-24.436512</c:v>
                </c:pt>
                <c:pt idx="1">
                  <c:v>-13.046405999999998</c:v>
                </c:pt>
                <c:pt idx="2">
                  <c:v>-6.4422719999999991</c:v>
                </c:pt>
                <c:pt idx="3">
                  <c:v>-4.0657150000000009</c:v>
                </c:pt>
                <c:pt idx="4">
                  <c:v>-2.8341669999999994</c:v>
                </c:pt>
                <c:pt idx="5">
                  <c:v>-2.1203019999999997</c:v>
                </c:pt>
                <c:pt idx="6">
                  <c:v>-1.7341679999999999</c:v>
                </c:pt>
                <c:pt idx="7">
                  <c:v>-1.3891090000000001</c:v>
                </c:pt>
                <c:pt idx="8">
                  <c:v>-1.184571</c:v>
                </c:pt>
                <c:pt idx="9">
                  <c:v>-1.0736670000000001</c:v>
                </c:pt>
                <c:pt idx="10">
                  <c:v>-0.93573039999999996</c:v>
                </c:pt>
                <c:pt idx="11">
                  <c:v>-0.85444890000000007</c:v>
                </c:pt>
                <c:pt idx="12">
                  <c:v>-0.76293279999999986</c:v>
                </c:pt>
                <c:pt idx="13">
                  <c:v>-0.65876039999999991</c:v>
                </c:pt>
                <c:pt idx="14">
                  <c:v>-0.64951510000000001</c:v>
                </c:pt>
                <c:pt idx="15">
                  <c:v>-0.61018200000000011</c:v>
                </c:pt>
                <c:pt idx="16">
                  <c:v>-0.54171039999999993</c:v>
                </c:pt>
                <c:pt idx="17">
                  <c:v>-0.52225259999999984</c:v>
                </c:pt>
                <c:pt idx="18">
                  <c:v>-0.49699589999999993</c:v>
                </c:pt>
                <c:pt idx="19">
                  <c:v>-0.46910569999999996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Chg_T!$A$18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Chg_T!$B$18:$U$18</c:f>
              <c:numCache>
                <c:formatCode>General</c:formatCode>
                <c:ptCount val="20"/>
                <c:pt idx="0">
                  <c:v>-22.871687000000001</c:v>
                </c:pt>
                <c:pt idx="1">
                  <c:v>-11.741053000000001</c:v>
                </c:pt>
                <c:pt idx="2">
                  <c:v>-5.5348230000000003</c:v>
                </c:pt>
                <c:pt idx="3">
                  <c:v>-3.3768329999999995</c:v>
                </c:pt>
                <c:pt idx="4">
                  <c:v>-2.2376819999999995</c:v>
                </c:pt>
                <c:pt idx="5">
                  <c:v>-1.6918259999999998</c:v>
                </c:pt>
                <c:pt idx="6">
                  <c:v>-1.307669</c:v>
                </c:pt>
                <c:pt idx="7">
                  <c:v>-1.1516230000000001</c:v>
                </c:pt>
                <c:pt idx="8">
                  <c:v>-0.98535400000000006</c:v>
                </c:pt>
                <c:pt idx="9">
                  <c:v>-0.87833999999999968</c:v>
                </c:pt>
                <c:pt idx="10">
                  <c:v>-0.751695</c:v>
                </c:pt>
                <c:pt idx="11">
                  <c:v>-0.67513500000000004</c:v>
                </c:pt>
                <c:pt idx="12">
                  <c:v>-0.55563040000000008</c:v>
                </c:pt>
                <c:pt idx="13">
                  <c:v>-0.50888489999999997</c:v>
                </c:pt>
                <c:pt idx="14">
                  <c:v>-0.52035399999999998</c:v>
                </c:pt>
                <c:pt idx="15">
                  <c:v>-0.48190710000000003</c:v>
                </c:pt>
                <c:pt idx="16">
                  <c:v>-0.44571819999999995</c:v>
                </c:pt>
                <c:pt idx="17">
                  <c:v>-0.44078859999999997</c:v>
                </c:pt>
                <c:pt idx="18">
                  <c:v>-0.43638639999999995</c:v>
                </c:pt>
                <c:pt idx="19">
                  <c:v>-0.42753920000000001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Chg_T!$A$19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Chg_T!$B$19:$U$19</c:f>
              <c:numCache>
                <c:formatCode>General</c:formatCode>
                <c:ptCount val="20"/>
                <c:pt idx="0">
                  <c:v>-35.808230000000002</c:v>
                </c:pt>
                <c:pt idx="1">
                  <c:v>-21.296750000000003</c:v>
                </c:pt>
                <c:pt idx="2">
                  <c:v>-10.998386999999999</c:v>
                </c:pt>
                <c:pt idx="3">
                  <c:v>-6.8281409999999996</c:v>
                </c:pt>
                <c:pt idx="4">
                  <c:v>-4.7334900000000006</c:v>
                </c:pt>
                <c:pt idx="5">
                  <c:v>-3.452693</c:v>
                </c:pt>
                <c:pt idx="6">
                  <c:v>-2.6141170000000002</c:v>
                </c:pt>
                <c:pt idx="7">
                  <c:v>-2.1438510000000002</c:v>
                </c:pt>
                <c:pt idx="8">
                  <c:v>-1.8413949999999994</c:v>
                </c:pt>
                <c:pt idx="9">
                  <c:v>-1.5227360000000001</c:v>
                </c:pt>
                <c:pt idx="10">
                  <c:v>-1.2865579999999999</c:v>
                </c:pt>
                <c:pt idx="11">
                  <c:v>-1.1300430000000001</c:v>
                </c:pt>
                <c:pt idx="12">
                  <c:v>-0.99463599999999985</c:v>
                </c:pt>
                <c:pt idx="13">
                  <c:v>-0.90861300000000012</c:v>
                </c:pt>
                <c:pt idx="14">
                  <c:v>-0.85161300000000018</c:v>
                </c:pt>
                <c:pt idx="15">
                  <c:v>-0.77340999999999993</c:v>
                </c:pt>
                <c:pt idx="16">
                  <c:v>-0.75529499999999983</c:v>
                </c:pt>
                <c:pt idx="17">
                  <c:v>-0.70019900000000002</c:v>
                </c:pt>
                <c:pt idx="18">
                  <c:v>-0.67185499999999987</c:v>
                </c:pt>
                <c:pt idx="19">
                  <c:v>-0.6275440000000001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Chg_T!$A$20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Chg_T!$B$20:$U$20</c:f>
              <c:numCache>
                <c:formatCode>General</c:formatCode>
                <c:ptCount val="20"/>
                <c:pt idx="0">
                  <c:v>-34.655349999999999</c:v>
                </c:pt>
                <c:pt idx="1">
                  <c:v>-19.584660000000003</c:v>
                </c:pt>
                <c:pt idx="2">
                  <c:v>-10.134259999999999</c:v>
                </c:pt>
                <c:pt idx="3">
                  <c:v>-6.2807329999999997</c:v>
                </c:pt>
                <c:pt idx="4">
                  <c:v>-4.2382289999999996</c:v>
                </c:pt>
                <c:pt idx="5">
                  <c:v>-2.9403549999999994</c:v>
                </c:pt>
                <c:pt idx="6">
                  <c:v>-2.2637140000000002</c:v>
                </c:pt>
                <c:pt idx="7">
                  <c:v>-1.7188749999999997</c:v>
                </c:pt>
                <c:pt idx="8">
                  <c:v>-1.329577</c:v>
                </c:pt>
                <c:pt idx="9">
                  <c:v>-1.1706270000000001</c:v>
                </c:pt>
                <c:pt idx="10">
                  <c:v>-1.0683790000000002</c:v>
                </c:pt>
                <c:pt idx="11">
                  <c:v>-0.84278999999999993</c:v>
                </c:pt>
                <c:pt idx="12">
                  <c:v>-0.75069099999999978</c:v>
                </c:pt>
                <c:pt idx="13">
                  <c:v>-0.67813100000000004</c:v>
                </c:pt>
                <c:pt idx="14">
                  <c:v>-0.57237000000000005</c:v>
                </c:pt>
                <c:pt idx="15">
                  <c:v>-0.49091600000000013</c:v>
                </c:pt>
                <c:pt idx="16">
                  <c:v>-0.45818800000000026</c:v>
                </c:pt>
                <c:pt idx="17">
                  <c:v>-0.40893200000000007</c:v>
                </c:pt>
                <c:pt idx="18">
                  <c:v>-0.36289499999999997</c:v>
                </c:pt>
                <c:pt idx="19">
                  <c:v>-0.34689899999999985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Chg_T!$A$21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Chg_T!$B$21:$U$21</c:f>
              <c:numCache>
                <c:formatCode>General</c:formatCode>
                <c:ptCount val="20"/>
                <c:pt idx="0">
                  <c:v>-34.794849999999997</c:v>
                </c:pt>
                <c:pt idx="1">
                  <c:v>-19.831969999999998</c:v>
                </c:pt>
                <c:pt idx="2">
                  <c:v>-10.313089999999999</c:v>
                </c:pt>
                <c:pt idx="3">
                  <c:v>-6.3647180000000008</c:v>
                </c:pt>
                <c:pt idx="4">
                  <c:v>-4.364533999999999</c:v>
                </c:pt>
                <c:pt idx="5">
                  <c:v>-2.9453230000000001</c:v>
                </c:pt>
                <c:pt idx="6">
                  <c:v>-2.3600089999999994</c:v>
                </c:pt>
                <c:pt idx="7">
                  <c:v>-1.8225569999999998</c:v>
                </c:pt>
                <c:pt idx="8">
                  <c:v>-1.4945540000000004</c:v>
                </c:pt>
                <c:pt idx="9">
                  <c:v>-1.1776790000000004</c:v>
                </c:pt>
                <c:pt idx="10">
                  <c:v>-0.99253100000000005</c:v>
                </c:pt>
                <c:pt idx="11">
                  <c:v>-0.85095600000000005</c:v>
                </c:pt>
                <c:pt idx="12">
                  <c:v>-0.79615800000000014</c:v>
                </c:pt>
                <c:pt idx="13">
                  <c:v>-0.69104699999999997</c:v>
                </c:pt>
                <c:pt idx="14">
                  <c:v>-0.59224299999999985</c:v>
                </c:pt>
                <c:pt idx="15">
                  <c:v>-0.55245499999999992</c:v>
                </c:pt>
                <c:pt idx="16">
                  <c:v>-0.49083900000000003</c:v>
                </c:pt>
                <c:pt idx="17">
                  <c:v>-0.457673</c:v>
                </c:pt>
                <c:pt idx="18">
                  <c:v>-0.40506299999999995</c:v>
                </c:pt>
                <c:pt idx="19">
                  <c:v>-0.32501100000000016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Chg_T!$A$22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Chg_T!$B$22:$U$22</c:f>
              <c:numCache>
                <c:formatCode>General</c:formatCode>
                <c:ptCount val="20"/>
                <c:pt idx="0">
                  <c:v>-36.449280000000002</c:v>
                </c:pt>
                <c:pt idx="1">
                  <c:v>-21.620530000000002</c:v>
                </c:pt>
                <c:pt idx="2">
                  <c:v>-11.642248999999998</c:v>
                </c:pt>
                <c:pt idx="3">
                  <c:v>-7.5007930000000007</c:v>
                </c:pt>
                <c:pt idx="4">
                  <c:v>-5.2458300000000007</c:v>
                </c:pt>
                <c:pt idx="5">
                  <c:v>-3.9017330000000001</c:v>
                </c:pt>
                <c:pt idx="6">
                  <c:v>-3.0134389999999995</c:v>
                </c:pt>
                <c:pt idx="7">
                  <c:v>-2.4454390000000004</c:v>
                </c:pt>
                <c:pt idx="8">
                  <c:v>-1.924569</c:v>
                </c:pt>
                <c:pt idx="9">
                  <c:v>-1.621683</c:v>
                </c:pt>
                <c:pt idx="10">
                  <c:v>-1.2929729999999999</c:v>
                </c:pt>
                <c:pt idx="11">
                  <c:v>-1.2143400000000002</c:v>
                </c:pt>
                <c:pt idx="12">
                  <c:v>-1.0820639999999999</c:v>
                </c:pt>
                <c:pt idx="13">
                  <c:v>-0.92947700000000011</c:v>
                </c:pt>
                <c:pt idx="14">
                  <c:v>-0.80176300000000023</c:v>
                </c:pt>
                <c:pt idx="15">
                  <c:v>-0.72693700000000017</c:v>
                </c:pt>
                <c:pt idx="16">
                  <c:v>-0.63229399999999991</c:v>
                </c:pt>
                <c:pt idx="17">
                  <c:v>-0.58587900000000004</c:v>
                </c:pt>
                <c:pt idx="18">
                  <c:v>-0.5202380000000002</c:v>
                </c:pt>
                <c:pt idx="19">
                  <c:v>-0.48180999999999985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Chg_T!$A$23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Chg_T!$B$23:$U$23</c:f>
              <c:numCache>
                <c:formatCode>General</c:formatCode>
                <c:ptCount val="20"/>
                <c:pt idx="0">
                  <c:v>-35.063720000000004</c:v>
                </c:pt>
                <c:pt idx="1">
                  <c:v>-20.110379999999999</c:v>
                </c:pt>
                <c:pt idx="2">
                  <c:v>-10.472548999999999</c:v>
                </c:pt>
                <c:pt idx="3">
                  <c:v>-6.4902489999999995</c:v>
                </c:pt>
                <c:pt idx="4">
                  <c:v>-4.419486</c:v>
                </c:pt>
                <c:pt idx="5">
                  <c:v>-3.0764179999999994</c:v>
                </c:pt>
                <c:pt idx="6">
                  <c:v>-2.3596289999999995</c:v>
                </c:pt>
                <c:pt idx="7">
                  <c:v>-1.8805319999999996</c:v>
                </c:pt>
                <c:pt idx="8">
                  <c:v>-1.4619699999999995</c:v>
                </c:pt>
                <c:pt idx="9">
                  <c:v>-1.2259759999999997</c:v>
                </c:pt>
                <c:pt idx="10">
                  <c:v>-1.0596179999999999</c:v>
                </c:pt>
                <c:pt idx="11">
                  <c:v>-0.89881399999999978</c:v>
                </c:pt>
                <c:pt idx="12">
                  <c:v>-0.79814100000000021</c:v>
                </c:pt>
                <c:pt idx="13">
                  <c:v>-0.66424299999999969</c:v>
                </c:pt>
                <c:pt idx="14">
                  <c:v>-0.56020200000000009</c:v>
                </c:pt>
                <c:pt idx="15">
                  <c:v>-0.5075550000000002</c:v>
                </c:pt>
                <c:pt idx="16">
                  <c:v>-0.44077100000000002</c:v>
                </c:pt>
                <c:pt idx="17">
                  <c:v>-0.42892399999999986</c:v>
                </c:pt>
                <c:pt idx="18">
                  <c:v>-0.35819000000000001</c:v>
                </c:pt>
                <c:pt idx="19">
                  <c:v>-0.31269199999999997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Chg_T!$A$24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Chg_T!$B$24:$U$24</c:f>
              <c:numCache>
                <c:formatCode>General</c:formatCode>
                <c:ptCount val="20"/>
                <c:pt idx="0">
                  <c:v>-35.589030000000008</c:v>
                </c:pt>
                <c:pt idx="1">
                  <c:v>-21.085760000000001</c:v>
                </c:pt>
                <c:pt idx="2">
                  <c:v>-11.026238000000001</c:v>
                </c:pt>
                <c:pt idx="3">
                  <c:v>-7.0276839999999998</c:v>
                </c:pt>
                <c:pt idx="4">
                  <c:v>-4.9382390000000003</c:v>
                </c:pt>
                <c:pt idx="5">
                  <c:v>-3.3794550000000001</c:v>
                </c:pt>
                <c:pt idx="6">
                  <c:v>-2.5451670000000002</c:v>
                </c:pt>
                <c:pt idx="7">
                  <c:v>-1.8876679999999997</c:v>
                </c:pt>
                <c:pt idx="8">
                  <c:v>-1.631507</c:v>
                </c:pt>
                <c:pt idx="9">
                  <c:v>-1.3977759999999999</c:v>
                </c:pt>
                <c:pt idx="10">
                  <c:v>-1.173244</c:v>
                </c:pt>
                <c:pt idx="11">
                  <c:v>-1.0209339999999998</c:v>
                </c:pt>
                <c:pt idx="12">
                  <c:v>-0.93011000000000021</c:v>
                </c:pt>
                <c:pt idx="13">
                  <c:v>-0.818608</c:v>
                </c:pt>
                <c:pt idx="14">
                  <c:v>-0.78687300000000016</c:v>
                </c:pt>
                <c:pt idx="15">
                  <c:v>-0.71239600000000003</c:v>
                </c:pt>
                <c:pt idx="16">
                  <c:v>-0.62015799999999999</c:v>
                </c:pt>
                <c:pt idx="17">
                  <c:v>-0.56202900000000011</c:v>
                </c:pt>
                <c:pt idx="18">
                  <c:v>-0.52106000000000008</c:v>
                </c:pt>
                <c:pt idx="19">
                  <c:v>-0.4937720000000001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Chg_T!$A$25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Chg_T!$B$25:$U$25</c:f>
              <c:numCache>
                <c:formatCode>General</c:formatCode>
                <c:ptCount val="20"/>
                <c:pt idx="0">
                  <c:v>-35.042019999999994</c:v>
                </c:pt>
                <c:pt idx="1">
                  <c:v>-20.236809999999998</c:v>
                </c:pt>
                <c:pt idx="2">
                  <c:v>-10.484990999999999</c:v>
                </c:pt>
                <c:pt idx="3">
                  <c:v>-6.40306</c:v>
                </c:pt>
                <c:pt idx="4">
                  <c:v>-4.3496319999999997</c:v>
                </c:pt>
                <c:pt idx="5">
                  <c:v>-3.0788869999999999</c:v>
                </c:pt>
                <c:pt idx="6">
                  <c:v>-2.3500670000000001</c:v>
                </c:pt>
                <c:pt idx="7">
                  <c:v>-1.9264560000000004</c:v>
                </c:pt>
                <c:pt idx="8">
                  <c:v>-1.4785340000000002</c:v>
                </c:pt>
                <c:pt idx="9">
                  <c:v>-1.1806200000000002</c:v>
                </c:pt>
                <c:pt idx="10">
                  <c:v>-0.96034100000000011</c:v>
                </c:pt>
                <c:pt idx="11">
                  <c:v>-0.79755799999999999</c:v>
                </c:pt>
                <c:pt idx="12">
                  <c:v>-0.67699099999999968</c:v>
                </c:pt>
                <c:pt idx="13">
                  <c:v>-0.62869299999999995</c:v>
                </c:pt>
                <c:pt idx="14">
                  <c:v>-0.60658999999999996</c:v>
                </c:pt>
                <c:pt idx="15">
                  <c:v>-0.59653200000000006</c:v>
                </c:pt>
                <c:pt idx="16">
                  <c:v>-0.48811099999999974</c:v>
                </c:pt>
                <c:pt idx="17">
                  <c:v>-0.47373100000000012</c:v>
                </c:pt>
                <c:pt idx="18">
                  <c:v>-0.40003900000000003</c:v>
                </c:pt>
                <c:pt idx="19">
                  <c:v>-0.32309799999999989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Chg_T!$A$26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Chg_T!$B$26:$U$26</c:f>
              <c:numCache>
                <c:formatCode>General</c:formatCode>
                <c:ptCount val="20"/>
                <c:pt idx="0">
                  <c:v>-42.310119999999998</c:v>
                </c:pt>
                <c:pt idx="1">
                  <c:v>-20.663450000000001</c:v>
                </c:pt>
                <c:pt idx="2">
                  <c:v>-9.1235330000000019</c:v>
                </c:pt>
                <c:pt idx="3">
                  <c:v>-4.9994919999999992</c:v>
                </c:pt>
                <c:pt idx="4">
                  <c:v>-3.0246589999999998</c:v>
                </c:pt>
                <c:pt idx="5">
                  <c:v>-1.9116629999999999</c:v>
                </c:pt>
                <c:pt idx="6">
                  <c:v>-1.3619350000000003</c:v>
                </c:pt>
                <c:pt idx="7">
                  <c:v>-0.98843100000000028</c:v>
                </c:pt>
                <c:pt idx="8">
                  <c:v>-0.59095699999999995</c:v>
                </c:pt>
                <c:pt idx="9">
                  <c:v>-0.47411300000000001</c:v>
                </c:pt>
                <c:pt idx="10">
                  <c:v>-0.34974000000000016</c:v>
                </c:pt>
                <c:pt idx="11">
                  <c:v>-0.22094299999999989</c:v>
                </c:pt>
                <c:pt idx="12">
                  <c:v>-0.23580600000000018</c:v>
                </c:pt>
                <c:pt idx="13">
                  <c:v>-0.17471100000000006</c:v>
                </c:pt>
                <c:pt idx="14">
                  <c:v>-0.12150000000000016</c:v>
                </c:pt>
                <c:pt idx="15">
                  <c:v>-9.199999999999986E-2</c:v>
                </c:pt>
                <c:pt idx="16">
                  <c:v>-8.9338999999999835E-2</c:v>
                </c:pt>
                <c:pt idx="17">
                  <c:v>-3.6273E-2</c:v>
                </c:pt>
                <c:pt idx="18">
                  <c:v>-1.7577999999999872E-2</c:v>
                </c:pt>
                <c:pt idx="19">
                  <c:v>-2.6998999999999995E-2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Chg_T!$A$27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Chg_T!$B$27:$U$27</c:f>
              <c:numCache>
                <c:formatCode>General</c:formatCode>
                <c:ptCount val="20"/>
                <c:pt idx="0">
                  <c:v>-35.783640000000005</c:v>
                </c:pt>
                <c:pt idx="1">
                  <c:v>-21.40896</c:v>
                </c:pt>
                <c:pt idx="2">
                  <c:v>-11.836955</c:v>
                </c:pt>
                <c:pt idx="3">
                  <c:v>-7.9151669999999994</c:v>
                </c:pt>
                <c:pt idx="4">
                  <c:v>-5.6356230000000007</c:v>
                </c:pt>
                <c:pt idx="5">
                  <c:v>-4.2484599999999997</c:v>
                </c:pt>
                <c:pt idx="6">
                  <c:v>-3.1915399999999998</c:v>
                </c:pt>
                <c:pt idx="7">
                  <c:v>-2.5885720000000001</c:v>
                </c:pt>
                <c:pt idx="8">
                  <c:v>-2.1545350000000005</c:v>
                </c:pt>
                <c:pt idx="9">
                  <c:v>-1.8069209999999996</c:v>
                </c:pt>
                <c:pt idx="10">
                  <c:v>-1.5778530000000002</c:v>
                </c:pt>
                <c:pt idx="11">
                  <c:v>-1.2943030000000002</c:v>
                </c:pt>
                <c:pt idx="12">
                  <c:v>-1.078743</c:v>
                </c:pt>
                <c:pt idx="13">
                  <c:v>-0.94581300000000024</c:v>
                </c:pt>
                <c:pt idx="14">
                  <c:v>-0.90238499999999999</c:v>
                </c:pt>
                <c:pt idx="15">
                  <c:v>-0.85860599999999998</c:v>
                </c:pt>
                <c:pt idx="16">
                  <c:v>-0.79268399999999994</c:v>
                </c:pt>
                <c:pt idx="17">
                  <c:v>-0.73428300000000002</c:v>
                </c:pt>
                <c:pt idx="18">
                  <c:v>-0.67295299999999991</c:v>
                </c:pt>
                <c:pt idx="19">
                  <c:v>-0.611097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Chg_T!$A$28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Chg_T!$B$28:$U$28</c:f>
              <c:numCache>
                <c:formatCode>General</c:formatCode>
                <c:ptCount val="20"/>
                <c:pt idx="0">
                  <c:v>-35.331199999999995</c:v>
                </c:pt>
                <c:pt idx="1">
                  <c:v>-20.46096</c:v>
                </c:pt>
                <c:pt idx="2">
                  <c:v>-10.592530000000002</c:v>
                </c:pt>
                <c:pt idx="3">
                  <c:v>-6.5319789999999998</c:v>
                </c:pt>
                <c:pt idx="4">
                  <c:v>-4.4887360000000003</c:v>
                </c:pt>
                <c:pt idx="5">
                  <c:v>-3.1181030000000005</c:v>
                </c:pt>
                <c:pt idx="6">
                  <c:v>-2.28295</c:v>
                </c:pt>
                <c:pt idx="7">
                  <c:v>-1.755293</c:v>
                </c:pt>
                <c:pt idx="8">
                  <c:v>-1.3577780000000002</c:v>
                </c:pt>
                <c:pt idx="9">
                  <c:v>-1.0241179999999996</c:v>
                </c:pt>
                <c:pt idx="10">
                  <c:v>-0.90476100000000015</c:v>
                </c:pt>
                <c:pt idx="11">
                  <c:v>-0.76452299999999962</c:v>
                </c:pt>
                <c:pt idx="12">
                  <c:v>-0.66638000000000019</c:v>
                </c:pt>
                <c:pt idx="13">
                  <c:v>-0.57883899999999988</c:v>
                </c:pt>
                <c:pt idx="14">
                  <c:v>-0.50740100000000021</c:v>
                </c:pt>
                <c:pt idx="15">
                  <c:v>-0.51795599999999986</c:v>
                </c:pt>
                <c:pt idx="16">
                  <c:v>-0.45866600000000002</c:v>
                </c:pt>
                <c:pt idx="17">
                  <c:v>-0.41082099999999988</c:v>
                </c:pt>
                <c:pt idx="18">
                  <c:v>-0.37430999999999992</c:v>
                </c:pt>
                <c:pt idx="19">
                  <c:v>-0.31614600000000004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Chg_T!$A$29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Chg_T!$B$29:$U$29</c:f>
              <c:numCache>
                <c:formatCode>General</c:formatCode>
                <c:ptCount val="20"/>
                <c:pt idx="0">
                  <c:v>-37.121289999999995</c:v>
                </c:pt>
                <c:pt idx="1">
                  <c:v>-22.021709999999999</c:v>
                </c:pt>
                <c:pt idx="2">
                  <c:v>-11.767650000000001</c:v>
                </c:pt>
                <c:pt idx="3">
                  <c:v>-7.8931079999999998</c:v>
                </c:pt>
                <c:pt idx="4">
                  <c:v>-5.3529449999999992</c:v>
                </c:pt>
                <c:pt idx="5">
                  <c:v>-3.901205</c:v>
                </c:pt>
                <c:pt idx="6">
                  <c:v>-3.0097710000000002</c:v>
                </c:pt>
                <c:pt idx="7">
                  <c:v>-2.3784530000000004</c:v>
                </c:pt>
                <c:pt idx="8">
                  <c:v>-1.9722809999999997</c:v>
                </c:pt>
                <c:pt idx="9">
                  <c:v>-1.7373769999999995</c:v>
                </c:pt>
                <c:pt idx="10">
                  <c:v>-1.4551450000000004</c:v>
                </c:pt>
                <c:pt idx="11">
                  <c:v>-1.367559</c:v>
                </c:pt>
                <c:pt idx="12">
                  <c:v>-1.2727329999999999</c:v>
                </c:pt>
                <c:pt idx="13">
                  <c:v>-1.1968279999999998</c:v>
                </c:pt>
                <c:pt idx="14">
                  <c:v>-1.1244609999999999</c:v>
                </c:pt>
                <c:pt idx="15">
                  <c:v>-1.0322520000000002</c:v>
                </c:pt>
                <c:pt idx="16">
                  <c:v>-0.92773099999999986</c:v>
                </c:pt>
                <c:pt idx="17">
                  <c:v>-0.89321899999999976</c:v>
                </c:pt>
                <c:pt idx="18">
                  <c:v>-0.80276800000000015</c:v>
                </c:pt>
                <c:pt idx="19">
                  <c:v>-0.71122799999999997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Chg_T!$A$30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Chg_T!$B$30:$U$30</c:f>
              <c:numCache>
                <c:formatCode>General</c:formatCode>
                <c:ptCount val="20"/>
                <c:pt idx="0">
                  <c:v>-46.616630000000001</c:v>
                </c:pt>
                <c:pt idx="1">
                  <c:v>-29.529324999999996</c:v>
                </c:pt>
                <c:pt idx="2">
                  <c:v>-17.601900000000001</c:v>
                </c:pt>
                <c:pt idx="3">
                  <c:v>-12.381586</c:v>
                </c:pt>
                <c:pt idx="4">
                  <c:v>-9.1366410000000009</c:v>
                </c:pt>
                <c:pt idx="5">
                  <c:v>-7.0276969999999999</c:v>
                </c:pt>
                <c:pt idx="6">
                  <c:v>-5.704383</c:v>
                </c:pt>
                <c:pt idx="7">
                  <c:v>-4.752796</c:v>
                </c:pt>
                <c:pt idx="8">
                  <c:v>-4.0090639999999995</c:v>
                </c:pt>
                <c:pt idx="9">
                  <c:v>-3.4033579999999999</c:v>
                </c:pt>
                <c:pt idx="10">
                  <c:v>-2.9781812000000003</c:v>
                </c:pt>
                <c:pt idx="11">
                  <c:v>-2.7325606000000002</c:v>
                </c:pt>
                <c:pt idx="12">
                  <c:v>-2.4475169000000001</c:v>
                </c:pt>
                <c:pt idx="13">
                  <c:v>-2.314381</c:v>
                </c:pt>
                <c:pt idx="14">
                  <c:v>-2.1534631000000002</c:v>
                </c:pt>
                <c:pt idx="15">
                  <c:v>-2.0191632999999998</c:v>
                </c:pt>
                <c:pt idx="16">
                  <c:v>-1.8575714999999997</c:v>
                </c:pt>
                <c:pt idx="17">
                  <c:v>-1.7098643</c:v>
                </c:pt>
                <c:pt idx="18">
                  <c:v>-1.5967407</c:v>
                </c:pt>
                <c:pt idx="19">
                  <c:v>-1.4810184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Chg_T!$A$31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Chg_T!$B$31:$U$31</c:f>
              <c:numCache>
                <c:formatCode>General</c:formatCode>
                <c:ptCount val="20"/>
                <c:pt idx="0">
                  <c:v>-44.614600000000003</c:v>
                </c:pt>
                <c:pt idx="1">
                  <c:v>-27.152100000000001</c:v>
                </c:pt>
                <c:pt idx="2">
                  <c:v>-16.026139999999998</c:v>
                </c:pt>
                <c:pt idx="3">
                  <c:v>-10.953377999999999</c:v>
                </c:pt>
                <c:pt idx="4">
                  <c:v>-7.8930880000000005</c:v>
                </c:pt>
                <c:pt idx="5">
                  <c:v>-5.7336349999999996</c:v>
                </c:pt>
                <c:pt idx="6">
                  <c:v>-4.4073200000000003</c:v>
                </c:pt>
                <c:pt idx="7">
                  <c:v>-3.4682550000000001</c:v>
                </c:pt>
                <c:pt idx="8">
                  <c:v>-2.8489970000000002</c:v>
                </c:pt>
                <c:pt idx="9">
                  <c:v>-2.4220040000000003</c:v>
                </c:pt>
                <c:pt idx="10">
                  <c:v>-2.0382540000000002</c:v>
                </c:pt>
                <c:pt idx="11">
                  <c:v>-1.6962470000000001</c:v>
                </c:pt>
                <c:pt idx="12">
                  <c:v>-1.4947449999999998</c:v>
                </c:pt>
                <c:pt idx="13">
                  <c:v>-1.3801599999999998</c:v>
                </c:pt>
                <c:pt idx="14">
                  <c:v>-1.2258199999999999</c:v>
                </c:pt>
                <c:pt idx="15">
                  <c:v>-1.1492799999999999</c:v>
                </c:pt>
                <c:pt idx="16">
                  <c:v>-1.032851</c:v>
                </c:pt>
                <c:pt idx="17">
                  <c:v>-0.99652799999999986</c:v>
                </c:pt>
                <c:pt idx="18">
                  <c:v>-0.93240100000000004</c:v>
                </c:pt>
                <c:pt idx="19">
                  <c:v>-0.88944099999999993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Chg_T!$A$32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Chg_T!$B$32:$U$32</c:f>
              <c:numCache>
                <c:formatCode>General</c:formatCode>
                <c:ptCount val="20"/>
                <c:pt idx="0">
                  <c:v>-56.195619999999998</c:v>
                </c:pt>
                <c:pt idx="1">
                  <c:v>-31.205600000000004</c:v>
                </c:pt>
                <c:pt idx="2">
                  <c:v>-15.983092000000001</c:v>
                </c:pt>
                <c:pt idx="3">
                  <c:v>-9.9680080000000011</c:v>
                </c:pt>
                <c:pt idx="4">
                  <c:v>-6.6585740000000007</c:v>
                </c:pt>
                <c:pt idx="5">
                  <c:v>-5.1712629999999997</c:v>
                </c:pt>
                <c:pt idx="6">
                  <c:v>-3.9986480000000002</c:v>
                </c:pt>
                <c:pt idx="7">
                  <c:v>-3.1311789999999995</c:v>
                </c:pt>
                <c:pt idx="8">
                  <c:v>-2.6629229999999997</c:v>
                </c:pt>
                <c:pt idx="9">
                  <c:v>-2.2589160000000001</c:v>
                </c:pt>
                <c:pt idx="10">
                  <c:v>-1.945441</c:v>
                </c:pt>
                <c:pt idx="11">
                  <c:v>-1.6962189999999999</c:v>
                </c:pt>
                <c:pt idx="12">
                  <c:v>-1.5338299999999998</c:v>
                </c:pt>
                <c:pt idx="13">
                  <c:v>-1.3668149999999999</c:v>
                </c:pt>
                <c:pt idx="14">
                  <c:v>-1.2256399999999998</c:v>
                </c:pt>
                <c:pt idx="15">
                  <c:v>-1.0582579999999999</c:v>
                </c:pt>
                <c:pt idx="16">
                  <c:v>-0.90997300000000014</c:v>
                </c:pt>
                <c:pt idx="17">
                  <c:v>-0.85959800000000008</c:v>
                </c:pt>
                <c:pt idx="18">
                  <c:v>-0.83913179999999998</c:v>
                </c:pt>
                <c:pt idx="19">
                  <c:v>-0.74905140000000003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Chg_T!$A$33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Chg_T!$B$33:$U$33</c:f>
              <c:numCache>
                <c:formatCode>General</c:formatCode>
                <c:ptCount val="20"/>
                <c:pt idx="0">
                  <c:v>-55.704879999999996</c:v>
                </c:pt>
                <c:pt idx="1">
                  <c:v>-29.596880000000006</c:v>
                </c:pt>
                <c:pt idx="2">
                  <c:v>-14.998115000000002</c:v>
                </c:pt>
                <c:pt idx="3">
                  <c:v>-9.3269219999999997</c:v>
                </c:pt>
                <c:pt idx="4">
                  <c:v>-6.8595639999999989</c:v>
                </c:pt>
                <c:pt idx="5">
                  <c:v>-5.1557660000000007</c:v>
                </c:pt>
                <c:pt idx="6">
                  <c:v>-4.0312660000000005</c:v>
                </c:pt>
                <c:pt idx="7">
                  <c:v>-3.1815979999999997</c:v>
                </c:pt>
                <c:pt idx="8">
                  <c:v>-2.6629680000000002</c:v>
                </c:pt>
                <c:pt idx="9">
                  <c:v>-2.2358199999999995</c:v>
                </c:pt>
                <c:pt idx="10">
                  <c:v>-1.8997279999999999</c:v>
                </c:pt>
                <c:pt idx="11">
                  <c:v>-1.6251200000000001</c:v>
                </c:pt>
                <c:pt idx="12">
                  <c:v>-1.456156</c:v>
                </c:pt>
                <c:pt idx="13">
                  <c:v>-1.3000290000000001</c:v>
                </c:pt>
                <c:pt idx="14">
                  <c:v>-1.1614260000000001</c:v>
                </c:pt>
                <c:pt idx="15">
                  <c:v>-1.1094980000000001</c:v>
                </c:pt>
                <c:pt idx="16">
                  <c:v>-0.99927199999999972</c:v>
                </c:pt>
                <c:pt idx="17">
                  <c:v>-0.90133829999999993</c:v>
                </c:pt>
                <c:pt idx="18">
                  <c:v>-0.82080880000000012</c:v>
                </c:pt>
                <c:pt idx="19">
                  <c:v>-0.7358652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Chg_T!$A$34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Chg_T!$B$34:$U$34</c:f>
              <c:numCache>
                <c:formatCode>General</c:formatCode>
                <c:ptCount val="20"/>
                <c:pt idx="0">
                  <c:v>-55.217849999999999</c:v>
                </c:pt>
                <c:pt idx="1">
                  <c:v>-29.092590000000001</c:v>
                </c:pt>
                <c:pt idx="2">
                  <c:v>-15.080055999999999</c:v>
                </c:pt>
                <c:pt idx="3">
                  <c:v>-9.4582520000000017</c:v>
                </c:pt>
                <c:pt idx="4">
                  <c:v>-6.7916690000000006</c:v>
                </c:pt>
                <c:pt idx="5">
                  <c:v>-5.1309559999999994</c:v>
                </c:pt>
                <c:pt idx="6">
                  <c:v>-4.0400500000000008</c:v>
                </c:pt>
                <c:pt idx="7">
                  <c:v>-3.3464960000000001</c:v>
                </c:pt>
                <c:pt idx="8">
                  <c:v>-2.771299</c:v>
                </c:pt>
                <c:pt idx="9">
                  <c:v>-2.2458179999999999</c:v>
                </c:pt>
                <c:pt idx="10">
                  <c:v>-1.8948430000000003</c:v>
                </c:pt>
                <c:pt idx="11">
                  <c:v>-1.7022980000000001</c:v>
                </c:pt>
                <c:pt idx="12">
                  <c:v>-1.4861989999999998</c:v>
                </c:pt>
                <c:pt idx="13">
                  <c:v>-1.3160989999999999</c:v>
                </c:pt>
                <c:pt idx="14">
                  <c:v>-1.16455</c:v>
                </c:pt>
                <c:pt idx="15">
                  <c:v>-1.0583280000000002</c:v>
                </c:pt>
                <c:pt idx="16">
                  <c:v>-0.94858399999999987</c:v>
                </c:pt>
                <c:pt idx="17">
                  <c:v>-0.92215670000000005</c:v>
                </c:pt>
                <c:pt idx="18">
                  <c:v>-0.86776210000000009</c:v>
                </c:pt>
                <c:pt idx="19">
                  <c:v>-0.8101448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Chg_T!$A$35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Chg_T!$B$35:$U$35</c:f>
              <c:numCache>
                <c:formatCode>General</c:formatCode>
                <c:ptCount val="20"/>
                <c:pt idx="0">
                  <c:v>-94.958930000000009</c:v>
                </c:pt>
                <c:pt idx="1">
                  <c:v>-60.431359999999998</c:v>
                </c:pt>
                <c:pt idx="2">
                  <c:v>-34.081509999999994</c:v>
                </c:pt>
                <c:pt idx="3">
                  <c:v>-21.980559999999997</c:v>
                </c:pt>
                <c:pt idx="4">
                  <c:v>-15.543125</c:v>
                </c:pt>
                <c:pt idx="5">
                  <c:v>-11.677430000000001</c:v>
                </c:pt>
                <c:pt idx="6">
                  <c:v>-8.6986929999999987</c:v>
                </c:pt>
                <c:pt idx="7">
                  <c:v>-6.9479569999999988</c:v>
                </c:pt>
                <c:pt idx="8">
                  <c:v>-5.4880819999999995</c:v>
                </c:pt>
                <c:pt idx="9">
                  <c:v>-4.6149640000000005</c:v>
                </c:pt>
                <c:pt idx="10">
                  <c:v>-4.0293539999999997</c:v>
                </c:pt>
                <c:pt idx="11">
                  <c:v>-3.6535610000000003</c:v>
                </c:pt>
                <c:pt idx="12">
                  <c:v>-3.2633849999999995</c:v>
                </c:pt>
                <c:pt idx="13">
                  <c:v>-2.9156310000000003</c:v>
                </c:pt>
                <c:pt idx="14">
                  <c:v>-2.6091350000000002</c:v>
                </c:pt>
                <c:pt idx="15">
                  <c:v>-2.4056149999999996</c:v>
                </c:pt>
                <c:pt idx="16">
                  <c:v>-2.2045769999999996</c:v>
                </c:pt>
                <c:pt idx="17">
                  <c:v>-1.9478080000000002</c:v>
                </c:pt>
                <c:pt idx="18">
                  <c:v>-1.7648149999999998</c:v>
                </c:pt>
                <c:pt idx="19">
                  <c:v>-1.5851749999999998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Chg_T!$A$36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Chg_T!$B$36:$U$36</c:f>
              <c:numCache>
                <c:formatCode>General</c:formatCode>
                <c:ptCount val="20"/>
                <c:pt idx="0">
                  <c:v>-102.0936</c:v>
                </c:pt>
                <c:pt idx="1">
                  <c:v>-63.812110000000004</c:v>
                </c:pt>
                <c:pt idx="2">
                  <c:v>-35.947560000000003</c:v>
                </c:pt>
                <c:pt idx="3">
                  <c:v>-23.302690000000005</c:v>
                </c:pt>
                <c:pt idx="4">
                  <c:v>-16.358909999999998</c:v>
                </c:pt>
                <c:pt idx="5">
                  <c:v>-12.065298</c:v>
                </c:pt>
                <c:pt idx="6">
                  <c:v>-9.2579439999999984</c:v>
                </c:pt>
                <c:pt idx="7">
                  <c:v>-7.3331720000000002</c:v>
                </c:pt>
                <c:pt idx="8">
                  <c:v>-6.2537859999999998</c:v>
                </c:pt>
                <c:pt idx="9">
                  <c:v>-5.1620650000000001</c:v>
                </c:pt>
                <c:pt idx="10">
                  <c:v>-4.4636570000000004</c:v>
                </c:pt>
                <c:pt idx="11">
                  <c:v>-3.9703910000000002</c:v>
                </c:pt>
                <c:pt idx="12">
                  <c:v>-3.4163019999999995</c:v>
                </c:pt>
                <c:pt idx="13">
                  <c:v>-3.140965</c:v>
                </c:pt>
                <c:pt idx="14">
                  <c:v>-2.9429299999999996</c:v>
                </c:pt>
                <c:pt idx="15">
                  <c:v>-2.7152830000000003</c:v>
                </c:pt>
                <c:pt idx="16">
                  <c:v>-2.5813730000000001</c:v>
                </c:pt>
                <c:pt idx="17">
                  <c:v>-2.3819600000000003</c:v>
                </c:pt>
                <c:pt idx="18">
                  <c:v>-2.1992180000000001</c:v>
                </c:pt>
                <c:pt idx="19">
                  <c:v>-2.0555900000000005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Chg_T!$A$37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Chg_T!$B$2:$U$2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Chg_T!$B$37:$U$37</c:f>
              <c:numCache>
                <c:formatCode>General</c:formatCode>
                <c:ptCount val="20"/>
                <c:pt idx="0">
                  <c:v>-94.496309999999994</c:v>
                </c:pt>
                <c:pt idx="1">
                  <c:v>-57.176309999999994</c:v>
                </c:pt>
                <c:pt idx="2">
                  <c:v>-29.612820000000003</c:v>
                </c:pt>
                <c:pt idx="3">
                  <c:v>-17.000180000000004</c:v>
                </c:pt>
                <c:pt idx="4">
                  <c:v>-10.74757</c:v>
                </c:pt>
                <c:pt idx="5">
                  <c:v>-7.1310500000000001</c:v>
                </c:pt>
                <c:pt idx="6">
                  <c:v>-5.02895</c:v>
                </c:pt>
                <c:pt idx="7">
                  <c:v>-3.8706129999999987</c:v>
                </c:pt>
                <c:pt idx="8">
                  <c:v>-3.1671020000000007</c:v>
                </c:pt>
                <c:pt idx="9">
                  <c:v>-2.5623960000000006</c:v>
                </c:pt>
                <c:pt idx="10">
                  <c:v>-2.141489</c:v>
                </c:pt>
                <c:pt idx="11">
                  <c:v>-1.9014900000000008</c:v>
                </c:pt>
                <c:pt idx="12">
                  <c:v>-1.6830280000000002</c:v>
                </c:pt>
                <c:pt idx="13">
                  <c:v>-1.5369509999999993</c:v>
                </c:pt>
                <c:pt idx="14">
                  <c:v>-1.304532</c:v>
                </c:pt>
                <c:pt idx="15">
                  <c:v>-1.201489</c:v>
                </c:pt>
                <c:pt idx="16">
                  <c:v>-1.1889629999999998</c:v>
                </c:pt>
                <c:pt idx="17">
                  <c:v>-1.0799119999999998</c:v>
                </c:pt>
                <c:pt idx="18">
                  <c:v>-0.8217080000000001</c:v>
                </c:pt>
                <c:pt idx="19">
                  <c:v>-0.72190799999999999</c:v>
                </c:pt>
              </c:numCache>
            </c:numRef>
          </c:yVal>
          <c:smooth val="1"/>
        </c:ser>
        <c:axId val="98828288"/>
        <c:axId val="98830208"/>
      </c:scatterChart>
      <c:valAx>
        <c:axId val="9882828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30208"/>
        <c:crosses val="autoZero"/>
        <c:crossBetween val="midCat"/>
      </c:valAx>
      <c:valAx>
        <c:axId val="98830208"/>
        <c:scaling>
          <c:orientation val="minMax"/>
        </c:scaling>
        <c:axPos val="l"/>
        <c:numFmt formatCode="General" sourceLinked="1"/>
        <c:tickLblPos val="nextTo"/>
        <c:crossAx val="98828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22691936957802"/>
          <c:y val="7.9861475648877231E-2"/>
          <c:w val="0.30898272056215553"/>
          <c:h val="0.906269738992101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'!$B$3:$U$3</c:f>
              <c:numCache>
                <c:formatCode>General</c:formatCode>
                <c:ptCount val="20"/>
                <c:pt idx="0">
                  <c:v>-5.3895618912778989E-3</c:v>
                </c:pt>
                <c:pt idx="1">
                  <c:v>-5.0609282203873396E-3</c:v>
                </c:pt>
                <c:pt idx="2">
                  <c:v>-4.7308077353781335E-3</c:v>
                </c:pt>
                <c:pt idx="3">
                  <c:v>-4.2660176015657256E-3</c:v>
                </c:pt>
                <c:pt idx="4">
                  <c:v>-4.248945673835108E-3</c:v>
                </c:pt>
                <c:pt idx="5">
                  <c:v>-4.115526893905032E-3</c:v>
                </c:pt>
                <c:pt idx="6">
                  <c:v>-3.8297120026572636E-3</c:v>
                </c:pt>
                <c:pt idx="7">
                  <c:v>-3.7759797654040549E-3</c:v>
                </c:pt>
                <c:pt idx="8">
                  <c:v>-3.5771618323791163E-3</c:v>
                </c:pt>
                <c:pt idx="9">
                  <c:v>-3.3670253424510151E-3</c:v>
                </c:pt>
                <c:pt idx="10">
                  <c:v>-3.5983618067420564E-3</c:v>
                </c:pt>
                <c:pt idx="11">
                  <c:v>-3.6926540239838631E-3</c:v>
                </c:pt>
                <c:pt idx="12">
                  <c:v>-3.5642742708893458E-3</c:v>
                </c:pt>
                <c:pt idx="13">
                  <c:v>-3.4561709372628582E-3</c:v>
                </c:pt>
                <c:pt idx="14">
                  <c:v>-3.4046334442031445E-3</c:v>
                </c:pt>
                <c:pt idx="15">
                  <c:v>-3.5446575397668004E-3</c:v>
                </c:pt>
                <c:pt idx="16">
                  <c:v>-3.4754402523266845E-3</c:v>
                </c:pt>
                <c:pt idx="17">
                  <c:v>-3.282318101748595E-3</c:v>
                </c:pt>
                <c:pt idx="18">
                  <c:v>-3.2944695168222156E-3</c:v>
                </c:pt>
                <c:pt idx="19">
                  <c:v>-2.9042568531445065E-3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'!$B$21:$U$21</c:f>
              <c:numCache>
                <c:formatCode>General</c:formatCode>
                <c:ptCount val="20"/>
                <c:pt idx="0">
                  <c:v>-4.0366027888004818E-3</c:v>
                </c:pt>
                <c:pt idx="1">
                  <c:v>-3.5562859493497466E-3</c:v>
                </c:pt>
                <c:pt idx="2">
                  <c:v>-3.1678614004386988E-3</c:v>
                </c:pt>
                <c:pt idx="3">
                  <c:v>-2.9532845319915442E-3</c:v>
                </c:pt>
                <c:pt idx="4">
                  <c:v>-2.7568844195712309E-3</c:v>
                </c:pt>
                <c:pt idx="5">
                  <c:v>-2.3665671665776119E-3</c:v>
                </c:pt>
                <c:pt idx="6">
                  <c:v>-2.3426243844430475E-3</c:v>
                </c:pt>
                <c:pt idx="7">
                  <c:v>-2.1371757750699E-3</c:v>
                </c:pt>
                <c:pt idx="8">
                  <c:v>-2.0208732642515775E-3</c:v>
                </c:pt>
                <c:pt idx="9">
                  <c:v>-1.804448089054327E-3</c:v>
                </c:pt>
                <c:pt idx="10">
                  <c:v>-1.7089085331187324E-3</c:v>
                </c:pt>
                <c:pt idx="11">
                  <c:v>-1.62439924185692E-3</c:v>
                </c:pt>
                <c:pt idx="12">
                  <c:v>-1.670279292479193E-3</c:v>
                </c:pt>
                <c:pt idx="13">
                  <c:v>-1.5649506598501962E-3</c:v>
                </c:pt>
                <c:pt idx="14">
                  <c:v>-1.4384637487063383E-3</c:v>
                </c:pt>
                <c:pt idx="15">
                  <c:v>-1.4420308580586725E-3</c:v>
                </c:pt>
                <c:pt idx="16">
                  <c:v>-1.3626494374242976E-3</c:v>
                </c:pt>
                <c:pt idx="17">
                  <c:v>-1.3412594515721679E-3</c:v>
                </c:pt>
                <c:pt idx="18">
                  <c:v>-1.2792306103539032E-3</c:v>
                </c:pt>
                <c:pt idx="19">
                  <c:v>-1.0820466569385647E-3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'!$B$37:$U$37</c:f>
              <c:numCache>
                <c:formatCode>General</c:formatCode>
                <c:ptCount val="20"/>
                <c:pt idx="0">
                  <c:v>-4.5224364680545581E-3</c:v>
                </c:pt>
                <c:pt idx="1">
                  <c:v>-4.0826282169373592E-3</c:v>
                </c:pt>
                <c:pt idx="2">
                  <c:v>-3.4652896699266075E-3</c:v>
                </c:pt>
                <c:pt idx="3">
                  <c:v>-2.9127363703371446E-3</c:v>
                </c:pt>
                <c:pt idx="4">
                  <c:v>-2.4887661797693746E-3</c:v>
                </c:pt>
                <c:pt idx="5">
                  <c:v>-2.1237660591743612E-3</c:v>
                </c:pt>
                <c:pt idx="6">
                  <c:v>-1.8615364398733298E-3</c:v>
                </c:pt>
                <c:pt idx="7">
                  <c:v>-1.713708559836147E-3</c:v>
                </c:pt>
                <c:pt idx="8">
                  <c:v>-1.6545312164513723E-3</c:v>
                </c:pt>
                <c:pt idx="9">
                  <c:v>-1.5510777779795526E-3</c:v>
                </c:pt>
                <c:pt idx="10">
                  <c:v>-1.4683995905053746E-3</c:v>
                </c:pt>
                <c:pt idx="11">
                  <c:v>-1.4739524146901474E-3</c:v>
                </c:pt>
                <c:pt idx="12">
                  <c:v>-1.4639481581350847E-3</c:v>
                </c:pt>
                <c:pt idx="13">
                  <c:v>-1.4748381896431768E-3</c:v>
                </c:pt>
                <c:pt idx="14">
                  <c:v>-1.3672477929891937E-3</c:v>
                </c:pt>
                <c:pt idx="15">
                  <c:v>-1.3703516823373682E-3</c:v>
                </c:pt>
                <c:pt idx="16">
                  <c:v>-1.4765540998191566E-3</c:v>
                </c:pt>
                <c:pt idx="17">
                  <c:v>-1.4524867658257962E-3</c:v>
                </c:pt>
                <c:pt idx="18">
                  <c:v>-1.1501645025765422E-3</c:v>
                </c:pt>
                <c:pt idx="19">
                  <c:v>-1.0744435734355961E-3</c:v>
                </c:pt>
              </c:numCache>
            </c:numRef>
          </c:yVal>
          <c:smooth val="1"/>
        </c:ser>
        <c:axId val="98847360"/>
        <c:axId val="98853632"/>
      </c:scatterChart>
      <c:valAx>
        <c:axId val="9884736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53632"/>
        <c:crosses val="autoZero"/>
        <c:crossBetween val="midCat"/>
      </c:valAx>
      <c:valAx>
        <c:axId val="98853632"/>
        <c:scaling>
          <c:orientation val="minMax"/>
        </c:scaling>
        <c:axPos val="l"/>
        <c:numFmt formatCode="General" sourceLinked="1"/>
        <c:tickLblPos val="nextTo"/>
        <c:crossAx val="988473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8644738992511518E-2"/>
          <c:y val="3.5330213794874686E-2"/>
          <c:w val="0.65390453122577341"/>
          <c:h val="0.92933957241025067"/>
        </c:manualLayout>
      </c:layout>
      <c:scatterChart>
        <c:scatterStyle val="smoothMarker"/>
        <c:ser>
          <c:idx val="0"/>
          <c:order val="0"/>
          <c:tx>
            <c:strRef>
              <c:f>'Chg_T_den '!$A$3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'!$B$3:$U$3</c:f>
              <c:numCache>
                <c:formatCode>General</c:formatCode>
                <c:ptCount val="20"/>
                <c:pt idx="0">
                  <c:v>-5.3895618912778989E-3</c:v>
                </c:pt>
                <c:pt idx="1">
                  <c:v>-5.0609282203873396E-3</c:v>
                </c:pt>
                <c:pt idx="2">
                  <c:v>-4.7308077353781335E-3</c:v>
                </c:pt>
                <c:pt idx="3">
                  <c:v>-4.2660176015657256E-3</c:v>
                </c:pt>
                <c:pt idx="4">
                  <c:v>-4.248945673835108E-3</c:v>
                </c:pt>
                <c:pt idx="5">
                  <c:v>-4.115526893905032E-3</c:v>
                </c:pt>
                <c:pt idx="6">
                  <c:v>-3.8297120026572636E-3</c:v>
                </c:pt>
                <c:pt idx="7">
                  <c:v>-3.7759797654040549E-3</c:v>
                </c:pt>
                <c:pt idx="8">
                  <c:v>-3.5771618323791163E-3</c:v>
                </c:pt>
                <c:pt idx="9">
                  <c:v>-3.3670253424510151E-3</c:v>
                </c:pt>
                <c:pt idx="10">
                  <c:v>-3.5983618067420564E-3</c:v>
                </c:pt>
                <c:pt idx="11">
                  <c:v>-3.6926540239838631E-3</c:v>
                </c:pt>
                <c:pt idx="12">
                  <c:v>-3.5642742708893458E-3</c:v>
                </c:pt>
                <c:pt idx="13">
                  <c:v>-3.4561709372628582E-3</c:v>
                </c:pt>
                <c:pt idx="14">
                  <c:v>-3.4046334442031445E-3</c:v>
                </c:pt>
                <c:pt idx="15">
                  <c:v>-3.5446575397668004E-3</c:v>
                </c:pt>
                <c:pt idx="16">
                  <c:v>-3.4754402523266845E-3</c:v>
                </c:pt>
                <c:pt idx="17">
                  <c:v>-3.282318101748595E-3</c:v>
                </c:pt>
                <c:pt idx="18">
                  <c:v>-3.2944695168222156E-3</c:v>
                </c:pt>
                <c:pt idx="19">
                  <c:v>-2.9042568531445065E-3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'Chg_T_den '!$A$4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'!$B$4:$U$4</c:f>
              <c:numCache>
                <c:formatCode>General</c:formatCode>
                <c:ptCount val="20"/>
                <c:pt idx="0">
                  <c:v>-5.2978207860221102E-3</c:v>
                </c:pt>
                <c:pt idx="1">
                  <c:v>-5.1614877961125754E-3</c:v>
                </c:pt>
                <c:pt idx="2">
                  <c:v>-4.8271997145706682E-3</c:v>
                </c:pt>
                <c:pt idx="3">
                  <c:v>-4.4992995024144755E-3</c:v>
                </c:pt>
                <c:pt idx="4">
                  <c:v>-4.3679144010241068E-3</c:v>
                </c:pt>
                <c:pt idx="5">
                  <c:v>-4.1787982328709422E-3</c:v>
                </c:pt>
                <c:pt idx="6">
                  <c:v>-4.2702211829403463E-3</c:v>
                </c:pt>
                <c:pt idx="7">
                  <c:v>-3.9913579541815064E-3</c:v>
                </c:pt>
                <c:pt idx="8">
                  <c:v>-4.0768082074582246E-3</c:v>
                </c:pt>
                <c:pt idx="9">
                  <c:v>-3.9973542709771876E-3</c:v>
                </c:pt>
                <c:pt idx="10">
                  <c:v>-4.1856366163405467E-3</c:v>
                </c:pt>
                <c:pt idx="11">
                  <c:v>-4.1383690224204191E-3</c:v>
                </c:pt>
                <c:pt idx="12">
                  <c:v>-4.244569540613057E-3</c:v>
                </c:pt>
                <c:pt idx="13">
                  <c:v>-4.1299315351222251E-3</c:v>
                </c:pt>
                <c:pt idx="14">
                  <c:v>-4.1062305923947389E-3</c:v>
                </c:pt>
                <c:pt idx="15">
                  <c:v>-4.1618843410824854E-3</c:v>
                </c:pt>
                <c:pt idx="16">
                  <c:v>-4.2233870308283584E-3</c:v>
                </c:pt>
                <c:pt idx="17">
                  <c:v>-4.3138494753891012E-3</c:v>
                </c:pt>
                <c:pt idx="18">
                  <c:v>-4.1930162787778662E-3</c:v>
                </c:pt>
                <c:pt idx="19">
                  <c:v>-4.1926335593304295E-3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'Chg_T_den '!$A$5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'!$B$5:$U$5</c:f>
              <c:numCache>
                <c:formatCode>General</c:formatCode>
                <c:ptCount val="20"/>
                <c:pt idx="0">
                  <c:v>-5.8692334313297781E-3</c:v>
                </c:pt>
                <c:pt idx="1">
                  <c:v>-5.8474023574023185E-3</c:v>
                </c:pt>
                <c:pt idx="2">
                  <c:v>-5.8412266474004585E-3</c:v>
                </c:pt>
                <c:pt idx="3">
                  <c:v>-5.7274817833346727E-3</c:v>
                </c:pt>
                <c:pt idx="4">
                  <c:v>-5.7257446510705634E-3</c:v>
                </c:pt>
                <c:pt idx="5">
                  <c:v>-5.4333168667953071E-3</c:v>
                </c:pt>
                <c:pt idx="6">
                  <c:v>-5.0637570894841869E-3</c:v>
                </c:pt>
                <c:pt idx="7">
                  <c:v>-4.8313397237443297E-3</c:v>
                </c:pt>
                <c:pt idx="8">
                  <c:v>-4.854070518118302E-3</c:v>
                </c:pt>
                <c:pt idx="9">
                  <c:v>-4.700420284885291E-3</c:v>
                </c:pt>
                <c:pt idx="10">
                  <c:v>-4.6436727307211673E-3</c:v>
                </c:pt>
                <c:pt idx="11">
                  <c:v>-4.566391399582064E-3</c:v>
                </c:pt>
                <c:pt idx="12">
                  <c:v>-4.4639918031240703E-3</c:v>
                </c:pt>
                <c:pt idx="13">
                  <c:v>-4.3625464849444094E-3</c:v>
                </c:pt>
                <c:pt idx="14">
                  <c:v>-4.434503306666354E-3</c:v>
                </c:pt>
                <c:pt idx="15">
                  <c:v>-4.2803770361569717E-3</c:v>
                </c:pt>
                <c:pt idx="16">
                  <c:v>-4.0608242048589642E-3</c:v>
                </c:pt>
                <c:pt idx="17">
                  <c:v>-4.0990290288307508E-3</c:v>
                </c:pt>
                <c:pt idx="18">
                  <c:v>-3.9617442105543349E-3</c:v>
                </c:pt>
                <c:pt idx="19">
                  <c:v>-3.7419891470100814E-3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'Chg_T_den '!$A$6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'!$B$6:$U$6</c:f>
              <c:numCache>
                <c:formatCode>General</c:formatCode>
                <c:ptCount val="20"/>
                <c:pt idx="0">
                  <c:v>-5.170515893572078E-3</c:v>
                </c:pt>
                <c:pt idx="1">
                  <c:v>-4.7845788352403763E-3</c:v>
                </c:pt>
                <c:pt idx="2">
                  <c:v>-4.3048237833885712E-3</c:v>
                </c:pt>
                <c:pt idx="3">
                  <c:v>-4.0888608563062782E-3</c:v>
                </c:pt>
                <c:pt idx="4">
                  <c:v>-3.756417513694015E-3</c:v>
                </c:pt>
                <c:pt idx="5">
                  <c:v>-3.4063811907406837E-3</c:v>
                </c:pt>
                <c:pt idx="6">
                  <c:v>-3.0863789565587362E-3</c:v>
                </c:pt>
                <c:pt idx="7">
                  <c:v>-2.8754054215825373E-3</c:v>
                </c:pt>
                <c:pt idx="8">
                  <c:v>-2.8858256289010639E-3</c:v>
                </c:pt>
                <c:pt idx="9">
                  <c:v>-2.755234649083772E-3</c:v>
                </c:pt>
                <c:pt idx="10">
                  <c:v>-2.8581085439567731E-3</c:v>
                </c:pt>
                <c:pt idx="11">
                  <c:v>-2.6870726784111666E-3</c:v>
                </c:pt>
                <c:pt idx="12">
                  <c:v>-2.8476419940034491E-3</c:v>
                </c:pt>
                <c:pt idx="13">
                  <c:v>-2.8860084345863966E-3</c:v>
                </c:pt>
                <c:pt idx="14">
                  <c:v>-2.8644782273146699E-3</c:v>
                </c:pt>
                <c:pt idx="15">
                  <c:v>-2.5779107166084537E-3</c:v>
                </c:pt>
                <c:pt idx="16">
                  <c:v>-2.6874508762659692E-3</c:v>
                </c:pt>
                <c:pt idx="17">
                  <c:v>-2.6292513355045629E-3</c:v>
                </c:pt>
                <c:pt idx="18">
                  <c:v>-2.293723015062127E-3</c:v>
                </c:pt>
                <c:pt idx="19">
                  <c:v>-2.3998685620066663E-3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'Chg_T_den '!$A$7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'!$B$7:$U$7</c:f>
              <c:numCache>
                <c:formatCode>General</c:formatCode>
                <c:ptCount val="20"/>
                <c:pt idx="0">
                  <c:v>-5.2364263748173653E-3</c:v>
                </c:pt>
                <c:pt idx="1">
                  <c:v>-4.9125909022552658E-3</c:v>
                </c:pt>
                <c:pt idx="2">
                  <c:v>-4.4247649754069994E-3</c:v>
                </c:pt>
                <c:pt idx="3">
                  <c:v>-3.9224061813552405E-3</c:v>
                </c:pt>
                <c:pt idx="4">
                  <c:v>-3.5797419632925568E-3</c:v>
                </c:pt>
                <c:pt idx="5">
                  <c:v>-3.4921502287771243E-3</c:v>
                </c:pt>
                <c:pt idx="6">
                  <c:v>-3.2788460575524682E-3</c:v>
                </c:pt>
                <c:pt idx="7">
                  <c:v>-3.0197022518999197E-3</c:v>
                </c:pt>
                <c:pt idx="8">
                  <c:v>-3.0146281951492207E-3</c:v>
                </c:pt>
                <c:pt idx="9">
                  <c:v>-3.1751309735737025E-3</c:v>
                </c:pt>
                <c:pt idx="10">
                  <c:v>-2.759673586261615E-3</c:v>
                </c:pt>
                <c:pt idx="11">
                  <c:v>-2.968673883343848E-3</c:v>
                </c:pt>
                <c:pt idx="12">
                  <c:v>-2.6832335402203525E-3</c:v>
                </c:pt>
                <c:pt idx="13">
                  <c:v>-2.8798102776328013E-3</c:v>
                </c:pt>
                <c:pt idx="14">
                  <c:v>-2.8761711614283701E-3</c:v>
                </c:pt>
                <c:pt idx="15">
                  <c:v>-3.1215283228878004E-3</c:v>
                </c:pt>
                <c:pt idx="16">
                  <c:v>-3.2413675640334334E-3</c:v>
                </c:pt>
                <c:pt idx="17">
                  <c:v>-2.7755063354655976E-3</c:v>
                </c:pt>
                <c:pt idx="18">
                  <c:v>-2.6996082096157432E-3</c:v>
                </c:pt>
                <c:pt idx="19">
                  <c:v>-2.6409648981334474E-3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'Chg_T_den '!$A$8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'!$B$8:$U$8</c:f>
              <c:numCache>
                <c:formatCode>General</c:formatCode>
                <c:ptCount val="20"/>
                <c:pt idx="0">
                  <c:v>-5.6169183648527039E-3</c:v>
                </c:pt>
                <c:pt idx="1">
                  <c:v>-5.4591255132155157E-3</c:v>
                </c:pt>
                <c:pt idx="2">
                  <c:v>-4.9357663732000371E-3</c:v>
                </c:pt>
                <c:pt idx="3">
                  <c:v>-4.5709079685488981E-3</c:v>
                </c:pt>
                <c:pt idx="4">
                  <c:v>-4.3338656902873638E-3</c:v>
                </c:pt>
                <c:pt idx="5">
                  <c:v>-4.076739740897185E-3</c:v>
                </c:pt>
                <c:pt idx="6">
                  <c:v>-3.7962822692801245E-3</c:v>
                </c:pt>
                <c:pt idx="7">
                  <c:v>-3.7016535793936399E-3</c:v>
                </c:pt>
                <c:pt idx="8">
                  <c:v>-3.6314303575534601E-3</c:v>
                </c:pt>
                <c:pt idx="9">
                  <c:v>-3.6092937430793177E-3</c:v>
                </c:pt>
                <c:pt idx="10">
                  <c:v>-3.6216859452661392E-3</c:v>
                </c:pt>
                <c:pt idx="11">
                  <c:v>-3.6254282206057671E-3</c:v>
                </c:pt>
                <c:pt idx="12">
                  <c:v>-3.3151650266862293E-3</c:v>
                </c:pt>
                <c:pt idx="13">
                  <c:v>-3.2112072457142695E-3</c:v>
                </c:pt>
                <c:pt idx="14">
                  <c:v>-2.8583086847641746E-3</c:v>
                </c:pt>
                <c:pt idx="15">
                  <c:v>-2.8500392045203294E-3</c:v>
                </c:pt>
                <c:pt idx="16">
                  <c:v>-2.6789247808487217E-3</c:v>
                </c:pt>
                <c:pt idx="17">
                  <c:v>-2.6092553765822333E-3</c:v>
                </c:pt>
                <c:pt idx="18">
                  <c:v>-2.541670133797786E-3</c:v>
                </c:pt>
                <c:pt idx="19">
                  <c:v>-2.4223586060686899E-3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'Chg_T_den '!$A$9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'!$B$9:$U$9</c:f>
              <c:numCache>
                <c:formatCode>General</c:formatCode>
                <c:ptCount val="20"/>
                <c:pt idx="0">
                  <c:v>-5.2846194955109022E-3</c:v>
                </c:pt>
                <c:pt idx="1">
                  <c:v>-5.0948317791294556E-3</c:v>
                </c:pt>
                <c:pt idx="2">
                  <c:v>-4.5316270540007681E-3</c:v>
                </c:pt>
                <c:pt idx="3">
                  <c:v>-3.8275986361740572E-3</c:v>
                </c:pt>
                <c:pt idx="4">
                  <c:v>-3.551685333145049E-3</c:v>
                </c:pt>
                <c:pt idx="5">
                  <c:v>-3.3127308953745361E-3</c:v>
                </c:pt>
                <c:pt idx="6">
                  <c:v>-3.2617117578434603E-3</c:v>
                </c:pt>
                <c:pt idx="7">
                  <c:v>-3.0469458685065984E-3</c:v>
                </c:pt>
                <c:pt idx="8">
                  <c:v>-2.8582325963045991E-3</c:v>
                </c:pt>
                <c:pt idx="9">
                  <c:v>-2.9426691854687564E-3</c:v>
                </c:pt>
                <c:pt idx="10">
                  <c:v>-2.8637194333256373E-3</c:v>
                </c:pt>
                <c:pt idx="11">
                  <c:v>-2.6005161893087E-3</c:v>
                </c:pt>
                <c:pt idx="12">
                  <c:v>-2.6081530974588606E-3</c:v>
                </c:pt>
                <c:pt idx="13">
                  <c:v>-2.4221319238297845E-3</c:v>
                </c:pt>
                <c:pt idx="14">
                  <c:v>-2.3613281603693764E-3</c:v>
                </c:pt>
                <c:pt idx="15">
                  <c:v>-2.3343080098408679E-3</c:v>
                </c:pt>
                <c:pt idx="16">
                  <c:v>-2.1651025986839643E-3</c:v>
                </c:pt>
                <c:pt idx="17">
                  <c:v>-2.0305836849529115E-3</c:v>
                </c:pt>
                <c:pt idx="18">
                  <c:v>-1.819260758435945E-3</c:v>
                </c:pt>
                <c:pt idx="19">
                  <c:v>-1.9543592949469325E-3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'Chg_T_den '!$A$10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'!$B$10:$U$10</c:f>
              <c:numCache>
                <c:formatCode>General</c:formatCode>
                <c:ptCount val="20"/>
                <c:pt idx="0">
                  <c:v>-5.6571895391408092E-3</c:v>
                </c:pt>
                <c:pt idx="1">
                  <c:v>-5.3659815848536383E-3</c:v>
                </c:pt>
                <c:pt idx="2">
                  <c:v>-4.751033510304651E-3</c:v>
                </c:pt>
                <c:pt idx="3">
                  <c:v>-4.2343025128222869E-3</c:v>
                </c:pt>
                <c:pt idx="4">
                  <c:v>-3.7204721728067475E-3</c:v>
                </c:pt>
                <c:pt idx="5">
                  <c:v>-3.3850027804447087E-3</c:v>
                </c:pt>
                <c:pt idx="6">
                  <c:v>-2.9469885082089005E-3</c:v>
                </c:pt>
                <c:pt idx="7">
                  <c:v>-2.4841415239044216E-3</c:v>
                </c:pt>
                <c:pt idx="8">
                  <c:v>-2.4339188447948155E-3</c:v>
                </c:pt>
                <c:pt idx="9">
                  <c:v>-2.3166586958849353E-3</c:v>
                </c:pt>
                <c:pt idx="10">
                  <c:v>-2.4868922683385667E-3</c:v>
                </c:pt>
                <c:pt idx="11">
                  <c:v>-2.3757858919517473E-3</c:v>
                </c:pt>
                <c:pt idx="12">
                  <c:v>-2.2418716454848022E-3</c:v>
                </c:pt>
                <c:pt idx="13">
                  <c:v>-2.0840239336686445E-3</c:v>
                </c:pt>
                <c:pt idx="14">
                  <c:v>-2.1618307193888033E-3</c:v>
                </c:pt>
                <c:pt idx="15">
                  <c:v>-2.0711907719533425E-3</c:v>
                </c:pt>
                <c:pt idx="16">
                  <c:v>-2.0176055465449651E-3</c:v>
                </c:pt>
                <c:pt idx="17">
                  <c:v>-1.6088602095500003E-3</c:v>
                </c:pt>
                <c:pt idx="18">
                  <c:v>-1.8071892317098731E-3</c:v>
                </c:pt>
                <c:pt idx="19">
                  <c:v>-1.8382317277945283E-3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'Chg_T_den '!$A$11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'!$B$11:$U$11</c:f>
              <c:numCache>
                <c:formatCode>General</c:formatCode>
                <c:ptCount val="20"/>
                <c:pt idx="0">
                  <c:v>-5.881417400086031E-3</c:v>
                </c:pt>
                <c:pt idx="1">
                  <c:v>-5.6347880190639743E-3</c:v>
                </c:pt>
                <c:pt idx="2">
                  <c:v>-5.0273635357952007E-3</c:v>
                </c:pt>
                <c:pt idx="3">
                  <c:v>-4.4553577831643269E-3</c:v>
                </c:pt>
                <c:pt idx="4">
                  <c:v>-3.9614158515414357E-3</c:v>
                </c:pt>
                <c:pt idx="5">
                  <c:v>-3.6307444725519177E-3</c:v>
                </c:pt>
                <c:pt idx="6">
                  <c:v>-3.3104060158855616E-3</c:v>
                </c:pt>
                <c:pt idx="7">
                  <c:v>-2.6624922754778821E-3</c:v>
                </c:pt>
                <c:pt idx="8">
                  <c:v>-2.6907437321124403E-3</c:v>
                </c:pt>
                <c:pt idx="9">
                  <c:v>-2.2536465168026469E-3</c:v>
                </c:pt>
                <c:pt idx="10">
                  <c:v>-2.4768930737215462E-3</c:v>
                </c:pt>
                <c:pt idx="11">
                  <c:v>-2.2500472558313689E-3</c:v>
                </c:pt>
                <c:pt idx="12">
                  <c:v>-1.8144235149563843E-3</c:v>
                </c:pt>
                <c:pt idx="13">
                  <c:v>-1.7161413614685797E-3</c:v>
                </c:pt>
                <c:pt idx="14">
                  <c:v>-1.7627836854483684E-3</c:v>
                </c:pt>
                <c:pt idx="15">
                  <c:v>-1.3411468939361812E-3</c:v>
                </c:pt>
                <c:pt idx="16">
                  <c:v>-1.2266459143234544E-3</c:v>
                </c:pt>
                <c:pt idx="17">
                  <c:v>-1.0776030191361609E-3</c:v>
                </c:pt>
                <c:pt idx="18">
                  <c:v>-7.1599712164584076E-4</c:v>
                </c:pt>
                <c:pt idx="19">
                  <c:v>-9.3174496206474056E-4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'Chg_T_den '!$A$12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'!$B$12:$U$12</c:f>
              <c:numCache>
                <c:formatCode>General</c:formatCode>
                <c:ptCount val="20"/>
                <c:pt idx="0">
                  <c:v>-6.3202095716649309E-3</c:v>
                </c:pt>
                <c:pt idx="1">
                  <c:v>-6.0925499481438604E-3</c:v>
                </c:pt>
                <c:pt idx="2">
                  <c:v>-5.7482902414418974E-3</c:v>
                </c:pt>
                <c:pt idx="3">
                  <c:v>-5.7704721978296099E-3</c:v>
                </c:pt>
                <c:pt idx="4">
                  <c:v>-5.7228900525972664E-3</c:v>
                </c:pt>
                <c:pt idx="5">
                  <c:v>-5.7328126734505092E-3</c:v>
                </c:pt>
                <c:pt idx="6">
                  <c:v>-5.9835847071982263E-3</c:v>
                </c:pt>
                <c:pt idx="7">
                  <c:v>-5.8440428079774842E-3</c:v>
                </c:pt>
                <c:pt idx="8">
                  <c:v>-5.9709185428634013E-3</c:v>
                </c:pt>
                <c:pt idx="9">
                  <c:v>-5.8237441118395971E-3</c:v>
                </c:pt>
                <c:pt idx="10">
                  <c:v>-6.1398510578082903E-3</c:v>
                </c:pt>
                <c:pt idx="11">
                  <c:v>-6.0886700229584425E-3</c:v>
                </c:pt>
                <c:pt idx="12">
                  <c:v>-6.2549057619494097E-3</c:v>
                </c:pt>
                <c:pt idx="13">
                  <c:v>-6.2520001482843446E-3</c:v>
                </c:pt>
                <c:pt idx="14">
                  <c:v>-6.2939764892412063E-3</c:v>
                </c:pt>
                <c:pt idx="15">
                  <c:v>-6.4012029072917529E-3</c:v>
                </c:pt>
                <c:pt idx="16">
                  <c:v>-6.5028479422488943E-3</c:v>
                </c:pt>
                <c:pt idx="17">
                  <c:v>-6.2727205132256016E-3</c:v>
                </c:pt>
                <c:pt idx="18">
                  <c:v>-6.2632173585561585E-3</c:v>
                </c:pt>
                <c:pt idx="19">
                  <c:v>-6.6357154646436147E-3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'Chg_T_den '!$A$13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'!$B$13:$U$13</c:f>
              <c:numCache>
                <c:formatCode>General</c:formatCode>
                <c:ptCount val="20"/>
                <c:pt idx="0">
                  <c:v>-6.8114902240344237E-3</c:v>
                </c:pt>
                <c:pt idx="1">
                  <c:v>-6.818813382777276E-3</c:v>
                </c:pt>
                <c:pt idx="2">
                  <c:v>-6.5229988490576943E-3</c:v>
                </c:pt>
                <c:pt idx="3">
                  <c:v>-6.3227992943735217E-3</c:v>
                </c:pt>
                <c:pt idx="4">
                  <c:v>-6.1560304712274692E-3</c:v>
                </c:pt>
                <c:pt idx="5">
                  <c:v>-6.1538965511448588E-3</c:v>
                </c:pt>
                <c:pt idx="6">
                  <c:v>-5.9176699498076106E-3</c:v>
                </c:pt>
                <c:pt idx="7">
                  <c:v>-5.7958300472362393E-3</c:v>
                </c:pt>
                <c:pt idx="8">
                  <c:v>-5.9156168089963632E-3</c:v>
                </c:pt>
                <c:pt idx="9">
                  <c:v>-6.1362671673162866E-3</c:v>
                </c:pt>
                <c:pt idx="10">
                  <c:v>-6.1461221066504918E-3</c:v>
                </c:pt>
                <c:pt idx="11">
                  <c:v>-6.2995681526014768E-3</c:v>
                </c:pt>
                <c:pt idx="12">
                  <c:v>-6.2534949142676972E-3</c:v>
                </c:pt>
                <c:pt idx="13">
                  <c:v>-6.3897765371266745E-3</c:v>
                </c:pt>
                <c:pt idx="14">
                  <c:v>-6.1694991754818801E-3</c:v>
                </c:pt>
                <c:pt idx="15">
                  <c:v>-6.2059178966600709E-3</c:v>
                </c:pt>
                <c:pt idx="16">
                  <c:v>-6.1601473923733876E-3</c:v>
                </c:pt>
                <c:pt idx="17">
                  <c:v>-6.1414132974361348E-3</c:v>
                </c:pt>
                <c:pt idx="18">
                  <c:v>-6.3074316792837573E-3</c:v>
                </c:pt>
                <c:pt idx="19">
                  <c:v>-6.1246191683088777E-3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'Chg_T_den '!$A$14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'!$B$14:$U$14</c:f>
              <c:numCache>
                <c:formatCode>General</c:formatCode>
                <c:ptCount val="20"/>
                <c:pt idx="0">
                  <c:v>-6.1022034391860699E-3</c:v>
                </c:pt>
                <c:pt idx="1">
                  <c:v>-5.4720175340773596E-3</c:v>
                </c:pt>
                <c:pt idx="2">
                  <c:v>-4.7492338221976288E-3</c:v>
                </c:pt>
                <c:pt idx="3">
                  <c:v>-4.1485528217862578E-3</c:v>
                </c:pt>
                <c:pt idx="4">
                  <c:v>-4.1228751251394949E-3</c:v>
                </c:pt>
                <c:pt idx="5">
                  <c:v>-3.8749009167933415E-3</c:v>
                </c:pt>
                <c:pt idx="6">
                  <c:v>-3.693729982056367E-3</c:v>
                </c:pt>
                <c:pt idx="7">
                  <c:v>-3.598885206853484E-3</c:v>
                </c:pt>
                <c:pt idx="8">
                  <c:v>-3.3632022327115814E-3</c:v>
                </c:pt>
                <c:pt idx="9">
                  <c:v>-3.5404086235312172E-3</c:v>
                </c:pt>
                <c:pt idx="10">
                  <c:v>-3.6475741160014699E-3</c:v>
                </c:pt>
                <c:pt idx="11">
                  <c:v>-3.5652488775643645E-3</c:v>
                </c:pt>
                <c:pt idx="12">
                  <c:v>-3.4799789512132855E-3</c:v>
                </c:pt>
                <c:pt idx="13">
                  <c:v>-3.4099205944013167E-3</c:v>
                </c:pt>
                <c:pt idx="14">
                  <c:v>-3.036869023370168E-3</c:v>
                </c:pt>
                <c:pt idx="15">
                  <c:v>-3.3540271516534306E-3</c:v>
                </c:pt>
                <c:pt idx="16">
                  <c:v>-3.5670831936178687E-3</c:v>
                </c:pt>
                <c:pt idx="17">
                  <c:v>-3.8619462919282713E-3</c:v>
                </c:pt>
                <c:pt idx="18">
                  <c:v>-4.1313526501153596E-3</c:v>
                </c:pt>
                <c:pt idx="19">
                  <c:v>-3.9860534686060262E-3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'Chg_T_den '!$A$15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'!$B$15:$U$15</c:f>
              <c:numCache>
                <c:formatCode>General</c:formatCode>
                <c:ptCount val="20"/>
                <c:pt idx="0">
                  <c:v>-4.2532806409728563E-3</c:v>
                </c:pt>
                <c:pt idx="1">
                  <c:v>-3.6458094880752463E-3</c:v>
                </c:pt>
                <c:pt idx="2">
                  <c:v>-3.0594362881701921E-3</c:v>
                </c:pt>
                <c:pt idx="3">
                  <c:v>-2.6372343753956846E-3</c:v>
                </c:pt>
                <c:pt idx="4">
                  <c:v>-2.5124005933515139E-3</c:v>
                </c:pt>
                <c:pt idx="5">
                  <c:v>-2.4365516128124431E-3</c:v>
                </c:pt>
                <c:pt idx="6">
                  <c:v>-2.3577519843286042E-3</c:v>
                </c:pt>
                <c:pt idx="7">
                  <c:v>-2.3385444600271164E-3</c:v>
                </c:pt>
                <c:pt idx="8">
                  <c:v>-2.2423262082097205E-3</c:v>
                </c:pt>
                <c:pt idx="9">
                  <c:v>-2.2186675039330499E-3</c:v>
                </c:pt>
                <c:pt idx="10">
                  <c:v>-2.1263604780916803E-3</c:v>
                </c:pt>
                <c:pt idx="11">
                  <c:v>-1.9026985027382709E-3</c:v>
                </c:pt>
                <c:pt idx="12">
                  <c:v>-1.8888569976735373E-3</c:v>
                </c:pt>
                <c:pt idx="13">
                  <c:v>-2.1214670289862428E-3</c:v>
                </c:pt>
                <c:pt idx="14">
                  <c:v>-2.0007187543920851E-3</c:v>
                </c:pt>
                <c:pt idx="15">
                  <c:v>-2.1739975668428097E-3</c:v>
                </c:pt>
                <c:pt idx="16">
                  <c:v>-2.0974085209195634E-3</c:v>
                </c:pt>
                <c:pt idx="17">
                  <c:v>-1.9867499027372208E-3</c:v>
                </c:pt>
                <c:pt idx="18">
                  <c:v>-1.9401043263664731E-3</c:v>
                </c:pt>
                <c:pt idx="19">
                  <c:v>-1.7979669502513392E-3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'Chg_T_den '!$A$16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'!$B$16:$U$16</c:f>
              <c:numCache>
                <c:formatCode>General</c:formatCode>
                <c:ptCount val="20"/>
                <c:pt idx="0">
                  <c:v>-6.0738097340166065E-3</c:v>
                </c:pt>
                <c:pt idx="1">
                  <c:v>-5.9439326395068848E-3</c:v>
                </c:pt>
                <c:pt idx="2">
                  <c:v>-5.3837176614758937E-3</c:v>
                </c:pt>
                <c:pt idx="3">
                  <c:v>-4.8557340620089097E-3</c:v>
                </c:pt>
                <c:pt idx="4">
                  <c:v>-4.6134419938559847E-3</c:v>
                </c:pt>
                <c:pt idx="5">
                  <c:v>-4.2760122101157417E-3</c:v>
                </c:pt>
                <c:pt idx="6">
                  <c:v>-4.0533867330274512E-3</c:v>
                </c:pt>
                <c:pt idx="7">
                  <c:v>-3.890862485516918E-3</c:v>
                </c:pt>
                <c:pt idx="8">
                  <c:v>-3.7769301096519871E-3</c:v>
                </c:pt>
                <c:pt idx="9">
                  <c:v>-3.5251087806036363E-3</c:v>
                </c:pt>
                <c:pt idx="10">
                  <c:v>-3.4632845543446761E-3</c:v>
                </c:pt>
                <c:pt idx="11">
                  <c:v>-3.2167309600337744E-3</c:v>
                </c:pt>
                <c:pt idx="12">
                  <c:v>-3.2322654862543126E-3</c:v>
                </c:pt>
                <c:pt idx="13">
                  <c:v>-3.2821229763618756E-3</c:v>
                </c:pt>
                <c:pt idx="14">
                  <c:v>-3.4117002427372103E-3</c:v>
                </c:pt>
                <c:pt idx="15">
                  <c:v>-3.0472826824593405E-3</c:v>
                </c:pt>
                <c:pt idx="16">
                  <c:v>-2.8761528326745724E-3</c:v>
                </c:pt>
                <c:pt idx="17">
                  <c:v>-2.9392576391103287E-3</c:v>
                </c:pt>
                <c:pt idx="18">
                  <c:v>-2.985040966436731E-3</c:v>
                </c:pt>
                <c:pt idx="19">
                  <c:v>-3.2756907019773286E-3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'Chg_T_den '!$A$17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'!$B$17:$U$17</c:f>
              <c:numCache>
                <c:formatCode>General</c:formatCode>
                <c:ptCount val="20"/>
                <c:pt idx="0">
                  <c:v>-6.0666011261059968E-3</c:v>
                </c:pt>
                <c:pt idx="1">
                  <c:v>-5.8702598654282769E-3</c:v>
                </c:pt>
                <c:pt idx="2">
                  <c:v>-5.3642462519723723E-3</c:v>
                </c:pt>
                <c:pt idx="3">
                  <c:v>-5.0609440878340755E-3</c:v>
                </c:pt>
                <c:pt idx="4">
                  <c:v>-4.7230881910588236E-3</c:v>
                </c:pt>
                <c:pt idx="5">
                  <c:v>-4.4786713590261196E-3</c:v>
                </c:pt>
                <c:pt idx="6">
                  <c:v>-4.4487165772520215E-3</c:v>
                </c:pt>
                <c:pt idx="7">
                  <c:v>-4.165635335490258E-3</c:v>
                </c:pt>
                <c:pt idx="8">
                  <c:v>-4.1463001433354281E-3</c:v>
                </c:pt>
                <c:pt idx="9">
                  <c:v>-4.1657464779988902E-3</c:v>
                </c:pt>
                <c:pt idx="10">
                  <c:v>-4.1003490244623858E-3</c:v>
                </c:pt>
                <c:pt idx="11">
                  <c:v>-4.1590983100249276E-3</c:v>
                </c:pt>
                <c:pt idx="12">
                  <c:v>-3.9771960956446126E-3</c:v>
                </c:pt>
                <c:pt idx="13">
                  <c:v>-3.6980943115646489E-3</c:v>
                </c:pt>
                <c:pt idx="14">
                  <c:v>-3.9211649845390757E-3</c:v>
                </c:pt>
                <c:pt idx="15">
                  <c:v>-3.9443278736847011E-3</c:v>
                </c:pt>
                <c:pt idx="16">
                  <c:v>-3.7191514428341621E-3</c:v>
                </c:pt>
                <c:pt idx="17">
                  <c:v>-3.8041407200916618E-3</c:v>
                </c:pt>
                <c:pt idx="18">
                  <c:v>-3.8030326566123951E-3</c:v>
                </c:pt>
                <c:pt idx="19">
                  <c:v>-3.7801260134136031E-3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'Chg_T_den '!$A$18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'!$B$18:$U$18</c:f>
              <c:numCache>
                <c:formatCode>General</c:formatCode>
                <c:ptCount val="20"/>
                <c:pt idx="0">
                  <c:v>-5.6844333321320771E-3</c:v>
                </c:pt>
                <c:pt idx="1">
                  <c:v>-5.2665836528959804E-3</c:v>
                </c:pt>
                <c:pt idx="2">
                  <c:v>-4.5201969839889266E-3</c:v>
                </c:pt>
                <c:pt idx="3">
                  <c:v>-4.0933760154850474E-3</c:v>
                </c:pt>
                <c:pt idx="4">
                  <c:v>-3.7083964192813632E-3</c:v>
                </c:pt>
                <c:pt idx="5">
                  <c:v>-3.5659400000505855E-3</c:v>
                </c:pt>
                <c:pt idx="6">
                  <c:v>-3.3237906905220025E-3</c:v>
                </c:pt>
                <c:pt idx="7">
                  <c:v>-3.4108479146440214E-3</c:v>
                </c:pt>
                <c:pt idx="8">
                  <c:v>-3.3815665476279546E-3</c:v>
                </c:pt>
                <c:pt idx="9">
                  <c:v>-3.3558357285667826E-3</c:v>
                </c:pt>
                <c:pt idx="10">
                  <c:v>-3.2398258576630773E-3</c:v>
                </c:pt>
                <c:pt idx="11">
                  <c:v>-3.1940017759829764E-3</c:v>
                </c:pt>
                <c:pt idx="12">
                  <c:v>-2.8434111288174906E-3</c:v>
                </c:pt>
                <c:pt idx="13">
                  <c:v>-2.8780461733971057E-3</c:v>
                </c:pt>
                <c:pt idx="14">
                  <c:v>-3.1849230385040065E-3</c:v>
                </c:pt>
                <c:pt idx="15">
                  <c:v>-3.131003166691139E-3</c:v>
                </c:pt>
                <c:pt idx="16">
                  <c:v>-3.0790319371756681E-3</c:v>
                </c:pt>
                <c:pt idx="17">
                  <c:v>-3.2305411296339455E-3</c:v>
                </c:pt>
                <c:pt idx="18">
                  <c:v>-3.3312167793519191E-3</c:v>
                </c:pt>
                <c:pt idx="19">
                  <c:v>-3.4359568242293514E-3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'Chg_T_den '!$A$19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'!$B$19:$U$19</c:f>
              <c:numCache>
                <c:formatCode>General</c:formatCode>
                <c:ptCount val="20"/>
                <c:pt idx="0">
                  <c:v>-4.2230929333937801E-3</c:v>
                </c:pt>
                <c:pt idx="1">
                  <c:v>-3.9027280750493693E-3</c:v>
                </c:pt>
                <c:pt idx="2">
                  <c:v>-3.4347697773380623E-3</c:v>
                </c:pt>
                <c:pt idx="3">
                  <c:v>-3.1427317544209282E-3</c:v>
                </c:pt>
                <c:pt idx="4">
                  <c:v>-2.9573111683949709E-3</c:v>
                </c:pt>
                <c:pt idx="5">
                  <c:v>-2.7373800159040617E-3</c:v>
                </c:pt>
                <c:pt idx="6">
                  <c:v>-2.5449478620571488E-3</c:v>
                </c:pt>
                <c:pt idx="7">
                  <c:v>-2.477281724640706E-3</c:v>
                </c:pt>
                <c:pt idx="8">
                  <c:v>-2.4640794609574013E-3</c:v>
                </c:pt>
                <c:pt idx="9">
                  <c:v>-2.3398758774903334E-3</c:v>
                </c:pt>
                <c:pt idx="10">
                  <c:v>-2.2181151061052566E-3</c:v>
                </c:pt>
                <c:pt idx="11">
                  <c:v>-2.1666243264307568E-3</c:v>
                </c:pt>
                <c:pt idx="12">
                  <c:v>-2.1173843394589643E-3</c:v>
                </c:pt>
                <c:pt idx="13">
                  <c:v>-2.1089469272971492E-3</c:v>
                </c:pt>
                <c:pt idx="14">
                  <c:v>-2.1196978804589295E-3</c:v>
                </c:pt>
                <c:pt idx="15">
                  <c:v>-2.0610163818571077E-3</c:v>
                </c:pt>
                <c:pt idx="16">
                  <c:v>-2.1564466275212717E-3</c:v>
                </c:pt>
                <c:pt idx="17">
                  <c:v>-2.1441086839894073E-3</c:v>
                </c:pt>
                <c:pt idx="18">
                  <c:v>-2.2058458995736084E-3</c:v>
                </c:pt>
                <c:pt idx="19">
                  <c:v>-2.1281435817994254E-3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'Chg_T_den '!$A$20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'!$B$20:$U$20</c:f>
              <c:numCache>
                <c:formatCode>General</c:formatCode>
                <c:ptCount val="20"/>
                <c:pt idx="0">
                  <c:v>-4.0369376942148722E-3</c:v>
                </c:pt>
                <c:pt idx="1">
                  <c:v>-3.5194660310372524E-3</c:v>
                </c:pt>
                <c:pt idx="2">
                  <c:v>-3.1306514547393984E-3</c:v>
                </c:pt>
                <c:pt idx="3">
                  <c:v>-2.9136401359973019E-3</c:v>
                </c:pt>
                <c:pt idx="4">
                  <c:v>-2.6742787157088663E-3</c:v>
                </c:pt>
                <c:pt idx="5">
                  <c:v>-2.3741163741769302E-3</c:v>
                </c:pt>
                <c:pt idx="6">
                  <c:v>-2.2379993870428774E-3</c:v>
                </c:pt>
                <c:pt idx="7">
                  <c:v>-2.0166603037717222E-3</c:v>
                </c:pt>
                <c:pt idx="8">
                  <c:v>-1.8103995747339229E-3</c:v>
                </c:pt>
                <c:pt idx="9">
                  <c:v>-1.8003887679617552E-3</c:v>
                </c:pt>
                <c:pt idx="10">
                  <c:v>-1.8327184411225915E-3</c:v>
                </c:pt>
                <c:pt idx="11">
                  <c:v>-1.6123012314890679E-3</c:v>
                </c:pt>
                <c:pt idx="12">
                  <c:v>-1.5774955282393361E-3</c:v>
                </c:pt>
                <c:pt idx="13">
                  <c:v>-1.5473519153109418E-3</c:v>
                </c:pt>
                <c:pt idx="14">
                  <c:v>-1.4270900522570721E-3</c:v>
                </c:pt>
                <c:pt idx="15">
                  <c:v>-1.3111757463095176E-3</c:v>
                </c:pt>
                <c:pt idx="16">
                  <c:v>-1.2970533866662145E-3</c:v>
                </c:pt>
                <c:pt idx="17">
                  <c:v>-1.2299668545510329E-3</c:v>
                </c:pt>
                <c:pt idx="18">
                  <c:v>-1.1619615487569496E-3</c:v>
                </c:pt>
                <c:pt idx="19">
                  <c:v>-1.1564194297692348E-3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'Chg_T_den '!$A$21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'!$B$21:$U$21</c:f>
              <c:numCache>
                <c:formatCode>General</c:formatCode>
                <c:ptCount val="20"/>
                <c:pt idx="0">
                  <c:v>-4.0366027888004818E-3</c:v>
                </c:pt>
                <c:pt idx="1">
                  <c:v>-3.5562859493497466E-3</c:v>
                </c:pt>
                <c:pt idx="2">
                  <c:v>-3.1678614004386988E-3</c:v>
                </c:pt>
                <c:pt idx="3">
                  <c:v>-2.9532845319915442E-3</c:v>
                </c:pt>
                <c:pt idx="4">
                  <c:v>-2.7568844195712309E-3</c:v>
                </c:pt>
                <c:pt idx="5">
                  <c:v>-2.3665671665776119E-3</c:v>
                </c:pt>
                <c:pt idx="6">
                  <c:v>-2.3426243844430475E-3</c:v>
                </c:pt>
                <c:pt idx="7">
                  <c:v>-2.1371757750699E-3</c:v>
                </c:pt>
                <c:pt idx="8">
                  <c:v>-2.0208732642515775E-3</c:v>
                </c:pt>
                <c:pt idx="9">
                  <c:v>-1.804448089054327E-3</c:v>
                </c:pt>
                <c:pt idx="10">
                  <c:v>-1.7089085331187324E-3</c:v>
                </c:pt>
                <c:pt idx="11">
                  <c:v>-1.62439924185692E-3</c:v>
                </c:pt>
                <c:pt idx="12">
                  <c:v>-1.670279292479193E-3</c:v>
                </c:pt>
                <c:pt idx="13">
                  <c:v>-1.5649506598501962E-3</c:v>
                </c:pt>
                <c:pt idx="14">
                  <c:v>-1.4384637487063383E-3</c:v>
                </c:pt>
                <c:pt idx="15">
                  <c:v>-1.4420308580586725E-3</c:v>
                </c:pt>
                <c:pt idx="16">
                  <c:v>-1.3626494374242976E-3</c:v>
                </c:pt>
                <c:pt idx="17">
                  <c:v>-1.3412594515721679E-3</c:v>
                </c:pt>
                <c:pt idx="18">
                  <c:v>-1.2792306103539032E-3</c:v>
                </c:pt>
                <c:pt idx="19">
                  <c:v>-1.0820466569385647E-3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'Chg_T_den '!$A$22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'!$B$22:$U$22</c:f>
              <c:numCache>
                <c:formatCode>General</c:formatCode>
                <c:ptCount val="20"/>
                <c:pt idx="0">
                  <c:v>-4.3306181583495371E-3</c:v>
                </c:pt>
                <c:pt idx="1">
                  <c:v>-3.9565112843816435E-3</c:v>
                </c:pt>
                <c:pt idx="2">
                  <c:v>-3.5969102824573887E-3</c:v>
                </c:pt>
                <c:pt idx="3">
                  <c:v>-3.4663947760021443E-3</c:v>
                </c:pt>
                <c:pt idx="4">
                  <c:v>-3.2959495450801371E-3</c:v>
                </c:pt>
                <c:pt idx="5">
                  <c:v>-3.1050340486860001E-3</c:v>
                </c:pt>
                <c:pt idx="6">
                  <c:v>-2.928953340882251E-3</c:v>
                </c:pt>
                <c:pt idx="7">
                  <c:v>-2.8329034155670047E-3</c:v>
                </c:pt>
                <c:pt idx="8">
                  <c:v>-2.5879198966321407E-3</c:v>
                </c:pt>
                <c:pt idx="9">
                  <c:v>-2.5021466041532333E-3</c:v>
                </c:pt>
                <c:pt idx="10">
                  <c:v>-2.2551557023055566E-3</c:v>
                </c:pt>
                <c:pt idx="11">
                  <c:v>-2.3214898491932027E-3</c:v>
                </c:pt>
                <c:pt idx="12">
                  <c:v>-2.2697489516666459E-3</c:v>
                </c:pt>
                <c:pt idx="13">
                  <c:v>-2.1186727730933071E-3</c:v>
                </c:pt>
                <c:pt idx="14">
                  <c:v>-1.962368657436076E-3</c:v>
                </c:pt>
                <c:pt idx="15">
                  <c:v>-1.8981520528061015E-3</c:v>
                </c:pt>
                <c:pt idx="16">
                  <c:v>-1.7751588267051778E-3</c:v>
                </c:pt>
                <c:pt idx="17">
                  <c:v>-1.7485741402311821E-3</c:v>
                </c:pt>
                <c:pt idx="18">
                  <c:v>-1.6436778159196362E-3</c:v>
                </c:pt>
                <c:pt idx="19">
                  <c:v>-1.6020138805071403E-3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'Chg_T_den '!$A$23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'!$B$23:$U$23</c:f>
              <c:numCache>
                <c:formatCode>General</c:formatCode>
                <c:ptCount val="20"/>
                <c:pt idx="0">
                  <c:v>-4.0796506253501404E-3</c:v>
                </c:pt>
                <c:pt idx="1">
                  <c:v>-3.5978389758643415E-3</c:v>
                </c:pt>
                <c:pt idx="2">
                  <c:v>-3.2214514905045681E-3</c:v>
                </c:pt>
                <c:pt idx="3">
                  <c:v>-3.0113182247359397E-3</c:v>
                </c:pt>
                <c:pt idx="4">
                  <c:v>-2.7822456970902636E-3</c:v>
                </c:pt>
                <c:pt idx="5">
                  <c:v>-2.4741145948102118E-3</c:v>
                </c:pt>
                <c:pt idx="6">
                  <c:v>-2.336025795363645E-3</c:v>
                </c:pt>
                <c:pt idx="7">
                  <c:v>-2.1954563873968352E-3</c:v>
                </c:pt>
                <c:pt idx="8">
                  <c:v>-1.9769570247781892E-3</c:v>
                </c:pt>
                <c:pt idx="9">
                  <c:v>-1.8882995067991662E-3</c:v>
                </c:pt>
                <c:pt idx="10">
                  <c:v>-1.8189371208788151E-3</c:v>
                </c:pt>
                <c:pt idx="11">
                  <c:v>-1.7166518171339729E-3</c:v>
                </c:pt>
                <c:pt idx="12">
                  <c:v>-1.6743530649723031E-3</c:v>
                </c:pt>
                <c:pt idx="13">
                  <c:v>-1.5233376409976497E-3</c:v>
                </c:pt>
                <c:pt idx="14">
                  <c:v>-1.3821128783989261E-3</c:v>
                </c:pt>
                <c:pt idx="15">
                  <c:v>-1.3493416590876892E-3</c:v>
                </c:pt>
                <c:pt idx="16">
                  <c:v>-1.2597837590956626E-3</c:v>
                </c:pt>
                <c:pt idx="17">
                  <c:v>-1.2920094185800977E-3</c:v>
                </c:pt>
                <c:pt idx="18">
                  <c:v>-1.1546109816175771E-3</c:v>
                </c:pt>
                <c:pt idx="19">
                  <c:v>-1.0492808869620074E-3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'Chg_T_den '!$A$24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'!$B$24:$U$24</c:f>
              <c:numCache>
                <c:formatCode>General</c:formatCode>
                <c:ptCount val="20"/>
                <c:pt idx="0">
                  <c:v>-4.2285451328998224E-3</c:v>
                </c:pt>
                <c:pt idx="1">
                  <c:v>-3.8419292148462029E-3</c:v>
                </c:pt>
                <c:pt idx="2">
                  <c:v>-3.4367702163815642E-3</c:v>
                </c:pt>
                <c:pt idx="3">
                  <c:v>-3.2268448092434804E-3</c:v>
                </c:pt>
                <c:pt idx="4">
                  <c:v>-3.0702269545170814E-3</c:v>
                </c:pt>
                <c:pt idx="5">
                  <c:v>-2.6925418108431328E-3</c:v>
                </c:pt>
                <c:pt idx="6">
                  <c:v>-2.5007020174281111E-3</c:v>
                </c:pt>
                <c:pt idx="7">
                  <c:v>-2.1905241774051783E-3</c:v>
                </c:pt>
                <c:pt idx="8">
                  <c:v>-2.1888275957183683E-3</c:v>
                </c:pt>
                <c:pt idx="9">
                  <c:v>-2.1322499726942837E-3</c:v>
                </c:pt>
                <c:pt idx="10">
                  <c:v>-2.0134777129659359E-3</c:v>
                </c:pt>
                <c:pt idx="11">
                  <c:v>-1.9365550385173637E-3</c:v>
                </c:pt>
                <c:pt idx="12">
                  <c:v>-1.9292913306449525E-3</c:v>
                </c:pt>
                <c:pt idx="13">
                  <c:v>-1.8424726073861136E-3</c:v>
                </c:pt>
                <c:pt idx="14">
                  <c:v>-1.9064307479623706E-3</c:v>
                </c:pt>
                <c:pt idx="15">
                  <c:v>-1.8455993581298928E-3</c:v>
                </c:pt>
                <c:pt idx="16">
                  <c:v>-1.7257386784209619E-3</c:v>
                </c:pt>
                <c:pt idx="17">
                  <c:v>-1.6576742967856644E-3</c:v>
                </c:pt>
                <c:pt idx="18">
                  <c:v>-1.6336709406854484E-3</c:v>
                </c:pt>
                <c:pt idx="19">
                  <c:v>-1.6189251209590561E-3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'Chg_T_den '!$A$25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'!$B$25:$U$25</c:f>
              <c:numCache>
                <c:formatCode>General</c:formatCode>
                <c:ptCount val="20"/>
                <c:pt idx="0">
                  <c:v>-4.0829118898050177E-3</c:v>
                </c:pt>
                <c:pt idx="1">
                  <c:v>-3.6261251898461085E-3</c:v>
                </c:pt>
                <c:pt idx="2">
                  <c:v>-3.22013289624253E-3</c:v>
                </c:pt>
                <c:pt idx="3">
                  <c:v>-2.9736364497630588E-3</c:v>
                </c:pt>
                <c:pt idx="4">
                  <c:v>-2.7288589644013754E-3</c:v>
                </c:pt>
                <c:pt idx="5">
                  <c:v>-2.4715365510243727E-3</c:v>
                </c:pt>
                <c:pt idx="6">
                  <c:v>-2.3238424380861975E-3</c:v>
                </c:pt>
                <c:pt idx="7">
                  <c:v>-2.2567908228694456E-3</c:v>
                </c:pt>
                <c:pt idx="8">
                  <c:v>-1.9993725481711271E-3</c:v>
                </c:pt>
                <c:pt idx="9">
                  <c:v>-1.822395262284791E-3</c:v>
                </c:pt>
                <c:pt idx="10">
                  <c:v>-1.672592100540038E-3</c:v>
                </c:pt>
                <c:pt idx="11">
                  <c:v>-1.5368047114716875E-3</c:v>
                </c:pt>
                <c:pt idx="12">
                  <c:v>-1.4307007525966395E-3</c:v>
                </c:pt>
                <c:pt idx="13">
                  <c:v>-1.434493109701726E-3</c:v>
                </c:pt>
                <c:pt idx="14">
                  <c:v>-1.4990174428604472E-3</c:v>
                </c:pt>
                <c:pt idx="15">
                  <c:v>-1.5800493775363202E-3</c:v>
                </c:pt>
                <c:pt idx="16">
                  <c:v>-1.3807765497884461E-3</c:v>
                </c:pt>
                <c:pt idx="17">
                  <c:v>-1.4243736263075452E-3</c:v>
                </c:pt>
                <c:pt idx="18">
                  <c:v>-1.2861977111127904E-3</c:v>
                </c:pt>
                <c:pt idx="19">
                  <c:v>-1.087883775178722E-3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'Chg_T_den '!$A$26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'!$B$26:$U$26</c:f>
              <c:numCache>
                <c:formatCode>General</c:formatCode>
                <c:ptCount val="20"/>
                <c:pt idx="0">
                  <c:v>-5.7322288538799258E-3</c:v>
                </c:pt>
                <c:pt idx="1">
                  <c:v>-5.238333534871565E-3</c:v>
                </c:pt>
                <c:pt idx="2">
                  <c:v>-4.3269556004313908E-3</c:v>
                </c:pt>
                <c:pt idx="3">
                  <c:v>-3.711597396272583E-3</c:v>
                </c:pt>
                <c:pt idx="4">
                  <c:v>-3.1872834444582488E-3</c:v>
                </c:pt>
                <c:pt idx="5">
                  <c:v>-2.6266817608410599E-3</c:v>
                </c:pt>
                <c:pt idx="6">
                  <c:v>-2.3180447975877571E-3</c:v>
                </c:pt>
                <c:pt idx="7">
                  <c:v>-2.0327579654302146E-3</c:v>
                </c:pt>
                <c:pt idx="8">
                  <c:v>-1.4338121385032289E-3</c:v>
                </c:pt>
                <c:pt idx="9">
                  <c:v>-1.3070196138539728E-3</c:v>
                </c:pt>
                <c:pt idx="10">
                  <c:v>-1.0982540793572893E-3</c:v>
                </c:pt>
                <c:pt idx="11">
                  <c:v>-7.6385976618478042E-4</c:v>
                </c:pt>
                <c:pt idx="12">
                  <c:v>-8.8316953165115978E-4</c:v>
                </c:pt>
                <c:pt idx="13">
                  <c:v>-7.2404181357946739E-4</c:v>
                </c:pt>
                <c:pt idx="14">
                  <c:v>-5.4282631568366036E-4</c:v>
                </c:pt>
                <c:pt idx="15">
                  <c:v>-4.4338588741275593E-4</c:v>
                </c:pt>
                <c:pt idx="16">
                  <c:v>-4.6580439229156447E-4</c:v>
                </c:pt>
                <c:pt idx="17">
                  <c:v>-2.0297572382811779E-4</c:v>
                </c:pt>
                <c:pt idx="18">
                  <c:v>-1.0442142581759976E-4</c:v>
                </c:pt>
                <c:pt idx="19">
                  <c:v>-1.6910192902341268E-4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'Chg_T_den '!$A$27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'!$B$27:$U$27</c:f>
              <c:numCache>
                <c:formatCode>General</c:formatCode>
                <c:ptCount val="20"/>
                <c:pt idx="0">
                  <c:v>-4.2690772131655074E-3</c:v>
                </c:pt>
                <c:pt idx="1">
                  <c:v>-3.9276571496922848E-3</c:v>
                </c:pt>
                <c:pt idx="2">
                  <c:v>-3.7213813774916722E-3</c:v>
                </c:pt>
                <c:pt idx="3">
                  <c:v>-3.6815004204682452E-3</c:v>
                </c:pt>
                <c:pt idx="4">
                  <c:v>-3.5677916260177531E-3</c:v>
                </c:pt>
                <c:pt idx="5">
                  <c:v>-3.4307923884709427E-3</c:v>
                </c:pt>
                <c:pt idx="6">
                  <c:v>-3.1549832095509331E-3</c:v>
                </c:pt>
                <c:pt idx="7">
                  <c:v>-3.0478680352824627E-3</c:v>
                </c:pt>
                <c:pt idx="8">
                  <c:v>-2.9050876298807246E-3</c:v>
                </c:pt>
                <c:pt idx="9">
                  <c:v>-2.7897128430902406E-3</c:v>
                </c:pt>
                <c:pt idx="10">
                  <c:v>-2.7088256198432238E-3</c:v>
                </c:pt>
                <c:pt idx="11">
                  <c:v>-2.4877051756179705E-3</c:v>
                </c:pt>
                <c:pt idx="12">
                  <c:v>-2.2828747203129658E-3</c:v>
                </c:pt>
                <c:pt idx="13">
                  <c:v>-2.170585777006474E-3</c:v>
                </c:pt>
                <c:pt idx="14">
                  <c:v>-2.239501047549984E-3</c:v>
                </c:pt>
                <c:pt idx="15">
                  <c:v>-2.244580145407832E-3</c:v>
                </c:pt>
                <c:pt idx="16">
                  <c:v>-2.2271227841760108E-3</c:v>
                </c:pt>
                <c:pt idx="17">
                  <c:v>-2.2089100282264508E-3</c:v>
                </c:pt>
                <c:pt idx="18">
                  <c:v>-2.1409417047349292E-3</c:v>
                </c:pt>
                <c:pt idx="19">
                  <c:v>-2.0247946617522662E-3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'Chg_T_den '!$A$28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'!$B$28:$U$28</c:f>
              <c:numCache>
                <c:formatCode>General</c:formatCode>
                <c:ptCount val="20"/>
                <c:pt idx="0">
                  <c:v>-4.1947150759683036E-3</c:v>
                </c:pt>
                <c:pt idx="1">
                  <c:v>-3.7323249597097457E-3</c:v>
                </c:pt>
                <c:pt idx="2">
                  <c:v>-3.2912471251189267E-3</c:v>
                </c:pt>
                <c:pt idx="3">
                  <c:v>-3.0265121836967209E-3</c:v>
                </c:pt>
                <c:pt idx="4">
                  <c:v>-2.79955643536692E-3</c:v>
                </c:pt>
                <c:pt idx="5">
                  <c:v>-2.488142612623037E-3</c:v>
                </c:pt>
                <c:pt idx="6">
                  <c:v>-2.242204656973478E-3</c:v>
                </c:pt>
                <c:pt idx="7">
                  <c:v>-2.0343946542019462E-3</c:v>
                </c:pt>
                <c:pt idx="8">
                  <c:v>-1.8033623197953234E-3</c:v>
                </c:pt>
                <c:pt idx="9">
                  <c:v>-1.5573220067431569E-3</c:v>
                </c:pt>
                <c:pt idx="10">
                  <c:v>-1.5433173508040935E-3</c:v>
                </c:pt>
                <c:pt idx="11">
                  <c:v>-1.4538062907509888E-3</c:v>
                </c:pt>
                <c:pt idx="12">
                  <c:v>-1.3861869727796634E-3</c:v>
                </c:pt>
                <c:pt idx="13">
                  <c:v>-1.3123541612064498E-3</c:v>
                </c:pt>
                <c:pt idx="14">
                  <c:v>-1.2453746474227134E-3</c:v>
                </c:pt>
                <c:pt idx="15">
                  <c:v>-1.3708875504102023E-3</c:v>
                </c:pt>
                <c:pt idx="16">
                  <c:v>-1.2924617995264851E-3</c:v>
                </c:pt>
                <c:pt idx="17">
                  <c:v>-1.2263020584583051E-3</c:v>
                </c:pt>
                <c:pt idx="18">
                  <c:v>-1.1793094843817341E-3</c:v>
                </c:pt>
                <c:pt idx="19">
                  <c:v>-1.051996889390686E-3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'Chg_T_den '!$A$29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'!$B$29:$U$29</c:f>
              <c:numCache>
                <c:formatCode>General</c:formatCode>
                <c:ptCount val="20"/>
                <c:pt idx="0">
                  <c:v>-4.0237272423966439E-3</c:v>
                </c:pt>
                <c:pt idx="1">
                  <c:v>-3.6428669618119225E-3</c:v>
                </c:pt>
                <c:pt idx="2">
                  <c:v>-3.2657110126114368E-3</c:v>
                </c:pt>
                <c:pt idx="3">
                  <c:v>-3.1918001822127812E-3</c:v>
                </c:pt>
                <c:pt idx="4">
                  <c:v>-2.9447462447635729E-3</c:v>
                </c:pt>
                <c:pt idx="5">
                  <c:v>-2.7337204674199129E-3</c:v>
                </c:pt>
                <c:pt idx="6">
                  <c:v>-2.5875100585286007E-3</c:v>
                </c:pt>
                <c:pt idx="7">
                  <c:v>-2.4446293612725854E-3</c:v>
                </c:pt>
                <c:pt idx="8">
                  <c:v>-2.3678684728415844E-3</c:v>
                </c:pt>
                <c:pt idx="9">
                  <c:v>-2.3507750868123202E-3</c:v>
                </c:pt>
                <c:pt idx="10">
                  <c:v>-2.2156152881406053E-3</c:v>
                </c:pt>
                <c:pt idx="11">
                  <c:v>-2.2970448931546477E-3</c:v>
                </c:pt>
                <c:pt idx="12">
                  <c:v>-2.3549579117928578E-3</c:v>
                </c:pt>
                <c:pt idx="13">
                  <c:v>-2.407043978609023E-3</c:v>
                </c:pt>
                <c:pt idx="14">
                  <c:v>-2.4507938929633948E-3</c:v>
                </c:pt>
                <c:pt idx="15">
                  <c:v>-2.4091311787764417E-3</c:v>
                </c:pt>
                <c:pt idx="16">
                  <c:v>-2.309540245823262E-3</c:v>
                </c:pt>
                <c:pt idx="17">
                  <c:v>-2.3404096992354524E-3</c:v>
                </c:pt>
                <c:pt idx="18">
                  <c:v>-2.2350492409773139E-3</c:v>
                </c:pt>
                <c:pt idx="19">
                  <c:v>-2.0776445252774999E-3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'Chg_T_den '!$A$30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'!$B$30:$U$30</c:f>
              <c:numCache>
                <c:formatCode>General</c:formatCode>
                <c:ptCount val="20"/>
                <c:pt idx="0">
                  <c:v>-5.3571920676107661E-3</c:v>
                </c:pt>
                <c:pt idx="1">
                  <c:v>-5.5025593169142255E-3</c:v>
                </c:pt>
                <c:pt idx="2">
                  <c:v>-5.9733001941452372E-3</c:v>
                </c:pt>
                <c:pt idx="3">
                  <c:v>-6.2730610592616875E-3</c:v>
                </c:pt>
                <c:pt idx="4">
                  <c:v>-6.3518854794238659E-3</c:v>
                </c:pt>
                <c:pt idx="5">
                  <c:v>-6.4005342508920869E-3</c:v>
                </c:pt>
                <c:pt idx="6">
                  <c:v>-6.4105196937182017E-3</c:v>
                </c:pt>
                <c:pt idx="7">
                  <c:v>-6.4372236754264792E-3</c:v>
                </c:pt>
                <c:pt idx="8">
                  <c:v>-6.429748619927571E-3</c:v>
                </c:pt>
                <c:pt idx="9">
                  <c:v>-6.2781358830865846E-3</c:v>
                </c:pt>
                <c:pt idx="10">
                  <c:v>-6.2341681544656686E-3</c:v>
                </c:pt>
                <c:pt idx="11">
                  <c:v>-6.4273146228337845E-3</c:v>
                </c:pt>
                <c:pt idx="12">
                  <c:v>-6.3987687781978525E-3</c:v>
                </c:pt>
                <c:pt idx="13">
                  <c:v>-6.6443931443677367E-3</c:v>
                </c:pt>
                <c:pt idx="14">
                  <c:v>-6.7773695865088546E-3</c:v>
                </c:pt>
                <c:pt idx="15">
                  <c:v>-6.7934928379699625E-3</c:v>
                </c:pt>
                <c:pt idx="16">
                  <c:v>-6.7142562300116235E-3</c:v>
                </c:pt>
                <c:pt idx="17">
                  <c:v>-6.643503090251187E-3</c:v>
                </c:pt>
                <c:pt idx="18">
                  <c:v>-6.5462138536607761E-3</c:v>
                </c:pt>
                <c:pt idx="19">
                  <c:v>-6.4331464949560586E-3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'Chg_T_den '!$A$31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'!$B$31:$U$31</c:f>
              <c:numCache>
                <c:formatCode>General</c:formatCode>
                <c:ptCount val="20"/>
                <c:pt idx="0">
                  <c:v>-5.1098311444223148E-3</c:v>
                </c:pt>
                <c:pt idx="1">
                  <c:v>-5.1788145456404247E-3</c:v>
                </c:pt>
                <c:pt idx="2">
                  <c:v>-5.3538805272587498E-3</c:v>
                </c:pt>
                <c:pt idx="3">
                  <c:v>-5.5056957581015578E-3</c:v>
                </c:pt>
                <c:pt idx="4">
                  <c:v>-5.4726612659435504E-3</c:v>
                </c:pt>
                <c:pt idx="5">
                  <c:v>-5.2307888101068116E-3</c:v>
                </c:pt>
                <c:pt idx="6">
                  <c:v>-5.0078350395512984E-3</c:v>
                </c:pt>
                <c:pt idx="7">
                  <c:v>-4.7695013638423293E-3</c:v>
                </c:pt>
                <c:pt idx="8">
                  <c:v>-4.6349067575840357E-3</c:v>
                </c:pt>
                <c:pt idx="9">
                  <c:v>-4.5306950340334709E-3</c:v>
                </c:pt>
                <c:pt idx="10">
                  <c:v>-4.3553580574874091E-3</c:v>
                </c:pt>
                <c:pt idx="11">
                  <c:v>-4.0715142795489248E-3</c:v>
                </c:pt>
                <c:pt idx="12">
                  <c:v>-3.9922539731039094E-3</c:v>
                </c:pt>
                <c:pt idx="13">
                  <c:v>-4.0144258247743377E-3</c:v>
                </c:pt>
                <c:pt idx="14">
                  <c:v>-3.907485463517821E-3</c:v>
                </c:pt>
                <c:pt idx="15">
                  <c:v>-4.0056309144032003E-3</c:v>
                </c:pt>
                <c:pt idx="16">
                  <c:v>-3.8825394343229907E-3</c:v>
                </c:pt>
                <c:pt idx="17">
                  <c:v>-4.0043252730720402E-3</c:v>
                </c:pt>
                <c:pt idx="18">
                  <c:v>-3.9804622863983084E-3</c:v>
                </c:pt>
                <c:pt idx="19">
                  <c:v>-3.9980464685176222E-3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'Chg_T_den '!$A$32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'!$B$32:$U$32</c:f>
              <c:numCache>
                <c:formatCode>General</c:formatCode>
                <c:ptCount val="20"/>
                <c:pt idx="0">
                  <c:v>-7.099406256403545E-3</c:v>
                </c:pt>
                <c:pt idx="1">
                  <c:v>-7.5042829261066594E-3</c:v>
                </c:pt>
                <c:pt idx="2">
                  <c:v>-7.7771532172597998E-3</c:v>
                </c:pt>
                <c:pt idx="3">
                  <c:v>-7.8132227401596036E-3</c:v>
                </c:pt>
                <c:pt idx="4">
                  <c:v>-7.4187544831240682E-3</c:v>
                </c:pt>
                <c:pt idx="5">
                  <c:v>-7.5832098002172931E-3</c:v>
                </c:pt>
                <c:pt idx="6">
                  <c:v>-7.322364385162072E-3</c:v>
                </c:pt>
                <c:pt idx="7">
                  <c:v>-7.114141245460193E-3</c:v>
                </c:pt>
                <c:pt idx="8">
                  <c:v>-7.2786036484816579E-3</c:v>
                </c:pt>
                <c:pt idx="9">
                  <c:v>-7.2511338543601042E-3</c:v>
                </c:pt>
                <c:pt idx="10">
                  <c:v>-7.1395186082672665E-3</c:v>
                </c:pt>
                <c:pt idx="11">
                  <c:v>-6.9934832120351542E-3</c:v>
                </c:pt>
                <c:pt idx="12">
                  <c:v>-6.9574230187404032E-3</c:v>
                </c:pt>
                <c:pt idx="13">
                  <c:v>-6.7368986060569319E-3</c:v>
                </c:pt>
                <c:pt idx="14">
                  <c:v>-6.7416422535800042E-3</c:v>
                </c:pt>
                <c:pt idx="15">
                  <c:v>-6.2776873133243757E-3</c:v>
                </c:pt>
                <c:pt idx="16">
                  <c:v>-5.8338633117324401E-3</c:v>
                </c:pt>
                <c:pt idx="17">
                  <c:v>-5.9856333324513171E-3</c:v>
                </c:pt>
                <c:pt idx="18">
                  <c:v>-6.2499947862822616E-3</c:v>
                </c:pt>
                <c:pt idx="19">
                  <c:v>-5.9859463779118553E-3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'Chg_T_den '!$A$33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'!$B$33:$U$33</c:f>
              <c:numCache>
                <c:formatCode>General</c:formatCode>
                <c:ptCount val="20"/>
                <c:pt idx="0">
                  <c:v>-7.2172202040104794E-3</c:v>
                </c:pt>
                <c:pt idx="1">
                  <c:v>-7.514414089386778E-3</c:v>
                </c:pt>
                <c:pt idx="2">
                  <c:v>-7.6424489483942482E-3</c:v>
                </c:pt>
                <c:pt idx="3">
                  <c:v>-7.6061084240373628E-3</c:v>
                </c:pt>
                <c:pt idx="4">
                  <c:v>-7.7525605136544709E-3</c:v>
                </c:pt>
                <c:pt idx="5">
                  <c:v>-7.6718655487693745E-3</c:v>
                </c:pt>
                <c:pt idx="6">
                  <c:v>-7.642019194969909E-3</c:v>
                </c:pt>
                <c:pt idx="7">
                  <c:v>-7.4179671315955558E-3</c:v>
                </c:pt>
                <c:pt idx="8">
                  <c:v>-7.3328062901529675E-3</c:v>
                </c:pt>
                <c:pt idx="9">
                  <c:v>-7.1529919733513579E-3</c:v>
                </c:pt>
                <c:pt idx="10">
                  <c:v>-6.9618574842987635E-3</c:v>
                </c:pt>
                <c:pt idx="11">
                  <c:v>-6.8178652637584857E-3</c:v>
                </c:pt>
                <c:pt idx="12">
                  <c:v>-6.712088254504707E-3</c:v>
                </c:pt>
                <c:pt idx="13">
                  <c:v>-6.6965998000336887E-3</c:v>
                </c:pt>
                <c:pt idx="14">
                  <c:v>-6.6345400796881029E-3</c:v>
                </c:pt>
                <c:pt idx="15">
                  <c:v>-6.8266087475503849E-3</c:v>
                </c:pt>
                <c:pt idx="16">
                  <c:v>-6.6361050623218966E-3</c:v>
                </c:pt>
                <c:pt idx="17">
                  <c:v>-6.4525013565927538E-3</c:v>
                </c:pt>
                <c:pt idx="18">
                  <c:v>-6.2664192088730582E-3</c:v>
                </c:pt>
                <c:pt idx="19">
                  <c:v>-5.9579836627422595E-3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'Chg_T_den '!$A$34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'!$B$34:$U$34</c:f>
              <c:numCache>
                <c:formatCode>General</c:formatCode>
                <c:ptCount val="20"/>
                <c:pt idx="0">
                  <c:v>-7.194911245841787E-3</c:v>
                </c:pt>
                <c:pt idx="1">
                  <c:v>-7.4623114997859489E-3</c:v>
                </c:pt>
                <c:pt idx="2">
                  <c:v>-7.7079613540200339E-3</c:v>
                </c:pt>
                <c:pt idx="3">
                  <c:v>-7.6296099709843796E-3</c:v>
                </c:pt>
                <c:pt idx="4">
                  <c:v>-7.7277586837410832E-3</c:v>
                </c:pt>
                <c:pt idx="5">
                  <c:v>-7.7247804681669615E-3</c:v>
                </c:pt>
                <c:pt idx="6">
                  <c:v>-7.6320051352935644E-3</c:v>
                </c:pt>
                <c:pt idx="7">
                  <c:v>-7.7489633882171626E-3</c:v>
                </c:pt>
                <c:pt idx="8">
                  <c:v>-7.6553275441618605E-3</c:v>
                </c:pt>
                <c:pt idx="9">
                  <c:v>-7.253034507347926E-3</c:v>
                </c:pt>
                <c:pt idx="10">
                  <c:v>-7.0518722132097179E-3</c:v>
                </c:pt>
                <c:pt idx="11">
                  <c:v>-7.1631067797751297E-3</c:v>
                </c:pt>
                <c:pt idx="12">
                  <c:v>-6.8981379842032436E-3</c:v>
                </c:pt>
                <c:pt idx="13">
                  <c:v>-6.7756785851635125E-3</c:v>
                </c:pt>
                <c:pt idx="14">
                  <c:v>-6.4695604832101412E-3</c:v>
                </c:pt>
                <c:pt idx="15">
                  <c:v>-6.3899241959975732E-3</c:v>
                </c:pt>
                <c:pt idx="16">
                  <c:v>-6.2494334173105494E-3</c:v>
                </c:pt>
                <c:pt idx="17">
                  <c:v>-6.5328350236473955E-3</c:v>
                </c:pt>
                <c:pt idx="18">
                  <c:v>-6.5639006007464328E-3</c:v>
                </c:pt>
                <c:pt idx="19">
                  <c:v>-6.4707999434505245E-3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'Chg_T_den '!$A$35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'!$B$35:$U$35</c:f>
              <c:numCache>
                <c:formatCode>General</c:formatCode>
                <c:ptCount val="20"/>
                <c:pt idx="0">
                  <c:v>-4.9732860928678423E-3</c:v>
                </c:pt>
                <c:pt idx="1">
                  <c:v>-4.8356113193808187E-3</c:v>
                </c:pt>
                <c:pt idx="2">
                  <c:v>-4.5365973912259855E-3</c:v>
                </c:pt>
                <c:pt idx="3">
                  <c:v>-4.2955497440519477E-3</c:v>
                </c:pt>
                <c:pt idx="4">
                  <c:v>-4.1225856623867407E-3</c:v>
                </c:pt>
                <c:pt idx="5">
                  <c:v>-4.0145759805387737E-3</c:v>
                </c:pt>
                <c:pt idx="6">
                  <c:v>-3.7485576657887111E-3</c:v>
                </c:pt>
                <c:pt idx="7">
                  <c:v>-3.6543441363665764E-3</c:v>
                </c:pt>
                <c:pt idx="8">
                  <c:v>-3.4845164194589047E-3</c:v>
                </c:pt>
                <c:pt idx="9">
                  <c:v>-3.4506648282916349E-3</c:v>
                </c:pt>
                <c:pt idx="10">
                  <c:v>-3.4459274665635856E-3</c:v>
                </c:pt>
                <c:pt idx="11">
                  <c:v>-3.5089029663108681E-3</c:v>
                </c:pt>
                <c:pt idx="12">
                  <c:v>-3.5241578817893048E-3</c:v>
                </c:pt>
                <c:pt idx="13">
                  <c:v>-3.5057230717435548E-3</c:v>
                </c:pt>
                <c:pt idx="14">
                  <c:v>-3.4396098901135117E-3</c:v>
                </c:pt>
                <c:pt idx="15">
                  <c:v>-3.433612971599647E-3</c:v>
                </c:pt>
                <c:pt idx="16">
                  <c:v>-3.4586092123023971E-3</c:v>
                </c:pt>
                <c:pt idx="17">
                  <c:v>-3.3024161895380405E-3</c:v>
                </c:pt>
                <c:pt idx="18">
                  <c:v>-3.209913032248911E-3</c:v>
                </c:pt>
                <c:pt idx="19">
                  <c:v>-3.0221215849268253E-3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'Chg_T_den '!$A$36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'!$B$36:$U$36</c:f>
              <c:numCache>
                <c:formatCode>General</c:formatCode>
                <c:ptCount val="20"/>
                <c:pt idx="0">
                  <c:v>-5.1182176857788855E-3</c:v>
                </c:pt>
                <c:pt idx="1">
                  <c:v>-4.8907837718108254E-3</c:v>
                </c:pt>
                <c:pt idx="2">
                  <c:v>-4.577586183843501E-3</c:v>
                </c:pt>
                <c:pt idx="3">
                  <c:v>-4.3538444866699933E-3</c:v>
                </c:pt>
                <c:pt idx="4">
                  <c:v>-4.1391698842675757E-3</c:v>
                </c:pt>
                <c:pt idx="5">
                  <c:v>-3.949517476796954E-3</c:v>
                </c:pt>
                <c:pt idx="6">
                  <c:v>-3.7712547828378756E-3</c:v>
                </c:pt>
                <c:pt idx="7">
                  <c:v>-3.6353330418393078E-3</c:v>
                </c:pt>
                <c:pt idx="8">
                  <c:v>-3.6755237242193208E-3</c:v>
                </c:pt>
                <c:pt idx="9">
                  <c:v>-3.5358353288655331E-3</c:v>
                </c:pt>
                <c:pt idx="10">
                  <c:v>-3.4859574780470894E-3</c:v>
                </c:pt>
                <c:pt idx="11">
                  <c:v>-3.496619973333193E-3</c:v>
                </c:pt>
                <c:pt idx="12">
                  <c:v>-3.3641807476762512E-3</c:v>
                </c:pt>
                <c:pt idx="13">
                  <c:v>-3.4269105266350615E-3</c:v>
                </c:pt>
                <c:pt idx="14">
                  <c:v>-3.5257895536385622E-3</c:v>
                </c:pt>
                <c:pt idx="15">
                  <c:v>-3.5244314996560962E-3</c:v>
                </c:pt>
                <c:pt idx="16">
                  <c:v>-3.6981271499152537E-3</c:v>
                </c:pt>
                <c:pt idx="17">
                  <c:v>-3.6860109666083897E-3</c:v>
                </c:pt>
                <c:pt idx="18">
                  <c:v>-3.6120886380113051E-3</c:v>
                </c:pt>
                <c:pt idx="19">
                  <c:v>-3.6125962049980823E-3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'Chg_T_den '!$A$37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'Chg_T_den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'Chg_T_den '!$B$37:$U$37</c:f>
              <c:numCache>
                <c:formatCode>General</c:formatCode>
                <c:ptCount val="20"/>
                <c:pt idx="0">
                  <c:v>-4.5224364680545581E-3</c:v>
                </c:pt>
                <c:pt idx="1">
                  <c:v>-4.0826282169373592E-3</c:v>
                </c:pt>
                <c:pt idx="2">
                  <c:v>-3.4652896699266075E-3</c:v>
                </c:pt>
                <c:pt idx="3">
                  <c:v>-2.9127363703371446E-3</c:v>
                </c:pt>
                <c:pt idx="4">
                  <c:v>-2.4887661797693746E-3</c:v>
                </c:pt>
                <c:pt idx="5">
                  <c:v>-2.1237660591743612E-3</c:v>
                </c:pt>
                <c:pt idx="6">
                  <c:v>-1.8615364398733298E-3</c:v>
                </c:pt>
                <c:pt idx="7">
                  <c:v>-1.713708559836147E-3</c:v>
                </c:pt>
                <c:pt idx="8">
                  <c:v>-1.6545312164513723E-3</c:v>
                </c:pt>
                <c:pt idx="9">
                  <c:v>-1.5510777779795526E-3</c:v>
                </c:pt>
                <c:pt idx="10">
                  <c:v>-1.4683995905053746E-3</c:v>
                </c:pt>
                <c:pt idx="11">
                  <c:v>-1.4739524146901474E-3</c:v>
                </c:pt>
                <c:pt idx="12">
                  <c:v>-1.4639481581350847E-3</c:v>
                </c:pt>
                <c:pt idx="13">
                  <c:v>-1.4748381896431768E-3</c:v>
                </c:pt>
                <c:pt idx="14">
                  <c:v>-1.3672477929891937E-3</c:v>
                </c:pt>
                <c:pt idx="15">
                  <c:v>-1.3703516823373682E-3</c:v>
                </c:pt>
                <c:pt idx="16">
                  <c:v>-1.4765540998191566E-3</c:v>
                </c:pt>
                <c:pt idx="17">
                  <c:v>-1.4524867658257962E-3</c:v>
                </c:pt>
                <c:pt idx="18">
                  <c:v>-1.1501645025765422E-3</c:v>
                </c:pt>
                <c:pt idx="19">
                  <c:v>-1.0744435734355961E-3</c:v>
                </c:pt>
              </c:numCache>
            </c:numRef>
          </c:yVal>
          <c:smooth val="1"/>
        </c:ser>
        <c:axId val="98916608"/>
        <c:axId val="98935168"/>
      </c:scatterChart>
      <c:valAx>
        <c:axId val="9891660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935168"/>
        <c:crosses val="autoZero"/>
        <c:crossBetween val="midCat"/>
      </c:valAx>
      <c:valAx>
        <c:axId val="98935168"/>
        <c:scaling>
          <c:orientation val="minMax"/>
        </c:scaling>
        <c:axPos val="l"/>
        <c:numFmt formatCode="General" sourceLinked="1"/>
        <c:tickLblPos val="nextTo"/>
        <c:crossAx val="98916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609999455230414"/>
          <c:y val="8.622579695437832E-2"/>
          <c:w val="0.23601915912719532"/>
          <c:h val="0.86314622366714899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'!$B$3:$U$3</c:f>
              <c:numCache>
                <c:formatCode>General</c:formatCode>
                <c:ptCount val="20"/>
                <c:pt idx="0">
                  <c:v>-0.29259772178193943</c:v>
                </c:pt>
                <c:pt idx="1">
                  <c:v>-0.33571655648954174</c:v>
                </c:pt>
                <c:pt idx="2">
                  <c:v>-0.38571911005106441</c:v>
                </c:pt>
                <c:pt idx="3">
                  <c:v>-0.44251128259100203</c:v>
                </c:pt>
                <c:pt idx="4">
                  <c:v>-0.4519475037520968</c:v>
                </c:pt>
                <c:pt idx="5">
                  <c:v>-0.47018312126379824</c:v>
                </c:pt>
                <c:pt idx="6">
                  <c:v>-0.50203449420384283</c:v>
                </c:pt>
                <c:pt idx="7">
                  <c:v>-0.51387161140727033</c:v>
                </c:pt>
                <c:pt idx="8">
                  <c:v>-0.53039538499161543</c:v>
                </c:pt>
                <c:pt idx="9">
                  <c:v>-0.54769126742436713</c:v>
                </c:pt>
                <c:pt idx="10">
                  <c:v>-0.52186699073101062</c:v>
                </c:pt>
                <c:pt idx="11">
                  <c:v>-0.51480940654053198</c:v>
                </c:pt>
                <c:pt idx="12">
                  <c:v>-0.53007757779909037</c:v>
                </c:pt>
                <c:pt idx="13">
                  <c:v>-0.54515703379723768</c:v>
                </c:pt>
                <c:pt idx="14">
                  <c:v>-0.54781215472789802</c:v>
                </c:pt>
                <c:pt idx="15">
                  <c:v>-0.536355356700291</c:v>
                </c:pt>
                <c:pt idx="16">
                  <c:v>-0.5427902553556988</c:v>
                </c:pt>
                <c:pt idx="17">
                  <c:v>-0.56664849144306884</c:v>
                </c:pt>
                <c:pt idx="18">
                  <c:v>-0.56129115719336775</c:v>
                </c:pt>
                <c:pt idx="19">
                  <c:v>-0.59628033207430708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'!$B$21:$U$21</c:f>
              <c:numCache>
                <c:formatCode>General</c:formatCode>
                <c:ptCount val="20"/>
                <c:pt idx="0">
                  <c:v>-0.34396809101338938</c:v>
                </c:pt>
                <c:pt idx="1">
                  <c:v>-0.41830949313773114</c:v>
                </c:pt>
                <c:pt idx="2">
                  <c:v>-0.49256343516746293</c:v>
                </c:pt>
                <c:pt idx="3">
                  <c:v>-0.52993914417807708</c:v>
                </c:pt>
                <c:pt idx="4">
                  <c:v>-0.56177340372348639</c:v>
                </c:pt>
                <c:pt idx="5">
                  <c:v>-0.61208857581921328</c:v>
                </c:pt>
                <c:pt idx="6">
                  <c:v>-0.61869267991295251</c:v>
                </c:pt>
                <c:pt idx="7">
                  <c:v>-0.64771459453942803</c:v>
                </c:pt>
                <c:pt idx="8">
                  <c:v>-0.66379286879712374</c:v>
                </c:pt>
                <c:pt idx="9">
                  <c:v>-0.69399123921596739</c:v>
                </c:pt>
                <c:pt idx="10">
                  <c:v>-0.71003603328828446</c:v>
                </c:pt>
                <c:pt idx="11">
                  <c:v>-0.72223939501852541</c:v>
                </c:pt>
                <c:pt idx="12">
                  <c:v>-0.71696970257143855</c:v>
                </c:pt>
                <c:pt idx="13">
                  <c:v>-0.73392092636964612</c:v>
                </c:pt>
                <c:pt idx="14">
                  <c:v>-0.752982595755046</c:v>
                </c:pt>
                <c:pt idx="15">
                  <c:v>-0.75357567404215653</c:v>
                </c:pt>
                <c:pt idx="16">
                  <c:v>-0.765170713737235</c:v>
                </c:pt>
                <c:pt idx="17">
                  <c:v>-0.76822505727614698</c:v>
                </c:pt>
                <c:pt idx="18">
                  <c:v>-0.77856249825747592</c:v>
                </c:pt>
                <c:pt idx="19">
                  <c:v>-0.80865373916207295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'!$B$37:$U$37</c:f>
              <c:numCache>
                <c:formatCode>General</c:formatCode>
                <c:ptCount val="20"/>
                <c:pt idx="0">
                  <c:v>-0.30767420000278412</c:v>
                </c:pt>
                <c:pt idx="1">
                  <c:v>-0.36168973573723234</c:v>
                </c:pt>
                <c:pt idx="2">
                  <c:v>-0.44526550818562893</c:v>
                </c:pt>
                <c:pt idx="3">
                  <c:v>-0.51902422932229242</c:v>
                </c:pt>
                <c:pt idx="4">
                  <c:v>-0.58033992732577433</c:v>
                </c:pt>
                <c:pt idx="5">
                  <c:v>-0.63527380357501795</c:v>
                </c:pt>
                <c:pt idx="6">
                  <c:v>-0.67443123626725776</c:v>
                </c:pt>
                <c:pt idx="7">
                  <c:v>-0.69791917222670119</c:v>
                </c:pt>
                <c:pt idx="8">
                  <c:v>-0.70750083350803905</c:v>
                </c:pt>
                <c:pt idx="9">
                  <c:v>-0.72318101207185026</c:v>
                </c:pt>
                <c:pt idx="10">
                  <c:v>-0.73605646239151945</c:v>
                </c:pt>
                <c:pt idx="11">
                  <c:v>-0.73395285868911864</c:v>
                </c:pt>
                <c:pt idx="12">
                  <c:v>-0.73641734009897886</c:v>
                </c:pt>
                <c:pt idx="13">
                  <c:v>-0.73396904699551135</c:v>
                </c:pt>
                <c:pt idx="14">
                  <c:v>-0.75092505825289435</c:v>
                </c:pt>
                <c:pt idx="15">
                  <c:v>-0.74917261695625337</c:v>
                </c:pt>
                <c:pt idx="16">
                  <c:v>-0.73394989957359058</c:v>
                </c:pt>
                <c:pt idx="17">
                  <c:v>-0.74009707202713615</c:v>
                </c:pt>
                <c:pt idx="18">
                  <c:v>-0.78669340090269579</c:v>
                </c:pt>
                <c:pt idx="19">
                  <c:v>-0.79929304336656815</c:v>
                </c:pt>
              </c:numCache>
            </c:numRef>
          </c:yVal>
          <c:smooth val="1"/>
        </c:ser>
        <c:axId val="89531904"/>
        <c:axId val="89533824"/>
      </c:scatterChart>
      <c:valAx>
        <c:axId val="8953190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33824"/>
        <c:crosses val="autoZero"/>
        <c:crossBetween val="midCat"/>
      </c:valAx>
      <c:valAx>
        <c:axId val="89533824"/>
        <c:scaling>
          <c:orientation val="minMax"/>
        </c:scaling>
        <c:axPos val="l"/>
        <c:numFmt formatCode="General" sourceLinked="1"/>
        <c:tickLblPos val="nextTo"/>
        <c:crossAx val="89531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750174978127723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7201847769028877E-2"/>
          <c:y val="3.5106781612772711E-2"/>
          <c:w val="0.63213152755905511"/>
          <c:h val="0.92978643677445461"/>
        </c:manualLayout>
      </c:layout>
      <c:scatterChart>
        <c:scatterStyle val="smoothMarker"/>
        <c:ser>
          <c:idx val="0"/>
          <c:order val="0"/>
          <c:tx>
            <c:strRef>
              <c:f>' Chg_R_posneg '!$A$3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'!$B$3:$U$3</c:f>
              <c:numCache>
                <c:formatCode>General</c:formatCode>
                <c:ptCount val="20"/>
                <c:pt idx="0">
                  <c:v>-0.29259772178193943</c:v>
                </c:pt>
                <c:pt idx="1">
                  <c:v>-0.33571655648954174</c:v>
                </c:pt>
                <c:pt idx="2">
                  <c:v>-0.38571911005106441</c:v>
                </c:pt>
                <c:pt idx="3">
                  <c:v>-0.44251128259100203</c:v>
                </c:pt>
                <c:pt idx="4">
                  <c:v>-0.4519475037520968</c:v>
                </c:pt>
                <c:pt idx="5">
                  <c:v>-0.47018312126379824</c:v>
                </c:pt>
                <c:pt idx="6">
                  <c:v>-0.50203449420384283</c:v>
                </c:pt>
                <c:pt idx="7">
                  <c:v>-0.51387161140727033</c:v>
                </c:pt>
                <c:pt idx="8">
                  <c:v>-0.53039538499161543</c:v>
                </c:pt>
                <c:pt idx="9">
                  <c:v>-0.54769126742436713</c:v>
                </c:pt>
                <c:pt idx="10">
                  <c:v>-0.52186699073101062</c:v>
                </c:pt>
                <c:pt idx="11">
                  <c:v>-0.51480940654053198</c:v>
                </c:pt>
                <c:pt idx="12">
                  <c:v>-0.53007757779909037</c:v>
                </c:pt>
                <c:pt idx="13">
                  <c:v>-0.54515703379723768</c:v>
                </c:pt>
                <c:pt idx="14">
                  <c:v>-0.54781215472789802</c:v>
                </c:pt>
                <c:pt idx="15">
                  <c:v>-0.536355356700291</c:v>
                </c:pt>
                <c:pt idx="16">
                  <c:v>-0.5427902553556988</c:v>
                </c:pt>
                <c:pt idx="17">
                  <c:v>-0.56664849144306884</c:v>
                </c:pt>
                <c:pt idx="18">
                  <c:v>-0.56129115719336775</c:v>
                </c:pt>
                <c:pt idx="19">
                  <c:v>-0.59628033207430708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 Chg_R_posneg '!$A$4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'!$B$4:$U$4</c:f>
              <c:numCache>
                <c:formatCode>General</c:formatCode>
                <c:ptCount val="20"/>
                <c:pt idx="0">
                  <c:v>-0.27268267852288386</c:v>
                </c:pt>
                <c:pt idx="1">
                  <c:v>-0.31426969415378347</c:v>
                </c:pt>
                <c:pt idx="2">
                  <c:v>-0.37342141957479325</c:v>
                </c:pt>
                <c:pt idx="3">
                  <c:v>-0.42250605221760984</c:v>
                </c:pt>
                <c:pt idx="4">
                  <c:v>-0.44436361346934078</c:v>
                </c:pt>
                <c:pt idx="5">
                  <c:v>-0.46576622701866466</c:v>
                </c:pt>
                <c:pt idx="6">
                  <c:v>-0.46057333412213186</c:v>
                </c:pt>
                <c:pt idx="7">
                  <c:v>-0.48848827273745576</c:v>
                </c:pt>
                <c:pt idx="8">
                  <c:v>-0.48613003535836147</c:v>
                </c:pt>
                <c:pt idx="9">
                  <c:v>-0.49586363514314574</c:v>
                </c:pt>
                <c:pt idx="10">
                  <c:v>-0.47238412537372909</c:v>
                </c:pt>
                <c:pt idx="11">
                  <c:v>-0.48213484150154196</c:v>
                </c:pt>
                <c:pt idx="12">
                  <c:v>-0.4739910037031333</c:v>
                </c:pt>
                <c:pt idx="13">
                  <c:v>-0.48297498893183205</c:v>
                </c:pt>
                <c:pt idx="14">
                  <c:v>-0.48801361475872068</c:v>
                </c:pt>
                <c:pt idx="15">
                  <c:v>-0.48557760471738565</c:v>
                </c:pt>
                <c:pt idx="16">
                  <c:v>-0.48541753468133747</c:v>
                </c:pt>
                <c:pt idx="17">
                  <c:v>-0.47954028696626694</c:v>
                </c:pt>
                <c:pt idx="18">
                  <c:v>-0.49255190819004158</c:v>
                </c:pt>
                <c:pt idx="19">
                  <c:v>-0.49442705274489007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 Chg_R_posneg '!$A$5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'!$B$5:$U$5</c:f>
              <c:numCache>
                <c:formatCode>General</c:formatCode>
                <c:ptCount val="20"/>
                <c:pt idx="0">
                  <c:v>-0.25564925466657695</c:v>
                </c:pt>
                <c:pt idx="1">
                  <c:v>-0.287208538101138</c:v>
                </c:pt>
                <c:pt idx="2">
                  <c:v>-0.32381169771847401</c:v>
                </c:pt>
                <c:pt idx="3">
                  <c:v>-0.35890228040986633</c:v>
                </c:pt>
                <c:pt idx="4">
                  <c:v>-0.37420387375864217</c:v>
                </c:pt>
                <c:pt idx="5">
                  <c:v>-0.40659705497328119</c:v>
                </c:pt>
                <c:pt idx="6">
                  <c:v>-0.44398955536254703</c:v>
                </c:pt>
                <c:pt idx="7">
                  <c:v>-0.47159855988408406</c:v>
                </c:pt>
                <c:pt idx="8">
                  <c:v>-0.47451763751281173</c:v>
                </c:pt>
                <c:pt idx="9">
                  <c:v>-0.49421236387933209</c:v>
                </c:pt>
                <c:pt idx="10">
                  <c:v>-0.5020322850275768</c:v>
                </c:pt>
                <c:pt idx="11">
                  <c:v>-0.5130253257170474</c:v>
                </c:pt>
                <c:pt idx="12">
                  <c:v>-0.52431670826682264</c:v>
                </c:pt>
                <c:pt idx="13">
                  <c:v>-0.53786551187801068</c:v>
                </c:pt>
                <c:pt idx="14">
                  <c:v>-0.53672508183493328</c:v>
                </c:pt>
                <c:pt idx="15">
                  <c:v>-0.5529588538590744</c:v>
                </c:pt>
                <c:pt idx="16">
                  <c:v>-0.57056860371724616</c:v>
                </c:pt>
                <c:pt idx="17">
                  <c:v>-0.5697004875886329</c:v>
                </c:pt>
                <c:pt idx="18">
                  <c:v>-0.58004612681822099</c:v>
                </c:pt>
                <c:pt idx="19">
                  <c:v>-0.59917153239331644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 Chg_R_posneg '!$A$6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'!$B$6:$U$6</c:f>
              <c:numCache>
                <c:formatCode>General</c:formatCode>
                <c:ptCount val="20"/>
                <c:pt idx="0">
                  <c:v>-0.24488364694036557</c:v>
                </c:pt>
                <c:pt idx="1">
                  <c:v>-0.31018012081909885</c:v>
                </c:pt>
                <c:pt idx="2">
                  <c:v>-0.3652838521426407</c:v>
                </c:pt>
                <c:pt idx="3">
                  <c:v>-0.38953924250702071</c:v>
                </c:pt>
                <c:pt idx="4">
                  <c:v>-0.43213269612271288</c:v>
                </c:pt>
                <c:pt idx="5">
                  <c:v>-0.47171495188014684</c:v>
                </c:pt>
                <c:pt idx="6">
                  <c:v>-0.50566583674794896</c:v>
                </c:pt>
                <c:pt idx="7">
                  <c:v>-0.53559912252280006</c:v>
                </c:pt>
                <c:pt idx="8">
                  <c:v>-0.53779865943617111</c:v>
                </c:pt>
                <c:pt idx="9">
                  <c:v>-0.55365767989472037</c:v>
                </c:pt>
                <c:pt idx="10">
                  <c:v>-0.54212276134378878</c:v>
                </c:pt>
                <c:pt idx="11">
                  <c:v>-0.56186579848822171</c:v>
                </c:pt>
                <c:pt idx="12">
                  <c:v>-0.54311880681318003</c:v>
                </c:pt>
                <c:pt idx="13">
                  <c:v>-0.53180820003050977</c:v>
                </c:pt>
                <c:pt idx="14">
                  <c:v>-0.53776555596484721</c:v>
                </c:pt>
                <c:pt idx="15">
                  <c:v>-0.57334040034463352</c:v>
                </c:pt>
                <c:pt idx="16">
                  <c:v>-0.56093936940297529</c:v>
                </c:pt>
                <c:pt idx="17">
                  <c:v>-0.57205518610221318</c:v>
                </c:pt>
                <c:pt idx="18">
                  <c:v>-0.61650628949445718</c:v>
                </c:pt>
                <c:pt idx="19">
                  <c:v>-0.59793308791434652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 Chg_R_posneg '!$A$7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'!$B$7:$U$7</c:f>
              <c:numCache>
                <c:formatCode>General</c:formatCode>
                <c:ptCount val="20"/>
                <c:pt idx="0">
                  <c:v>-0.25722049082764697</c:v>
                </c:pt>
                <c:pt idx="1">
                  <c:v>-0.31252791567636945</c:v>
                </c:pt>
                <c:pt idx="2">
                  <c:v>-0.36977832564523455</c:v>
                </c:pt>
                <c:pt idx="3">
                  <c:v>-0.42991145352642252</c:v>
                </c:pt>
                <c:pt idx="4">
                  <c:v>-0.46765992255374733</c:v>
                </c:pt>
                <c:pt idx="5">
                  <c:v>-0.4769254477019701</c:v>
                </c:pt>
                <c:pt idx="6">
                  <c:v>-0.50143081570792503</c:v>
                </c:pt>
                <c:pt idx="7">
                  <c:v>-0.53816366271396632</c:v>
                </c:pt>
                <c:pt idx="8">
                  <c:v>-0.54323004913388506</c:v>
                </c:pt>
                <c:pt idx="9">
                  <c:v>-0.52507955146654051</c:v>
                </c:pt>
                <c:pt idx="10">
                  <c:v>-0.57060782102369056</c:v>
                </c:pt>
                <c:pt idx="11">
                  <c:v>-0.55107518687141899</c:v>
                </c:pt>
                <c:pt idx="12">
                  <c:v>-0.5854309613492451</c:v>
                </c:pt>
                <c:pt idx="13">
                  <c:v>-0.56338977393556267</c:v>
                </c:pt>
                <c:pt idx="14">
                  <c:v>-0.5656448622881356</c:v>
                </c:pt>
                <c:pt idx="15">
                  <c:v>-0.53098655848491361</c:v>
                </c:pt>
                <c:pt idx="16">
                  <c:v>-0.52097071143684892</c:v>
                </c:pt>
                <c:pt idx="17">
                  <c:v>-0.57539786540371185</c:v>
                </c:pt>
                <c:pt idx="18">
                  <c:v>-0.58388246939408439</c:v>
                </c:pt>
                <c:pt idx="19">
                  <c:v>-0.59347390708210124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 Chg_R_posneg '!$A$8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'!$B$8:$U$8</c:f>
              <c:numCache>
                <c:formatCode>General</c:formatCode>
                <c:ptCount val="20"/>
                <c:pt idx="0">
                  <c:v>-0.22759314967099675</c:v>
                </c:pt>
                <c:pt idx="1">
                  <c:v>-0.26297866312924489</c:v>
                </c:pt>
                <c:pt idx="2">
                  <c:v>-0.31339385963416566</c:v>
                </c:pt>
                <c:pt idx="3">
                  <c:v>-0.34760612614415648</c:v>
                </c:pt>
                <c:pt idx="4">
                  <c:v>-0.36821266730060193</c:v>
                </c:pt>
                <c:pt idx="5">
                  <c:v>-0.39326502361992888</c:v>
                </c:pt>
                <c:pt idx="6">
                  <c:v>-0.42249126996458913</c:v>
                </c:pt>
                <c:pt idx="7">
                  <c:v>-0.42991957863569741</c:v>
                </c:pt>
                <c:pt idx="8">
                  <c:v>-0.43617619571281896</c:v>
                </c:pt>
                <c:pt idx="9">
                  <c:v>-0.4413871629026167</c:v>
                </c:pt>
                <c:pt idx="10">
                  <c:v>-0.43851989637113625</c:v>
                </c:pt>
                <c:pt idx="11">
                  <c:v>-0.42968634932760164</c:v>
                </c:pt>
                <c:pt idx="12">
                  <c:v>-0.46309775389947161</c:v>
                </c:pt>
                <c:pt idx="13">
                  <c:v>-0.46887220392753554</c:v>
                </c:pt>
                <c:pt idx="14">
                  <c:v>-0.50563632351429777</c:v>
                </c:pt>
                <c:pt idx="15">
                  <c:v>-0.50158541021796821</c:v>
                </c:pt>
                <c:pt idx="16">
                  <c:v>-0.52293145341370428</c:v>
                </c:pt>
                <c:pt idx="17">
                  <c:v>-0.52790179244192192</c:v>
                </c:pt>
                <c:pt idx="18">
                  <c:v>-0.5385865545226296</c:v>
                </c:pt>
                <c:pt idx="19">
                  <c:v>-0.55473702165747152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 Chg_R_posneg '!$A$9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'!$B$9:$U$9</c:f>
              <c:numCache>
                <c:formatCode>General</c:formatCode>
                <c:ptCount val="20"/>
                <c:pt idx="0">
                  <c:v>-0.26066496492129282</c:v>
                </c:pt>
                <c:pt idx="1">
                  <c:v>-0.31236061840520885</c:v>
                </c:pt>
                <c:pt idx="2">
                  <c:v>-0.37570648935626244</c:v>
                </c:pt>
                <c:pt idx="3">
                  <c:v>-0.43800360553381484</c:v>
                </c:pt>
                <c:pt idx="4">
                  <c:v>-0.47407720584866986</c:v>
                </c:pt>
                <c:pt idx="5">
                  <c:v>-0.49945784972510687</c:v>
                </c:pt>
                <c:pt idx="6">
                  <c:v>-0.50420826695477006</c:v>
                </c:pt>
                <c:pt idx="7">
                  <c:v>-0.52920520624256751</c:v>
                </c:pt>
                <c:pt idx="8">
                  <c:v>-0.54713479454980651</c:v>
                </c:pt>
                <c:pt idx="9">
                  <c:v>-0.53586336493396403</c:v>
                </c:pt>
                <c:pt idx="10">
                  <c:v>-0.5441034483216719</c:v>
                </c:pt>
                <c:pt idx="11">
                  <c:v>-0.57523438889104272</c:v>
                </c:pt>
                <c:pt idx="12">
                  <c:v>-0.57272388967222243</c:v>
                </c:pt>
                <c:pt idx="13">
                  <c:v>-0.59174830899534914</c:v>
                </c:pt>
                <c:pt idx="14">
                  <c:v>-0.60117227636224335</c:v>
                </c:pt>
                <c:pt idx="15">
                  <c:v>-0.6042918659743447</c:v>
                </c:pt>
                <c:pt idx="16">
                  <c:v>-0.6250120674263091</c:v>
                </c:pt>
                <c:pt idx="17">
                  <c:v>-0.64608253675642879</c:v>
                </c:pt>
                <c:pt idx="18">
                  <c:v>-0.67456393508988588</c:v>
                </c:pt>
                <c:pt idx="19">
                  <c:v>-0.65023566842246339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 Chg_R_posneg '!$A$10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'!$B$10:$U$10</c:f>
              <c:numCache>
                <c:formatCode>General</c:formatCode>
                <c:ptCount val="20"/>
                <c:pt idx="0">
                  <c:v>-0.26064759196298087</c:v>
                </c:pt>
                <c:pt idx="1">
                  <c:v>-0.32510843042903353</c:v>
                </c:pt>
                <c:pt idx="2">
                  <c:v>-0.39678259944994992</c:v>
                </c:pt>
                <c:pt idx="3">
                  <c:v>-0.45470289224188165</c:v>
                </c:pt>
                <c:pt idx="4">
                  <c:v>-0.50752079738883682</c:v>
                </c:pt>
                <c:pt idx="5">
                  <c:v>-0.54711134467377887</c:v>
                </c:pt>
                <c:pt idx="6">
                  <c:v>-0.59665203605046646</c:v>
                </c:pt>
                <c:pt idx="7">
                  <c:v>-0.64841289292986015</c:v>
                </c:pt>
                <c:pt idx="8">
                  <c:v>-0.65746143792727063</c:v>
                </c:pt>
                <c:pt idx="9">
                  <c:v>-0.66998684024019051</c:v>
                </c:pt>
                <c:pt idx="10">
                  <c:v>-0.65296736059458149</c:v>
                </c:pt>
                <c:pt idx="11">
                  <c:v>-0.66121618217290501</c:v>
                </c:pt>
                <c:pt idx="12">
                  <c:v>-0.67975172668762573</c:v>
                </c:pt>
                <c:pt idx="13">
                  <c:v>-0.69235846896192932</c:v>
                </c:pt>
                <c:pt idx="14">
                  <c:v>-0.68340835956393509</c:v>
                </c:pt>
                <c:pt idx="15">
                  <c:v>-0.6893832363728738</c:v>
                </c:pt>
                <c:pt idx="16">
                  <c:v>-0.69475099732102985</c:v>
                </c:pt>
                <c:pt idx="17">
                  <c:v>-0.74894309344690724</c:v>
                </c:pt>
                <c:pt idx="18">
                  <c:v>-0.71979121296120208</c:v>
                </c:pt>
                <c:pt idx="19">
                  <c:v>-0.72009985916697716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 Chg_R_posneg '!$A$11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'!$B$11:$U$11</c:f>
              <c:numCache>
                <c:formatCode>General</c:formatCode>
                <c:ptCount val="20"/>
                <c:pt idx="0">
                  <c:v>-0.24749069239986304</c:v>
                </c:pt>
                <c:pt idx="1">
                  <c:v>-0.31240047547037331</c:v>
                </c:pt>
                <c:pt idx="2">
                  <c:v>-0.3822492438582123</c:v>
                </c:pt>
                <c:pt idx="3">
                  <c:v>-0.45095187724169061</c:v>
                </c:pt>
                <c:pt idx="4">
                  <c:v>-0.50560249981715211</c:v>
                </c:pt>
                <c:pt idx="5">
                  <c:v>-0.54876999040229413</c:v>
                </c:pt>
                <c:pt idx="6">
                  <c:v>-0.58340572718334704</c:v>
                </c:pt>
                <c:pt idx="7">
                  <c:v>-0.65048589275982061</c:v>
                </c:pt>
                <c:pt idx="8">
                  <c:v>-0.65112272983625419</c:v>
                </c:pt>
                <c:pt idx="9">
                  <c:v>-0.69707047389702992</c:v>
                </c:pt>
                <c:pt idx="10">
                  <c:v>-0.67799607262697115</c:v>
                </c:pt>
                <c:pt idx="11">
                  <c:v>-0.70609662698408038</c:v>
                </c:pt>
                <c:pt idx="12">
                  <c:v>-0.75821826914505774</c:v>
                </c:pt>
                <c:pt idx="13">
                  <c:v>-0.77068924779117676</c:v>
                </c:pt>
                <c:pt idx="14">
                  <c:v>-0.76687501557072091</c:v>
                </c:pt>
                <c:pt idx="15">
                  <c:v>-0.81492545253605531</c:v>
                </c:pt>
                <c:pt idx="16">
                  <c:v>-0.8305376214816117</c:v>
                </c:pt>
                <c:pt idx="17">
                  <c:v>-0.84970353898175666</c:v>
                </c:pt>
                <c:pt idx="18">
                  <c:v>-0.8984989729100662</c:v>
                </c:pt>
                <c:pt idx="19">
                  <c:v>-0.86955141915209089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 Chg_R_posneg '!$A$12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'!$B$12:$U$12</c:f>
              <c:numCache>
                <c:formatCode>General</c:formatCode>
                <c:ptCount val="20"/>
                <c:pt idx="0">
                  <c:v>-0.22292380207744722</c:v>
                </c:pt>
                <c:pt idx="1">
                  <c:v>-0.26309241484851725</c:v>
                </c:pt>
                <c:pt idx="2">
                  <c:v>-0.30691897686263853</c:v>
                </c:pt>
                <c:pt idx="3">
                  <c:v>-0.3045404050246025</c:v>
                </c:pt>
                <c:pt idx="4">
                  <c:v>-0.30880956159362793</c:v>
                </c:pt>
                <c:pt idx="5">
                  <c:v>-0.30989538471132383</c:v>
                </c:pt>
                <c:pt idx="6">
                  <c:v>-0.30349009046515146</c:v>
                </c:pt>
                <c:pt idx="7">
                  <c:v>-0.31339216252691943</c:v>
                </c:pt>
                <c:pt idx="8">
                  <c:v>-0.30284197777394961</c:v>
                </c:pt>
                <c:pt idx="9">
                  <c:v>-0.3108497259464813</c:v>
                </c:pt>
                <c:pt idx="10">
                  <c:v>-0.29091024482914007</c:v>
                </c:pt>
                <c:pt idx="11">
                  <c:v>-0.29516358182078001</c:v>
                </c:pt>
                <c:pt idx="12">
                  <c:v>-0.27181751238193652</c:v>
                </c:pt>
                <c:pt idx="13">
                  <c:v>-0.27148011723614801</c:v>
                </c:pt>
                <c:pt idx="14">
                  <c:v>-0.27007725179334519</c:v>
                </c:pt>
                <c:pt idx="15">
                  <c:v>-0.26339383532441091</c:v>
                </c:pt>
                <c:pt idx="16">
                  <c:v>-0.24943220861145016</c:v>
                </c:pt>
                <c:pt idx="17">
                  <c:v>-0.26656136781361106</c:v>
                </c:pt>
                <c:pt idx="18">
                  <c:v>-0.27311952042920351</c:v>
                </c:pt>
                <c:pt idx="19">
                  <c:v>-0.24460978689403615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 Chg_R_posneg '!$A$13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'!$B$13:$U$13</c:f>
              <c:numCache>
                <c:formatCode>General</c:formatCode>
                <c:ptCount val="20"/>
                <c:pt idx="0">
                  <c:v>-0.18012793358935569</c:v>
                </c:pt>
                <c:pt idx="1">
                  <c:v>-0.20093910741998247</c:v>
                </c:pt>
                <c:pt idx="2">
                  <c:v>-0.23140698710210733</c:v>
                </c:pt>
                <c:pt idx="3">
                  <c:v>-0.25123662911541467</c:v>
                </c:pt>
                <c:pt idx="4">
                  <c:v>-0.26787154149530884</c:v>
                </c:pt>
                <c:pt idx="5">
                  <c:v>-0.27733767764046752</c:v>
                </c:pt>
                <c:pt idx="6">
                  <c:v>-0.29995449494887472</c:v>
                </c:pt>
                <c:pt idx="7">
                  <c:v>-0.31490367995380592</c:v>
                </c:pt>
                <c:pt idx="8">
                  <c:v>-0.30382117930501279</c:v>
                </c:pt>
                <c:pt idx="9">
                  <c:v>-0.29511137852288422</c:v>
                </c:pt>
                <c:pt idx="10">
                  <c:v>-0.28978653929649451</c:v>
                </c:pt>
                <c:pt idx="11">
                  <c:v>-0.28010805267092681</c:v>
                </c:pt>
                <c:pt idx="12">
                  <c:v>-0.28717020869785803</c:v>
                </c:pt>
                <c:pt idx="13">
                  <c:v>-0.27800534117374681</c:v>
                </c:pt>
                <c:pt idx="14">
                  <c:v>-0.29512964378095641</c:v>
                </c:pt>
                <c:pt idx="15">
                  <c:v>-0.29533591028127804</c:v>
                </c:pt>
                <c:pt idx="16">
                  <c:v>-0.29442070481584576</c:v>
                </c:pt>
                <c:pt idx="17">
                  <c:v>-0.30311909080214977</c:v>
                </c:pt>
                <c:pt idx="18">
                  <c:v>-0.30158866584322624</c:v>
                </c:pt>
                <c:pt idx="19">
                  <c:v>-0.31498607486998947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 Chg_R_posneg '!$A$14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'!$B$14:$U$14</c:f>
              <c:numCache>
                <c:formatCode>General</c:formatCode>
                <c:ptCount val="20"/>
                <c:pt idx="0">
                  <c:v>-0.24286691363712382</c:v>
                </c:pt>
                <c:pt idx="1">
                  <c:v>-0.31831204915842903</c:v>
                </c:pt>
                <c:pt idx="2">
                  <c:v>-0.39595735569502605</c:v>
                </c:pt>
                <c:pt idx="3">
                  <c:v>-0.4602783414483515</c:v>
                </c:pt>
                <c:pt idx="4">
                  <c:v>-0.47093630463058478</c:v>
                </c:pt>
                <c:pt idx="5">
                  <c:v>-0.49999002528273712</c:v>
                </c:pt>
                <c:pt idx="6">
                  <c:v>-0.52390507001361253</c:v>
                </c:pt>
                <c:pt idx="7">
                  <c:v>-0.54266170152475823</c:v>
                </c:pt>
                <c:pt idx="8">
                  <c:v>-0.56555038715446226</c:v>
                </c:pt>
                <c:pt idx="9">
                  <c:v>-0.54712240854172467</c:v>
                </c:pt>
                <c:pt idx="10">
                  <c:v>-0.54208892767643613</c:v>
                </c:pt>
                <c:pt idx="11">
                  <c:v>-0.5520852624954945</c:v>
                </c:pt>
                <c:pt idx="12">
                  <c:v>-0.56237703343247702</c:v>
                </c:pt>
                <c:pt idx="13">
                  <c:v>-0.57288413252605819</c:v>
                </c:pt>
                <c:pt idx="14">
                  <c:v>-0.61563020711430971</c:v>
                </c:pt>
                <c:pt idx="15">
                  <c:v>-0.58602898909998558</c:v>
                </c:pt>
                <c:pt idx="16">
                  <c:v>-0.57254125674497658</c:v>
                </c:pt>
                <c:pt idx="17">
                  <c:v>-0.54352559705952386</c:v>
                </c:pt>
                <c:pt idx="18">
                  <c:v>-0.5164596485112124</c:v>
                </c:pt>
                <c:pt idx="19">
                  <c:v>-0.53282921792174909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 Chg_R_posneg '!$A$15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'!$B$15:$U$15</c:f>
              <c:numCache>
                <c:formatCode>General</c:formatCode>
                <c:ptCount val="20"/>
                <c:pt idx="0">
                  <c:v>-0.33132086220800266</c:v>
                </c:pt>
                <c:pt idx="1">
                  <c:v>-0.40399939257874146</c:v>
                </c:pt>
                <c:pt idx="2">
                  <c:v>-0.48411718609181453</c:v>
                </c:pt>
                <c:pt idx="3">
                  <c:v>-0.54157241975516568</c:v>
                </c:pt>
                <c:pt idx="4">
                  <c:v>-0.55975268322406024</c:v>
                </c:pt>
                <c:pt idx="5">
                  <c:v>-0.57138980783767113</c:v>
                </c:pt>
                <c:pt idx="6">
                  <c:v>-0.58406687801198176</c:v>
                </c:pt>
                <c:pt idx="7">
                  <c:v>-0.58726295149820829</c:v>
                </c:pt>
                <c:pt idx="8">
                  <c:v>-0.6021259633874041</c:v>
                </c:pt>
                <c:pt idx="9">
                  <c:v>-0.60540771401373483</c:v>
                </c:pt>
                <c:pt idx="10">
                  <c:v>-0.62327555267023016</c:v>
                </c:pt>
                <c:pt idx="11">
                  <c:v>-0.65788879040920201</c:v>
                </c:pt>
                <c:pt idx="12">
                  <c:v>-0.66170965040785479</c:v>
                </c:pt>
                <c:pt idx="13">
                  <c:v>-0.62415913941896872</c:v>
                </c:pt>
                <c:pt idx="14">
                  <c:v>-0.6477550418605843</c:v>
                </c:pt>
                <c:pt idx="15">
                  <c:v>-0.62238149973593815</c:v>
                </c:pt>
                <c:pt idx="16">
                  <c:v>-0.63857468717888921</c:v>
                </c:pt>
                <c:pt idx="17">
                  <c:v>-0.65278387803173932</c:v>
                </c:pt>
                <c:pt idx="18">
                  <c:v>-0.65648172521354586</c:v>
                </c:pt>
                <c:pt idx="19">
                  <c:v>-0.67557642317556132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 Chg_R_posneg '!$A$16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'!$B$16:$U$16</c:f>
              <c:numCache>
                <c:formatCode>General</c:formatCode>
                <c:ptCount val="20"/>
                <c:pt idx="0">
                  <c:v>-0.22035635343971097</c:v>
                </c:pt>
                <c:pt idx="1">
                  <c:v>-0.27409184015366223</c:v>
                </c:pt>
                <c:pt idx="2">
                  <c:v>-0.35819362479773537</c:v>
                </c:pt>
                <c:pt idx="3">
                  <c:v>-0.42153678982416282</c:v>
                </c:pt>
                <c:pt idx="4">
                  <c:v>-0.45034263840468225</c:v>
                </c:pt>
                <c:pt idx="5">
                  <c:v>-0.48439891919276346</c:v>
                </c:pt>
                <c:pt idx="6">
                  <c:v>-0.51293012552131823</c:v>
                </c:pt>
                <c:pt idx="7">
                  <c:v>-0.53503938551054542</c:v>
                </c:pt>
                <c:pt idx="8">
                  <c:v>-0.55151223995492193</c:v>
                </c:pt>
                <c:pt idx="9">
                  <c:v>-0.57351220486672627</c:v>
                </c:pt>
                <c:pt idx="10">
                  <c:v>-0.58597984600213326</c:v>
                </c:pt>
                <c:pt idx="11">
                  <c:v>-0.61244152521559581</c:v>
                </c:pt>
                <c:pt idx="12">
                  <c:v>-0.6128800898581831</c:v>
                </c:pt>
                <c:pt idx="13">
                  <c:v>-0.60693039564103657</c:v>
                </c:pt>
                <c:pt idx="14">
                  <c:v>-0.59543011777820143</c:v>
                </c:pt>
                <c:pt idx="15">
                  <c:v>-0.63109154520352506</c:v>
                </c:pt>
                <c:pt idx="16">
                  <c:v>-0.65120662933685236</c:v>
                </c:pt>
                <c:pt idx="17">
                  <c:v>-0.6426098938855157</c:v>
                </c:pt>
                <c:pt idx="18">
                  <c:v>-0.63853184736628998</c:v>
                </c:pt>
                <c:pt idx="19">
                  <c:v>-0.60947495426769938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 Chg_R_posneg '!$A$17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'!$B$17:$U$17</c:f>
              <c:numCache>
                <c:formatCode>General</c:formatCode>
                <c:ptCount val="20"/>
                <c:pt idx="0">
                  <c:v>-0.22107751448734866</c:v>
                </c:pt>
                <c:pt idx="1">
                  <c:v>-0.28083314040019847</c:v>
                </c:pt>
                <c:pt idx="2">
                  <c:v>-0.36160580773472778</c:v>
                </c:pt>
                <c:pt idx="3">
                  <c:v>-0.4041166612071953</c:v>
                </c:pt>
                <c:pt idx="4">
                  <c:v>-0.44486191606939962</c:v>
                </c:pt>
                <c:pt idx="5">
                  <c:v>-0.47189262416290095</c:v>
                </c:pt>
                <c:pt idx="6">
                  <c:v>-0.47425971479382001</c:v>
                </c:pt>
                <c:pt idx="7">
                  <c:v>-0.50098645333026781</c:v>
                </c:pt>
                <c:pt idx="8">
                  <c:v>-0.50529153892510414</c:v>
                </c:pt>
                <c:pt idx="9">
                  <c:v>-0.50674893130244425</c:v>
                </c:pt>
                <c:pt idx="10">
                  <c:v>-0.51147712156238712</c:v>
                </c:pt>
                <c:pt idx="11">
                  <c:v>-0.50872594007420435</c:v>
                </c:pt>
                <c:pt idx="12">
                  <c:v>-0.52540619290609503</c:v>
                </c:pt>
                <c:pt idx="13">
                  <c:v>-0.55278669738784036</c:v>
                </c:pt>
                <c:pt idx="14">
                  <c:v>-0.53561881733191863</c:v>
                </c:pt>
                <c:pt idx="15">
                  <c:v>-0.53566724120218701</c:v>
                </c:pt>
                <c:pt idx="16">
                  <c:v>-0.55598017727665427</c:v>
                </c:pt>
                <c:pt idx="17">
                  <c:v>-0.5446640295528794</c:v>
                </c:pt>
                <c:pt idx="18">
                  <c:v>-0.54306454519377168</c:v>
                </c:pt>
                <c:pt idx="19">
                  <c:v>-0.54297351012733452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 Chg_R_posneg '!$A$18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'!$B$18:$U$18</c:f>
              <c:numCache>
                <c:formatCode>General</c:formatCode>
                <c:ptCount val="20"/>
                <c:pt idx="0">
                  <c:v>-0.24801934949758772</c:v>
                </c:pt>
                <c:pt idx="1">
                  <c:v>-0.32796211053631141</c:v>
                </c:pt>
                <c:pt idx="2">
                  <c:v>-0.42619668512502884</c:v>
                </c:pt>
                <c:pt idx="3">
                  <c:v>-0.48394424855158746</c:v>
                </c:pt>
                <c:pt idx="4">
                  <c:v>-0.52679837413744213</c:v>
                </c:pt>
                <c:pt idx="5">
                  <c:v>-0.5450145734019145</c:v>
                </c:pt>
                <c:pt idx="6">
                  <c:v>-0.5736076543104407</c:v>
                </c:pt>
                <c:pt idx="7">
                  <c:v>-0.5658299622615901</c:v>
                </c:pt>
                <c:pt idx="8">
                  <c:v>-0.57064324600841676</c:v>
                </c:pt>
                <c:pt idx="9">
                  <c:v>-0.57561268339915728</c:v>
                </c:pt>
                <c:pt idx="10">
                  <c:v>-0.5895046390598464</c:v>
                </c:pt>
                <c:pt idx="11">
                  <c:v>-0.59719717223328295</c:v>
                </c:pt>
                <c:pt idx="12">
                  <c:v>-0.63654902689298465</c:v>
                </c:pt>
                <c:pt idx="13">
                  <c:v>-0.63260723761393378</c:v>
                </c:pt>
                <c:pt idx="14">
                  <c:v>-0.60106382163124428</c:v>
                </c:pt>
                <c:pt idx="15">
                  <c:v>-0.6073513595432013</c:v>
                </c:pt>
                <c:pt idx="16">
                  <c:v>-0.61276073726232938</c:v>
                </c:pt>
                <c:pt idx="17">
                  <c:v>-0.60021821684369203</c:v>
                </c:pt>
                <c:pt idx="18">
                  <c:v>-0.59203604105569108</c:v>
                </c:pt>
                <c:pt idx="19">
                  <c:v>-0.58298582086713435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 Chg_R_posneg '!$A$19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'!$B$19:$U$19</c:f>
              <c:numCache>
                <c:formatCode>General</c:formatCode>
                <c:ptCount val="20"/>
                <c:pt idx="0">
                  <c:v>-0.32570367269571238</c:v>
                </c:pt>
                <c:pt idx="1">
                  <c:v>-0.37980524077567041</c:v>
                </c:pt>
                <c:pt idx="2">
                  <c:v>-0.45495579786598767</c:v>
                </c:pt>
                <c:pt idx="3">
                  <c:v>-0.50039101571160249</c:v>
                </c:pt>
                <c:pt idx="4">
                  <c:v>-0.5276943232399629</c:v>
                </c:pt>
                <c:pt idx="5">
                  <c:v>-0.5609200363401815</c:v>
                </c:pt>
                <c:pt idx="6">
                  <c:v>-0.58412606747865037</c:v>
                </c:pt>
                <c:pt idx="7">
                  <c:v>-0.5965752048125299</c:v>
                </c:pt>
                <c:pt idx="8">
                  <c:v>-0.59991278622587285</c:v>
                </c:pt>
                <c:pt idx="9">
                  <c:v>-0.61335961149488438</c:v>
                </c:pt>
                <c:pt idx="10">
                  <c:v>-0.63276538462416743</c:v>
                </c:pt>
                <c:pt idx="11">
                  <c:v>-0.64160195925264485</c:v>
                </c:pt>
                <c:pt idx="12">
                  <c:v>-0.64873276792162637</c:v>
                </c:pt>
                <c:pt idx="13">
                  <c:v>-0.6518921532418851</c:v>
                </c:pt>
                <c:pt idx="14">
                  <c:v>-0.64949149054390543</c:v>
                </c:pt>
                <c:pt idx="15">
                  <c:v>-0.66217166559358565</c:v>
                </c:pt>
                <c:pt idx="16">
                  <c:v>-0.64802371440195095</c:v>
                </c:pt>
                <c:pt idx="17">
                  <c:v>-0.65259635230610458</c:v>
                </c:pt>
                <c:pt idx="18">
                  <c:v>-0.64281632065004457</c:v>
                </c:pt>
                <c:pt idx="19">
                  <c:v>-0.64952777528012073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 Chg_R_posneg '!$A$20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'!$B$20:$U$20</c:f>
              <c:numCache>
                <c:formatCode>General</c:formatCode>
                <c:ptCount val="20"/>
                <c:pt idx="0">
                  <c:v>-0.34525391818732293</c:v>
                </c:pt>
                <c:pt idx="1">
                  <c:v>-0.42201527015832363</c:v>
                </c:pt>
                <c:pt idx="2">
                  <c:v>-0.49710547810475064</c:v>
                </c:pt>
                <c:pt idx="3">
                  <c:v>-0.53465607465971987</c:v>
                </c:pt>
                <c:pt idx="4">
                  <c:v>-0.57204817802641672</c:v>
                </c:pt>
                <c:pt idx="5">
                  <c:v>-0.6127585907168106</c:v>
                </c:pt>
                <c:pt idx="6">
                  <c:v>-0.63281515990211279</c:v>
                </c:pt>
                <c:pt idx="7">
                  <c:v>-0.6667568175385129</c:v>
                </c:pt>
                <c:pt idx="8">
                  <c:v>-0.69671635485803973</c:v>
                </c:pt>
                <c:pt idx="9">
                  <c:v>-0.69894176846157285</c:v>
                </c:pt>
                <c:pt idx="10">
                  <c:v>-0.69367918485637559</c:v>
                </c:pt>
                <c:pt idx="11">
                  <c:v>-0.72520802827247766</c:v>
                </c:pt>
                <c:pt idx="12">
                  <c:v>-0.7315006101844288</c:v>
                </c:pt>
                <c:pt idx="13">
                  <c:v>-0.73572395893211018</c:v>
                </c:pt>
                <c:pt idx="14">
                  <c:v>-0.75472986089060345</c:v>
                </c:pt>
                <c:pt idx="15">
                  <c:v>-0.77029687774895461</c:v>
                </c:pt>
                <c:pt idx="16">
                  <c:v>-0.77316403857797544</c:v>
                </c:pt>
                <c:pt idx="17">
                  <c:v>-0.78367872906783353</c:v>
                </c:pt>
                <c:pt idx="18">
                  <c:v>-0.79557526161826186</c:v>
                </c:pt>
                <c:pt idx="19">
                  <c:v>-0.7956702465217016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 Chg_R_posneg '!$A$21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'!$B$21:$U$21</c:f>
              <c:numCache>
                <c:formatCode>General</c:formatCode>
                <c:ptCount val="20"/>
                <c:pt idx="0">
                  <c:v>-0.34396809101338938</c:v>
                </c:pt>
                <c:pt idx="1">
                  <c:v>-0.41830949313773114</c:v>
                </c:pt>
                <c:pt idx="2">
                  <c:v>-0.49256343516746293</c:v>
                </c:pt>
                <c:pt idx="3">
                  <c:v>-0.52993914417807708</c:v>
                </c:pt>
                <c:pt idx="4">
                  <c:v>-0.56177340372348639</c:v>
                </c:pt>
                <c:pt idx="5">
                  <c:v>-0.61208857581921328</c:v>
                </c:pt>
                <c:pt idx="6">
                  <c:v>-0.61869267991295251</c:v>
                </c:pt>
                <c:pt idx="7">
                  <c:v>-0.64771459453942803</c:v>
                </c:pt>
                <c:pt idx="8">
                  <c:v>-0.66379286879712374</c:v>
                </c:pt>
                <c:pt idx="9">
                  <c:v>-0.69399123921596739</c:v>
                </c:pt>
                <c:pt idx="10">
                  <c:v>-0.71003603328828446</c:v>
                </c:pt>
                <c:pt idx="11">
                  <c:v>-0.72223939501852541</c:v>
                </c:pt>
                <c:pt idx="12">
                  <c:v>-0.71696970257143855</c:v>
                </c:pt>
                <c:pt idx="13">
                  <c:v>-0.73392092636964612</c:v>
                </c:pt>
                <c:pt idx="14">
                  <c:v>-0.752982595755046</c:v>
                </c:pt>
                <c:pt idx="15">
                  <c:v>-0.75357567404215653</c:v>
                </c:pt>
                <c:pt idx="16">
                  <c:v>-0.765170713737235</c:v>
                </c:pt>
                <c:pt idx="17">
                  <c:v>-0.76822505727614698</c:v>
                </c:pt>
                <c:pt idx="18">
                  <c:v>-0.77856249825747592</c:v>
                </c:pt>
                <c:pt idx="19">
                  <c:v>-0.80865373916207295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 Chg_R_posneg '!$A$22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'!$B$22:$U$22</c:f>
              <c:numCache>
                <c:formatCode>General</c:formatCode>
                <c:ptCount val="20"/>
                <c:pt idx="0">
                  <c:v>-0.3120395457672609</c:v>
                </c:pt>
                <c:pt idx="1">
                  <c:v>-0.36922856093403228</c:v>
                </c:pt>
                <c:pt idx="2">
                  <c:v>-0.43025807161995189</c:v>
                </c:pt>
                <c:pt idx="3">
                  <c:v>-0.45349333842380823</c:v>
                </c:pt>
                <c:pt idx="4">
                  <c:v>-0.47902941007057059</c:v>
                </c:pt>
                <c:pt idx="5">
                  <c:v>-0.50693528695688872</c:v>
                </c:pt>
                <c:pt idx="6">
                  <c:v>-0.53152932847446788</c:v>
                </c:pt>
                <c:pt idx="7">
                  <c:v>-0.54552264990971555</c:v>
                </c:pt>
                <c:pt idx="8">
                  <c:v>-0.57537576628743459</c:v>
                </c:pt>
                <c:pt idx="9">
                  <c:v>-0.58508803507433416</c:v>
                </c:pt>
                <c:pt idx="10">
                  <c:v>-0.6186203857412369</c:v>
                </c:pt>
                <c:pt idx="11">
                  <c:v>-0.60936766161024136</c:v>
                </c:pt>
                <c:pt idx="12">
                  <c:v>-0.61571743477793017</c:v>
                </c:pt>
                <c:pt idx="13">
                  <c:v>-0.63807921413546875</c:v>
                </c:pt>
                <c:pt idx="14">
                  <c:v>-0.66120161082446993</c:v>
                </c:pt>
                <c:pt idx="15">
                  <c:v>-0.67180032895048714</c:v>
                </c:pt>
                <c:pt idx="16">
                  <c:v>-0.69191061571197687</c:v>
                </c:pt>
                <c:pt idx="17">
                  <c:v>-0.69547404887455455</c:v>
                </c:pt>
                <c:pt idx="18">
                  <c:v>-0.71206552161758419</c:v>
                </c:pt>
                <c:pt idx="19">
                  <c:v>-0.71620172937822502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 Chg_R_posneg '!$A$23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'!$B$23:$U$23</c:f>
              <c:numCache>
                <c:formatCode>General</c:formatCode>
                <c:ptCount val="20"/>
                <c:pt idx="0">
                  <c:v>-0.34174728593427889</c:v>
                </c:pt>
                <c:pt idx="1">
                  <c:v>-0.4160879678357946</c:v>
                </c:pt>
                <c:pt idx="2">
                  <c:v>-0.48827126651108427</c:v>
                </c:pt>
                <c:pt idx="3">
                  <c:v>-0.52320702599854541</c:v>
                </c:pt>
                <c:pt idx="4">
                  <c:v>-0.55745781817151341</c:v>
                </c:pt>
                <c:pt idx="5">
                  <c:v>-0.6002354080410377</c:v>
                </c:pt>
                <c:pt idx="6">
                  <c:v>-0.62087193562935761</c:v>
                </c:pt>
                <c:pt idx="7">
                  <c:v>-0.64390560638879846</c:v>
                </c:pt>
                <c:pt idx="8">
                  <c:v>-0.67530739825719566</c:v>
                </c:pt>
                <c:pt idx="9">
                  <c:v>-0.68603030302254253</c:v>
                </c:pt>
                <c:pt idx="10">
                  <c:v>-0.69461381235150288</c:v>
                </c:pt>
                <c:pt idx="11">
                  <c:v>-0.71078843995510665</c:v>
                </c:pt>
                <c:pt idx="12">
                  <c:v>-0.71764652193477718</c:v>
                </c:pt>
                <c:pt idx="13">
                  <c:v>-0.74178735182014144</c:v>
                </c:pt>
                <c:pt idx="14">
                  <c:v>-0.76397650559237174</c:v>
                </c:pt>
                <c:pt idx="15">
                  <c:v>-0.76765004518316338</c:v>
                </c:pt>
                <c:pt idx="16">
                  <c:v>-0.7781619041483635</c:v>
                </c:pt>
                <c:pt idx="17">
                  <c:v>-0.77283192144629498</c:v>
                </c:pt>
                <c:pt idx="18">
                  <c:v>-0.7982407817345919</c:v>
                </c:pt>
                <c:pt idx="19">
                  <c:v>-0.81373200192289252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 Chg_R_posneg '!$A$24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'!$B$24:$U$24</c:f>
              <c:numCache>
                <c:formatCode>General</c:formatCode>
                <c:ptCount val="20"/>
                <c:pt idx="0">
                  <c:v>-0.32244926322202333</c:v>
                </c:pt>
                <c:pt idx="1">
                  <c:v>-0.37926535456992599</c:v>
                </c:pt>
                <c:pt idx="2">
                  <c:v>-0.44584807136574944</c:v>
                </c:pt>
                <c:pt idx="3">
                  <c:v>-0.475631277896581</c:v>
                </c:pt>
                <c:pt idx="4">
                  <c:v>-0.50140328292580727</c:v>
                </c:pt>
                <c:pt idx="5">
                  <c:v>-0.55225983610597207</c:v>
                </c:pt>
                <c:pt idx="6">
                  <c:v>-0.57505951698206204</c:v>
                </c:pt>
                <c:pt idx="7">
                  <c:v>-0.62229000943440593</c:v>
                </c:pt>
                <c:pt idx="8">
                  <c:v>-0.62309233909299977</c:v>
                </c:pt>
                <c:pt idx="9">
                  <c:v>-0.63020624993386032</c:v>
                </c:pt>
                <c:pt idx="10">
                  <c:v>-0.64752798159955971</c:v>
                </c:pt>
                <c:pt idx="11">
                  <c:v>-0.65958472653650257</c:v>
                </c:pt>
                <c:pt idx="12">
                  <c:v>-0.6596510628425728</c:v>
                </c:pt>
                <c:pt idx="13">
                  <c:v>-0.67240230492700359</c:v>
                </c:pt>
                <c:pt idx="14">
                  <c:v>-0.66501017903348991</c:v>
                </c:pt>
                <c:pt idx="15">
                  <c:v>-0.67600514465241757</c:v>
                </c:pt>
                <c:pt idx="16">
                  <c:v>-0.69082672311463567</c:v>
                </c:pt>
                <c:pt idx="17">
                  <c:v>-0.70136070470986189</c:v>
                </c:pt>
                <c:pt idx="18">
                  <c:v>-0.70429852762163647</c:v>
                </c:pt>
                <c:pt idx="19">
                  <c:v>-0.70624633753840937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 Chg_R_posneg '!$A$25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'!$B$25:$U$25</c:f>
              <c:numCache>
                <c:formatCode>General</c:formatCode>
                <c:ptCount val="20"/>
                <c:pt idx="0">
                  <c:v>-0.34116519424447717</c:v>
                </c:pt>
                <c:pt idx="1">
                  <c:v>-0.41170422197828777</c:v>
                </c:pt>
                <c:pt idx="2">
                  <c:v>-0.48615201778008665</c:v>
                </c:pt>
                <c:pt idx="3">
                  <c:v>-0.52757287026120114</c:v>
                </c:pt>
                <c:pt idx="4">
                  <c:v>-0.56499921593225655</c:v>
                </c:pt>
                <c:pt idx="5">
                  <c:v>-0.59967273117342845</c:v>
                </c:pt>
                <c:pt idx="6">
                  <c:v>-0.61895744540788711</c:v>
                </c:pt>
                <c:pt idx="7">
                  <c:v>-0.63231032533978904</c:v>
                </c:pt>
                <c:pt idx="8">
                  <c:v>-0.66810100900809488</c:v>
                </c:pt>
                <c:pt idx="9">
                  <c:v>-0.69566150997899356</c:v>
                </c:pt>
                <c:pt idx="10">
                  <c:v>-0.71932894336520248</c:v>
                </c:pt>
                <c:pt idx="11">
                  <c:v>-0.73908318371918946</c:v>
                </c:pt>
                <c:pt idx="12">
                  <c:v>-0.75538388438934601</c:v>
                </c:pt>
                <c:pt idx="13">
                  <c:v>-0.75738344763233012</c:v>
                </c:pt>
                <c:pt idx="14">
                  <c:v>-0.74579843906102283</c:v>
                </c:pt>
                <c:pt idx="15">
                  <c:v>-0.73248402501824073</c:v>
                </c:pt>
                <c:pt idx="16">
                  <c:v>-0.76256790570252253</c:v>
                </c:pt>
                <c:pt idx="17">
                  <c:v>-0.75395799433574295</c:v>
                </c:pt>
                <c:pt idx="18">
                  <c:v>-0.77626329006314354</c:v>
                </c:pt>
                <c:pt idx="19">
                  <c:v>-0.80628803367047785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 Chg_R_posneg '!$A$26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'!$B$26:$U$26</c:f>
              <c:numCache>
                <c:formatCode>General</c:formatCode>
                <c:ptCount val="20"/>
                <c:pt idx="0">
                  <c:v>-0.24287583252553968</c:v>
                </c:pt>
                <c:pt idx="1">
                  <c:v>-0.33429135129179394</c:v>
                </c:pt>
                <c:pt idx="2">
                  <c:v>-0.45798626004446114</c:v>
                </c:pt>
                <c:pt idx="3">
                  <c:v>-0.53581530256775933</c:v>
                </c:pt>
                <c:pt idx="4">
                  <c:v>-0.60262126114773029</c:v>
                </c:pt>
                <c:pt idx="5">
                  <c:v>-0.66790829248192152</c:v>
                </c:pt>
                <c:pt idx="6">
                  <c:v>-0.70540418765653845</c:v>
                </c:pt>
                <c:pt idx="7">
                  <c:v>-0.74005889253939294</c:v>
                </c:pt>
                <c:pt idx="8">
                  <c:v>-0.8105912514995951</c:v>
                </c:pt>
                <c:pt idx="9">
                  <c:v>-0.82705272139179886</c:v>
                </c:pt>
                <c:pt idx="10">
                  <c:v>-0.85278927576566488</c:v>
                </c:pt>
                <c:pt idx="11">
                  <c:v>-0.89569757143963158</c:v>
                </c:pt>
                <c:pt idx="12">
                  <c:v>-0.88148147403540278</c:v>
                </c:pt>
                <c:pt idx="13">
                  <c:v>-0.90167917125318242</c:v>
                </c:pt>
                <c:pt idx="14">
                  <c:v>-0.92570534065477128</c:v>
                </c:pt>
                <c:pt idx="15">
                  <c:v>-0.93900191215744944</c:v>
                </c:pt>
                <c:pt idx="16">
                  <c:v>-0.93658256107386373</c:v>
                </c:pt>
                <c:pt idx="17">
                  <c:v>-0.97186344466275776</c:v>
                </c:pt>
                <c:pt idx="18">
                  <c:v>-0.98531729690584058</c:v>
                </c:pt>
                <c:pt idx="19">
                  <c:v>-0.97635824711800734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 Chg_R_posneg '!$A$27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'!$B$27:$U$27</c:f>
              <c:numCache>
                <c:formatCode>General</c:formatCode>
                <c:ptCount val="20"/>
                <c:pt idx="0">
                  <c:v>-0.3230445820036334</c:v>
                </c:pt>
                <c:pt idx="1">
                  <c:v>-0.3782792570700575</c:v>
                </c:pt>
                <c:pt idx="2">
                  <c:v>-0.42306796243323247</c:v>
                </c:pt>
                <c:pt idx="3">
                  <c:v>-0.43388405989902395</c:v>
                </c:pt>
                <c:pt idx="4">
                  <c:v>-0.4539765201948221</c:v>
                </c:pt>
                <c:pt idx="5">
                  <c:v>-0.4743572770992811</c:v>
                </c:pt>
                <c:pt idx="6">
                  <c:v>-0.50844352977941609</c:v>
                </c:pt>
                <c:pt idx="7">
                  <c:v>-0.52260539366208747</c:v>
                </c:pt>
                <c:pt idx="8">
                  <c:v>-0.53572779976693019</c:v>
                </c:pt>
                <c:pt idx="9">
                  <c:v>-0.54910829584679899</c:v>
                </c:pt>
                <c:pt idx="10">
                  <c:v>-0.56237293626302665</c:v>
                </c:pt>
                <c:pt idx="11">
                  <c:v>-0.58820001539911382</c:v>
                </c:pt>
                <c:pt idx="12">
                  <c:v>-0.61581858328288042</c:v>
                </c:pt>
                <c:pt idx="13">
                  <c:v>-0.62950963387061132</c:v>
                </c:pt>
                <c:pt idx="14">
                  <c:v>-0.6205499342132651</c:v>
                </c:pt>
                <c:pt idx="15">
                  <c:v>-0.61748013570316385</c:v>
                </c:pt>
                <c:pt idx="16">
                  <c:v>-0.6219640145589953</c:v>
                </c:pt>
                <c:pt idx="17">
                  <c:v>-0.62271461653753646</c:v>
                </c:pt>
                <c:pt idx="18">
                  <c:v>-0.6321991925306627</c:v>
                </c:pt>
                <c:pt idx="19">
                  <c:v>-0.64849706015325626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 Chg_R_posneg '!$A$28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'!$B$28:$U$28</c:f>
              <c:numCache>
                <c:formatCode>General</c:formatCode>
                <c:ptCount val="20"/>
                <c:pt idx="0">
                  <c:v>-0.32530357920691777</c:v>
                </c:pt>
                <c:pt idx="1">
                  <c:v>-0.39169352781578276</c:v>
                </c:pt>
                <c:pt idx="2">
                  <c:v>-0.46509181659707949</c:v>
                </c:pt>
                <c:pt idx="3">
                  <c:v>-0.50541987958010526</c:v>
                </c:pt>
                <c:pt idx="4">
                  <c:v>-0.5399597038801951</c:v>
                </c:pt>
                <c:pt idx="5">
                  <c:v>-0.58425659187532475</c:v>
                </c:pt>
                <c:pt idx="6">
                  <c:v>-0.61840348422131541</c:v>
                </c:pt>
                <c:pt idx="7">
                  <c:v>-0.64581901123928331</c:v>
                </c:pt>
                <c:pt idx="8">
                  <c:v>-0.68183955858917056</c:v>
                </c:pt>
                <c:pt idx="9">
                  <c:v>-0.72128459931929434</c:v>
                </c:pt>
                <c:pt idx="10">
                  <c:v>-0.72634786593250045</c:v>
                </c:pt>
                <c:pt idx="11">
                  <c:v>-0.74182762979229666</c:v>
                </c:pt>
                <c:pt idx="12">
                  <c:v>-0.75272909702223312</c:v>
                </c:pt>
                <c:pt idx="13">
                  <c:v>-0.76591815128238938</c:v>
                </c:pt>
                <c:pt idx="14">
                  <c:v>-0.77613637917851819</c:v>
                </c:pt>
                <c:pt idx="15">
                  <c:v>-0.75535755782648373</c:v>
                </c:pt>
                <c:pt idx="16">
                  <c:v>-0.76833868798357896</c:v>
                </c:pt>
                <c:pt idx="17">
                  <c:v>-0.77759280884082949</c:v>
                </c:pt>
                <c:pt idx="18">
                  <c:v>-0.78480782696780893</c:v>
                </c:pt>
                <c:pt idx="19">
                  <c:v>-0.80607597452426216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 Chg_R_posneg '!$A$29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'!$B$29:$U$29</c:f>
              <c:numCache>
                <c:formatCode>General</c:formatCode>
                <c:ptCount val="20"/>
                <c:pt idx="0">
                  <c:v>-0.33905367954654109</c:v>
                </c:pt>
                <c:pt idx="1">
                  <c:v>-0.39576193661645276</c:v>
                </c:pt>
                <c:pt idx="2">
                  <c:v>-0.46070494486130653</c:v>
                </c:pt>
                <c:pt idx="3">
                  <c:v>-0.47581301663389297</c:v>
                </c:pt>
                <c:pt idx="4">
                  <c:v>-0.51293913723920193</c:v>
                </c:pt>
                <c:pt idx="5">
                  <c:v>-0.53995495309579544</c:v>
                </c:pt>
                <c:pt idx="6">
                  <c:v>-0.55680374940160271</c:v>
                </c:pt>
                <c:pt idx="7">
                  <c:v>-0.57349857683605898</c:v>
                </c:pt>
                <c:pt idx="8">
                  <c:v>-0.58559117544225325</c:v>
                </c:pt>
                <c:pt idx="9">
                  <c:v>-0.58722774406070744</c:v>
                </c:pt>
                <c:pt idx="10">
                  <c:v>-0.60544710725292195</c:v>
                </c:pt>
                <c:pt idx="11">
                  <c:v>-0.59911736340531807</c:v>
                </c:pt>
                <c:pt idx="12">
                  <c:v>-0.58970659963049732</c:v>
                </c:pt>
                <c:pt idx="13">
                  <c:v>-0.57917395834102503</c:v>
                </c:pt>
                <c:pt idx="14">
                  <c:v>-0.57291434822076293</c:v>
                </c:pt>
                <c:pt idx="15">
                  <c:v>-0.57916048335806647</c:v>
                </c:pt>
                <c:pt idx="16">
                  <c:v>-0.5924467446250411</c:v>
                </c:pt>
                <c:pt idx="17">
                  <c:v>-0.58663822126787202</c:v>
                </c:pt>
                <c:pt idx="18">
                  <c:v>-0.60437355170207963</c:v>
                </c:pt>
                <c:pt idx="19">
                  <c:v>-0.62406084984697685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 Chg_R_posneg '!$A$30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'!$B$30:$U$30</c:f>
              <c:numCache>
                <c:formatCode>General</c:formatCode>
                <c:ptCount val="20"/>
                <c:pt idx="0">
                  <c:v>-0.23944672356816965</c:v>
                </c:pt>
                <c:pt idx="1">
                  <c:v>-0.25029545838257644</c:v>
                </c:pt>
                <c:pt idx="2">
                  <c:v>-0.24185785076979732</c:v>
                </c:pt>
                <c:pt idx="3">
                  <c:v>-0.23051386140582894</c:v>
                </c:pt>
                <c:pt idx="4">
                  <c:v>-0.22999951119860843</c:v>
                </c:pt>
                <c:pt idx="5">
                  <c:v>-0.22594877405948666</c:v>
                </c:pt>
                <c:pt idx="6">
                  <c:v>-0.22812711340817185</c:v>
                </c:pt>
                <c:pt idx="7">
                  <c:v>-0.22994980606150944</c:v>
                </c:pt>
                <c:pt idx="8">
                  <c:v>-0.23081982285155811</c:v>
                </c:pt>
                <c:pt idx="9">
                  <c:v>-0.24173431409573015</c:v>
                </c:pt>
                <c:pt idx="10">
                  <c:v>-0.24412776559944913</c:v>
                </c:pt>
                <c:pt idx="11">
                  <c:v>-0.2260278306572287</c:v>
                </c:pt>
                <c:pt idx="12">
                  <c:v>-0.22846854190860591</c:v>
                </c:pt>
                <c:pt idx="13">
                  <c:v>-0.21480423718779273</c:v>
                </c:pt>
                <c:pt idx="14">
                  <c:v>-0.20750245095152856</c:v>
                </c:pt>
                <c:pt idx="15">
                  <c:v>-0.20430135112023259</c:v>
                </c:pt>
                <c:pt idx="16">
                  <c:v>-0.20805721209351347</c:v>
                </c:pt>
                <c:pt idx="17">
                  <c:v>-0.21025315935353861</c:v>
                </c:pt>
                <c:pt idx="18">
                  <c:v>-0.21342396436630937</c:v>
                </c:pt>
                <c:pt idx="19">
                  <c:v>-0.22072252489079203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 Chg_R_posneg '!$A$31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'!$B$31:$U$31</c:f>
              <c:numCache>
                <c:formatCode>General</c:formatCode>
                <c:ptCount val="20"/>
                <c:pt idx="0">
                  <c:v>-0.28827390637036854</c:v>
                </c:pt>
                <c:pt idx="1">
                  <c:v>-0.31224499307485537</c:v>
                </c:pt>
                <c:pt idx="2">
                  <c:v>-0.33060666321656018</c:v>
                </c:pt>
                <c:pt idx="3">
                  <c:v>-0.34039874599995429</c:v>
                </c:pt>
                <c:pt idx="4">
                  <c:v>-0.36049364511317422</c:v>
                </c:pt>
                <c:pt idx="5">
                  <c:v>-0.38737868465655606</c:v>
                </c:pt>
                <c:pt idx="6">
                  <c:v>-0.41368248908367233</c:v>
                </c:pt>
                <c:pt idx="7">
                  <c:v>-0.4406029495540959</c:v>
                </c:pt>
                <c:pt idx="8">
                  <c:v>-0.4544379575238619</c:v>
                </c:pt>
                <c:pt idx="9">
                  <c:v>-0.46806857379800604</c:v>
                </c:pt>
                <c:pt idx="10">
                  <c:v>-0.48870166474849164</c:v>
                </c:pt>
                <c:pt idx="11">
                  <c:v>-0.51788853421086067</c:v>
                </c:pt>
                <c:pt idx="12">
                  <c:v>-0.52636955624188242</c:v>
                </c:pt>
                <c:pt idx="13">
                  <c:v>-0.530041828238624</c:v>
                </c:pt>
                <c:pt idx="14">
                  <c:v>-0.53879159198207272</c:v>
                </c:pt>
                <c:pt idx="15">
                  <c:v>-0.53087357081919972</c:v>
                </c:pt>
                <c:pt idx="16">
                  <c:v>-0.54650070208130441</c:v>
                </c:pt>
                <c:pt idx="17">
                  <c:v>-0.53372371859508094</c:v>
                </c:pt>
                <c:pt idx="18">
                  <c:v>-0.53849393964592174</c:v>
                </c:pt>
                <c:pt idx="19">
                  <c:v>-0.5373295041060504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 Chg_R_posneg '!$A$32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'!$B$32:$U$32</c:f>
              <c:numCache>
                <c:formatCode>General</c:formatCode>
                <c:ptCount val="20"/>
                <c:pt idx="0">
                  <c:v>-0.21059653070871343</c:v>
                </c:pt>
                <c:pt idx="1">
                  <c:v>-0.25462165102727907</c:v>
                </c:pt>
                <c:pt idx="2">
                  <c:v>-0.3026580256038171</c:v>
                </c:pt>
                <c:pt idx="3">
                  <c:v>-0.33673606268531181</c:v>
                </c:pt>
                <c:pt idx="4">
                  <c:v>-0.38191385969781549</c:v>
                </c:pt>
                <c:pt idx="5">
                  <c:v>-0.3862309076306098</c:v>
                </c:pt>
                <c:pt idx="6">
                  <c:v>-0.40894034620313102</c:v>
                </c:pt>
                <c:pt idx="7">
                  <c:v>-0.43212731518215419</c:v>
                </c:pt>
                <c:pt idx="8">
                  <c:v>-0.43190794210541478</c:v>
                </c:pt>
                <c:pt idx="9">
                  <c:v>-0.44093724082987895</c:v>
                </c:pt>
                <c:pt idx="10">
                  <c:v>-0.45618106491111204</c:v>
                </c:pt>
                <c:pt idx="11">
                  <c:v>-0.47161265984690587</c:v>
                </c:pt>
                <c:pt idx="12">
                  <c:v>-0.47562676213550914</c:v>
                </c:pt>
                <c:pt idx="13">
                  <c:v>-0.48883895013429612</c:v>
                </c:pt>
                <c:pt idx="14">
                  <c:v>-0.4916255340329338</c:v>
                </c:pt>
                <c:pt idx="15">
                  <c:v>-0.52198793697741475</c:v>
                </c:pt>
                <c:pt idx="16">
                  <c:v>-0.55032550481165987</c:v>
                </c:pt>
                <c:pt idx="17">
                  <c:v>-0.54155898041968031</c:v>
                </c:pt>
                <c:pt idx="18">
                  <c:v>-0.52524609492794661</c:v>
                </c:pt>
                <c:pt idx="19">
                  <c:v>-0.54385710858135283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 Chg_R_posneg '!$A$33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'!$B$33:$U$33</c:f>
              <c:numCache>
                <c:formatCode>General</c:formatCode>
                <c:ptCount val="20"/>
                <c:pt idx="0">
                  <c:v>-0.21408850789080541</c:v>
                </c:pt>
                <c:pt idx="1">
                  <c:v>-0.26263499748746283</c:v>
                </c:pt>
                <c:pt idx="2">
                  <c:v>-0.31680328522264761</c:v>
                </c:pt>
                <c:pt idx="3">
                  <c:v>-0.3517591334475485</c:v>
                </c:pt>
                <c:pt idx="4">
                  <c:v>-0.36102607477401616</c:v>
                </c:pt>
                <c:pt idx="5">
                  <c:v>-0.38356199924842799</c:v>
                </c:pt>
                <c:pt idx="6">
                  <c:v>-0.39971993742370421</c:v>
                </c:pt>
                <c:pt idx="7">
                  <c:v>-0.42305130541615105</c:v>
                </c:pt>
                <c:pt idx="8">
                  <c:v>-0.43399874173198888</c:v>
                </c:pt>
                <c:pt idx="9">
                  <c:v>-0.44951408813260202</c:v>
                </c:pt>
                <c:pt idx="10">
                  <c:v>-0.46573282141334466</c:v>
                </c:pt>
                <c:pt idx="11">
                  <c:v>-0.4779581285875682</c:v>
                </c:pt>
                <c:pt idx="12">
                  <c:v>-0.48953071654707331</c:v>
                </c:pt>
                <c:pt idx="13">
                  <c:v>-0.4975175990534989</c:v>
                </c:pt>
                <c:pt idx="14">
                  <c:v>-0.50482353497942212</c:v>
                </c:pt>
                <c:pt idx="15">
                  <c:v>-0.49592651553975714</c:v>
                </c:pt>
                <c:pt idx="16">
                  <c:v>-0.50456553200582466</c:v>
                </c:pt>
                <c:pt idx="17">
                  <c:v>-0.51533186499772543</c:v>
                </c:pt>
                <c:pt idx="18">
                  <c:v>-0.52539123868204962</c:v>
                </c:pt>
                <c:pt idx="19">
                  <c:v>-0.54291276295871616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 Chg_R_posneg '!$A$34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'!$B$34:$U$34</c:f>
              <c:numCache>
                <c:formatCode>General</c:formatCode>
                <c:ptCount val="20"/>
                <c:pt idx="0">
                  <c:v>-0.21417262547292726</c:v>
                </c:pt>
                <c:pt idx="1">
                  <c:v>-0.26528668693746021</c:v>
                </c:pt>
                <c:pt idx="2">
                  <c:v>-0.31169866023645892</c:v>
                </c:pt>
                <c:pt idx="3">
                  <c:v>-0.34852178033825265</c:v>
                </c:pt>
                <c:pt idx="4">
                  <c:v>-0.36474509528820298</c:v>
                </c:pt>
                <c:pt idx="5">
                  <c:v>-0.38154644606733812</c:v>
                </c:pt>
                <c:pt idx="6">
                  <c:v>-0.39918304777283331</c:v>
                </c:pt>
                <c:pt idx="7">
                  <c:v>-0.40439871606968536</c:v>
                </c:pt>
                <c:pt idx="8">
                  <c:v>-0.4165592965276918</c:v>
                </c:pt>
                <c:pt idx="9">
                  <c:v>-0.44506090122395486</c:v>
                </c:pt>
                <c:pt idx="10">
                  <c:v>-0.46087015653416913</c:v>
                </c:pt>
                <c:pt idx="11">
                  <c:v>-0.45724132367846887</c:v>
                </c:pt>
                <c:pt idx="12">
                  <c:v>-0.47532578576741691</c:v>
                </c:pt>
                <c:pt idx="13">
                  <c:v>-0.48793110156566133</c:v>
                </c:pt>
                <c:pt idx="14">
                  <c:v>-0.50557284006806624</c:v>
                </c:pt>
                <c:pt idx="15">
                  <c:v>-0.51207291373236585</c:v>
                </c:pt>
                <c:pt idx="16">
                  <c:v>-0.52148293356188469</c:v>
                </c:pt>
                <c:pt idx="17">
                  <c:v>-0.50663484770340628</c:v>
                </c:pt>
                <c:pt idx="18">
                  <c:v>-0.50845396411976385</c:v>
                </c:pt>
                <c:pt idx="19">
                  <c:v>-0.51433370700972958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 Chg_R_posneg '!$A$35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'!$B$35:$U$35</c:f>
              <c:numCache>
                <c:formatCode>General</c:formatCode>
                <c:ptCount val="20"/>
                <c:pt idx="0">
                  <c:v>-0.26263130839379784</c:v>
                </c:pt>
                <c:pt idx="1">
                  <c:v>-0.29219240080287445</c:v>
                </c:pt>
                <c:pt idx="2">
                  <c:v>-0.33429935083389573</c:v>
                </c:pt>
                <c:pt idx="3">
                  <c:v>-0.36413396123745989</c:v>
                </c:pt>
                <c:pt idx="4">
                  <c:v>-0.38677188871003376</c:v>
                </c:pt>
                <c:pt idx="5">
                  <c:v>-0.40096052086865475</c:v>
                </c:pt>
                <c:pt idx="6">
                  <c:v>-0.43332540738299019</c:v>
                </c:pt>
                <c:pt idx="7">
                  <c:v>-0.44631130916946987</c:v>
                </c:pt>
                <c:pt idx="8">
                  <c:v>-0.4651367545357441</c:v>
                </c:pt>
                <c:pt idx="9">
                  <c:v>-0.4714719763437486</c:v>
                </c:pt>
                <c:pt idx="10">
                  <c:v>-0.47399863896540484</c:v>
                </c:pt>
                <c:pt idx="11">
                  <c:v>-0.46746806756592874</c:v>
                </c:pt>
                <c:pt idx="12">
                  <c:v>-0.46596339687068239</c:v>
                </c:pt>
                <c:pt idx="13">
                  <c:v>-0.4686140041940336</c:v>
                </c:pt>
                <c:pt idx="14">
                  <c:v>-0.47541504706845766</c:v>
                </c:pt>
                <c:pt idx="15">
                  <c:v>-0.47774877606273758</c:v>
                </c:pt>
                <c:pt idx="16">
                  <c:v>-0.47806690974554378</c:v>
                </c:pt>
                <c:pt idx="17">
                  <c:v>-0.49887015984478877</c:v>
                </c:pt>
                <c:pt idx="18">
                  <c:v>-0.50753645867923347</c:v>
                </c:pt>
                <c:pt idx="19">
                  <c:v>-0.52310532763409345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 Chg_R_posneg '!$A$36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'!$B$36:$U$36</c:f>
              <c:numCache>
                <c:formatCode>General</c:formatCode>
                <c:ptCount val="20"/>
                <c:pt idx="0">
                  <c:v>-0.25970421117662928</c:v>
                </c:pt>
                <c:pt idx="1">
                  <c:v>-0.29527070605333722</c:v>
                </c:pt>
                <c:pt idx="2">
                  <c:v>-0.3434408300494014</c:v>
                </c:pt>
                <c:pt idx="3">
                  <c:v>-0.37570319051178386</c:v>
                </c:pt>
                <c:pt idx="4">
                  <c:v>-0.40506239805650468</c:v>
                </c:pt>
                <c:pt idx="5">
                  <c:v>-0.43074039194667352</c:v>
                </c:pt>
                <c:pt idx="6">
                  <c:v>-0.45386081094314296</c:v>
                </c:pt>
                <c:pt idx="7">
                  <c:v>-0.4726442319793176</c:v>
                </c:pt>
                <c:pt idx="8">
                  <c:v>-0.4719343872489829</c:v>
                </c:pt>
                <c:pt idx="9">
                  <c:v>-0.49159397366210233</c:v>
                </c:pt>
                <c:pt idx="10">
                  <c:v>-0.49773750717331861</c:v>
                </c:pt>
                <c:pt idx="11">
                  <c:v>-0.499594673791804</c:v>
                </c:pt>
                <c:pt idx="12">
                  <c:v>-0.51616812974158643</c:v>
                </c:pt>
                <c:pt idx="13">
                  <c:v>-0.51026612756360845</c:v>
                </c:pt>
                <c:pt idx="14">
                  <c:v>-0.50171905090375046</c:v>
                </c:pt>
                <c:pt idx="15">
                  <c:v>-0.50445343169013956</c:v>
                </c:pt>
                <c:pt idx="16">
                  <c:v>-0.4942450027909488</c:v>
                </c:pt>
                <c:pt idx="17">
                  <c:v>-0.49843822579755342</c:v>
                </c:pt>
                <c:pt idx="18">
                  <c:v>-0.50118092046246077</c:v>
                </c:pt>
                <c:pt idx="19">
                  <c:v>-0.50045420103146643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 Chg_R_posneg '!$A$37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' Chg_R_posneg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 Chg_R_posneg '!$B$37:$U$37</c:f>
              <c:numCache>
                <c:formatCode>General</c:formatCode>
                <c:ptCount val="20"/>
                <c:pt idx="0">
                  <c:v>-0.30767420000278412</c:v>
                </c:pt>
                <c:pt idx="1">
                  <c:v>-0.36168973573723234</c:v>
                </c:pt>
                <c:pt idx="2">
                  <c:v>-0.44526550818562893</c:v>
                </c:pt>
                <c:pt idx="3">
                  <c:v>-0.51902422932229242</c:v>
                </c:pt>
                <c:pt idx="4">
                  <c:v>-0.58033992732577433</c:v>
                </c:pt>
                <c:pt idx="5">
                  <c:v>-0.63527380357501795</c:v>
                </c:pt>
                <c:pt idx="6">
                  <c:v>-0.67443123626725776</c:v>
                </c:pt>
                <c:pt idx="7">
                  <c:v>-0.69791917222670119</c:v>
                </c:pt>
                <c:pt idx="8">
                  <c:v>-0.70750083350803905</c:v>
                </c:pt>
                <c:pt idx="9">
                  <c:v>-0.72318101207185026</c:v>
                </c:pt>
                <c:pt idx="10">
                  <c:v>-0.73605646239151945</c:v>
                </c:pt>
                <c:pt idx="11">
                  <c:v>-0.73395285868911864</c:v>
                </c:pt>
                <c:pt idx="12">
                  <c:v>-0.73641734009897886</c:v>
                </c:pt>
                <c:pt idx="13">
                  <c:v>-0.73396904699551135</c:v>
                </c:pt>
                <c:pt idx="14">
                  <c:v>-0.75092505825289435</c:v>
                </c:pt>
                <c:pt idx="15">
                  <c:v>-0.74917261695625337</c:v>
                </c:pt>
                <c:pt idx="16">
                  <c:v>-0.73394989957359058</c:v>
                </c:pt>
                <c:pt idx="17">
                  <c:v>-0.74009707202713615</c:v>
                </c:pt>
                <c:pt idx="18">
                  <c:v>-0.78669340090269579</c:v>
                </c:pt>
                <c:pt idx="19">
                  <c:v>-0.79929304336656815</c:v>
                </c:pt>
              </c:numCache>
            </c:numRef>
          </c:yVal>
          <c:smooth val="1"/>
        </c:ser>
        <c:axId val="89601152"/>
        <c:axId val="89603072"/>
      </c:scatterChart>
      <c:valAx>
        <c:axId val="89601152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03072"/>
        <c:crosses val="autoZero"/>
        <c:crossBetween val="midCat"/>
      </c:valAx>
      <c:valAx>
        <c:axId val="89603072"/>
        <c:scaling>
          <c:orientation val="minMax"/>
        </c:scaling>
        <c:axPos val="l"/>
        <c:numFmt formatCode="General" sourceLinked="1"/>
        <c:tickLblPos val="nextTo"/>
        <c:crossAx val="896011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605182152230973"/>
          <c:y val="7.9861566711275714E-2"/>
          <c:w val="0.26212266666666667"/>
          <c:h val="0.85768759142261364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'!$B$3:$U$3</c:f>
              <c:numCache>
                <c:formatCode>General</c:formatCode>
                <c:ptCount val="20"/>
                <c:pt idx="0">
                  <c:v>-0.41362281518090427</c:v>
                </c:pt>
                <c:pt idx="1">
                  <c:v>-0.50538149003898258</c:v>
                </c:pt>
                <c:pt idx="2">
                  <c:v>-0.62791976172843145</c:v>
                </c:pt>
                <c:pt idx="3">
                  <c:v>-0.79375827487169837</c:v>
                </c:pt>
                <c:pt idx="4">
                  <c:v>-0.82464272464086219</c:v>
                </c:pt>
                <c:pt idx="5">
                  <c:v>-0.88744458724182063</c:v>
                </c:pt>
                <c:pt idx="6">
                  <c:v>-1.0081712254369508</c:v>
                </c:pt>
                <c:pt idx="7">
                  <c:v>-1.0570697442600567</c:v>
                </c:pt>
                <c:pt idx="8">
                  <c:v>-1.1294509637264649</c:v>
                </c:pt>
                <c:pt idx="9">
                  <c:v>-1.2108792689134844</c:v>
                </c:pt>
                <c:pt idx="10">
                  <c:v>-1.0914682329272467</c:v>
                </c:pt>
                <c:pt idx="11">
                  <c:v>-1.0610457281743204</c:v>
                </c:pt>
                <c:pt idx="12">
                  <c:v>-1.1280108221191922</c:v>
                </c:pt>
                <c:pt idx="13">
                  <c:v>-1.1985609854505581</c:v>
                </c:pt>
                <c:pt idx="14">
                  <c:v>-1.2114703224679879</c:v>
                </c:pt>
                <c:pt idx="15">
                  <c:v>-1.1568242283208705</c:v>
                </c:pt>
                <c:pt idx="16">
                  <c:v>-1.1871799796786426</c:v>
                </c:pt>
                <c:pt idx="17">
                  <c:v>-1.3075955206202448</c:v>
                </c:pt>
                <c:pt idx="18">
                  <c:v>-1.2794161011264722</c:v>
                </c:pt>
                <c:pt idx="19">
                  <c:v>-1.4769662700308577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'!$B$21:$U$21</c:f>
              <c:numCache>
                <c:formatCode>General</c:formatCode>
                <c:ptCount val="20"/>
                <c:pt idx="0">
                  <c:v>-0.52431609850308314</c:v>
                </c:pt>
                <c:pt idx="1">
                  <c:v>-0.71912724757046331</c:v>
                </c:pt>
                <c:pt idx="2">
                  <c:v>-0.97068967690575769</c:v>
                </c:pt>
                <c:pt idx="3">
                  <c:v>-1.127384119767757</c:v>
                </c:pt>
                <c:pt idx="4">
                  <c:v>-1.2819244849507418</c:v>
                </c:pt>
                <c:pt idx="5">
                  <c:v>-1.5779080936114647</c:v>
                </c:pt>
                <c:pt idx="6">
                  <c:v>-1.6225565241488491</c:v>
                </c:pt>
                <c:pt idx="7">
                  <c:v>-1.8386075168019438</c:v>
                </c:pt>
                <c:pt idx="8">
                  <c:v>-1.9743568984459572</c:v>
                </c:pt>
                <c:pt idx="9">
                  <c:v>-2.267880296753189</c:v>
                </c:pt>
                <c:pt idx="10">
                  <c:v>-2.4487043729616502</c:v>
                </c:pt>
                <c:pt idx="11">
                  <c:v>-2.6002225732000244</c:v>
                </c:pt>
                <c:pt idx="12">
                  <c:v>-2.5331906480874395</c:v>
                </c:pt>
                <c:pt idx="13">
                  <c:v>-2.758281274645574</c:v>
                </c:pt>
                <c:pt idx="14">
                  <c:v>-3.048297742649555</c:v>
                </c:pt>
                <c:pt idx="15">
                  <c:v>-3.0580409264102961</c:v>
                </c:pt>
                <c:pt idx="16">
                  <c:v>-3.2584126363227046</c:v>
                </c:pt>
                <c:pt idx="17">
                  <c:v>-3.314530243208579</c:v>
                </c:pt>
                <c:pt idx="18">
                  <c:v>-3.5159469020868364</c:v>
                </c:pt>
                <c:pt idx="19">
                  <c:v>-4.2261277310614078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'!$B$37:$U$37</c:f>
              <c:numCache>
                <c:formatCode>General</c:formatCode>
                <c:ptCount val="20"/>
                <c:pt idx="0">
                  <c:v>-0.44440666519147681</c:v>
                </c:pt>
                <c:pt idx="1">
                  <c:v>-0.56663625197218925</c:v>
                </c:pt>
                <c:pt idx="2">
                  <c:v>-0.80266418395816397</c:v>
                </c:pt>
                <c:pt idx="3">
                  <c:v>-1.0791068094573113</c:v>
                </c:pt>
                <c:pt idx="4">
                  <c:v>-1.382880967511726</c:v>
                </c:pt>
                <c:pt idx="5">
                  <c:v>-1.7417827669137085</c:v>
                </c:pt>
                <c:pt idx="6">
                  <c:v>-2.0715477385935435</c:v>
                </c:pt>
                <c:pt idx="7">
                  <c:v>-2.3103722847001245</c:v>
                </c:pt>
                <c:pt idx="8">
                  <c:v>-2.4188131610538588</c:v>
                </c:pt>
                <c:pt idx="9">
                  <c:v>-2.6124689548375812</c:v>
                </c:pt>
                <c:pt idx="10">
                  <c:v>-2.7886890850244854</c:v>
                </c:pt>
                <c:pt idx="11">
                  <c:v>-2.7587323625157101</c:v>
                </c:pt>
                <c:pt idx="12">
                  <c:v>-2.7938762753798509</c:v>
                </c:pt>
                <c:pt idx="13">
                  <c:v>-2.758961085942234</c:v>
                </c:pt>
                <c:pt idx="14">
                  <c:v>-3.0148559023465888</c:v>
                </c:pt>
                <c:pt idx="15">
                  <c:v>-2.9868055387939467</c:v>
                </c:pt>
                <c:pt idx="16">
                  <c:v>-2.7586905563924198</c:v>
                </c:pt>
                <c:pt idx="17">
                  <c:v>-2.8475903592144549</c:v>
                </c:pt>
                <c:pt idx="18">
                  <c:v>-3.6880874958014278</c:v>
                </c:pt>
                <c:pt idx="19">
                  <c:v>-3.9823883375721008</c:v>
                </c:pt>
              </c:numCache>
            </c:numRef>
          </c:yVal>
          <c:smooth val="1"/>
        </c:ser>
        <c:axId val="97356416"/>
        <c:axId val="97366784"/>
      </c:scatterChart>
      <c:valAx>
        <c:axId val="9735641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366784"/>
        <c:crosses val="autoZero"/>
        <c:crossBetween val="midCat"/>
      </c:valAx>
      <c:valAx>
        <c:axId val="97366784"/>
        <c:scaling>
          <c:orientation val="minMax"/>
        </c:scaling>
        <c:axPos val="l"/>
        <c:numFmt formatCode="General" sourceLinked="1"/>
        <c:tickLblPos val="nextTo"/>
        <c:crossAx val="97356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750174978127723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6633244086160309E-2"/>
          <c:y val="3.5106781612772711E-2"/>
          <c:w val="0.66274278909213558"/>
          <c:h val="0.92978643677445461"/>
        </c:manualLayout>
      </c:layout>
      <c:scatterChart>
        <c:scatterStyle val="smoothMarker"/>
        <c:ser>
          <c:idx val="0"/>
          <c:order val="0"/>
          <c:tx>
            <c:strRef>
              <c:f>'Chg_R_pos_tchg '!$A$3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'!$B$3:$U$3</c:f>
              <c:numCache>
                <c:formatCode>General</c:formatCode>
                <c:ptCount val="20"/>
                <c:pt idx="0">
                  <c:v>-0.41362281518090427</c:v>
                </c:pt>
                <c:pt idx="1">
                  <c:v>-0.50538149003898258</c:v>
                </c:pt>
                <c:pt idx="2">
                  <c:v>-0.62791976172843145</c:v>
                </c:pt>
                <c:pt idx="3">
                  <c:v>-0.79375827487169837</c:v>
                </c:pt>
                <c:pt idx="4">
                  <c:v>-0.82464272464086219</c:v>
                </c:pt>
                <c:pt idx="5">
                  <c:v>-0.88744458724182063</c:v>
                </c:pt>
                <c:pt idx="6">
                  <c:v>-1.0081712254369508</c:v>
                </c:pt>
                <c:pt idx="7">
                  <c:v>-1.0570697442600567</c:v>
                </c:pt>
                <c:pt idx="8">
                  <c:v>-1.1294509637264649</c:v>
                </c:pt>
                <c:pt idx="9">
                  <c:v>-1.2108792689134844</c:v>
                </c:pt>
                <c:pt idx="10">
                  <c:v>-1.0914682329272467</c:v>
                </c:pt>
                <c:pt idx="11">
                  <c:v>-1.0610457281743204</c:v>
                </c:pt>
                <c:pt idx="12">
                  <c:v>-1.1280108221191922</c:v>
                </c:pt>
                <c:pt idx="13">
                  <c:v>-1.1985609854505581</c:v>
                </c:pt>
                <c:pt idx="14">
                  <c:v>-1.2114703224679879</c:v>
                </c:pt>
                <c:pt idx="15">
                  <c:v>-1.1568242283208705</c:v>
                </c:pt>
                <c:pt idx="16">
                  <c:v>-1.1871799796786426</c:v>
                </c:pt>
                <c:pt idx="17">
                  <c:v>-1.3075955206202448</c:v>
                </c:pt>
                <c:pt idx="18">
                  <c:v>-1.2794161011264722</c:v>
                </c:pt>
                <c:pt idx="19">
                  <c:v>-1.4769662700308577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'Chg_R_pos_tchg '!$A$4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'!$B$4:$U$4</c:f>
              <c:numCache>
                <c:formatCode>General</c:formatCode>
                <c:ptCount val="20"/>
                <c:pt idx="0">
                  <c:v>-0.37491569425170551</c:v>
                </c:pt>
                <c:pt idx="1">
                  <c:v>-0.45829926353621353</c:v>
                </c:pt>
                <c:pt idx="2">
                  <c:v>-0.59596901528517487</c:v>
                </c:pt>
                <c:pt idx="3">
                  <c:v>-0.73161987903086645</c:v>
                </c:pt>
                <c:pt idx="4">
                  <c:v>-0.79973814573934743</c:v>
                </c:pt>
                <c:pt idx="5">
                  <c:v>-0.87183972742759785</c:v>
                </c:pt>
                <c:pt idx="6">
                  <c:v>-0.85382010800780561</c:v>
                </c:pt>
                <c:pt idx="7">
                  <c:v>-0.95498939066694899</c:v>
                </c:pt>
                <c:pt idx="8">
                  <c:v>-0.94601760913848643</c:v>
                </c:pt>
                <c:pt idx="9">
                  <c:v>-0.9835902936379971</c:v>
                </c:pt>
                <c:pt idx="10">
                  <c:v>-0.89531825726118552</c:v>
                </c:pt>
                <c:pt idx="11">
                  <c:v>-0.93100459374305944</c:v>
                </c:pt>
                <c:pt idx="12">
                  <c:v>-0.90110816932800952</c:v>
                </c:pt>
                <c:pt idx="13">
                  <c:v>-0.93414240818642624</c:v>
                </c:pt>
                <c:pt idx="14">
                  <c:v>-0.95317693756395261</c:v>
                </c:pt>
                <c:pt idx="15">
                  <c:v>-0.94392780946214083</c:v>
                </c:pt>
                <c:pt idx="16">
                  <c:v>-0.94332311611266384</c:v>
                </c:pt>
                <c:pt idx="17">
                  <c:v>-0.92137830259916009</c:v>
                </c:pt>
                <c:pt idx="18">
                  <c:v>-0.97064491154792709</c:v>
                </c:pt>
                <c:pt idx="19">
                  <c:v>-0.97795393410439813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'Chg_R_pos_tchg '!$A$5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'!$B$5:$U$5</c:f>
              <c:numCache>
                <c:formatCode>General</c:formatCode>
                <c:ptCount val="20"/>
                <c:pt idx="0">
                  <c:v>-0.34345267505853294</c:v>
                </c:pt>
                <c:pt idx="1">
                  <c:v>-0.40293487429832603</c:v>
                </c:pt>
                <c:pt idx="2">
                  <c:v>-0.47887799393438402</c:v>
                </c:pt>
                <c:pt idx="3">
                  <c:v>-0.55982460932682709</c:v>
                </c:pt>
                <c:pt idx="4">
                  <c:v>-0.59796450963379533</c:v>
                </c:pt>
                <c:pt idx="5">
                  <c:v>-0.68519554609722</c:v>
                </c:pt>
                <c:pt idx="6">
                  <c:v>-0.79852736516856404</c:v>
                </c:pt>
                <c:pt idx="7">
                  <c:v>-0.89250051964398325</c:v>
                </c:pt>
                <c:pt idx="8">
                  <c:v>-0.90301344324259958</c:v>
                </c:pt>
                <c:pt idx="9">
                  <c:v>-0.97711436299606524</c:v>
                </c:pt>
                <c:pt idx="10">
                  <c:v>-1.0081623164171973</c:v>
                </c:pt>
                <c:pt idx="11">
                  <c:v>-1.0534948793229402</c:v>
                </c:pt>
                <c:pt idx="12">
                  <c:v>-1.1022390682599903</c:v>
                </c:pt>
                <c:pt idx="13">
                  <c:v>-1.1638722616521766</c:v>
                </c:pt>
                <c:pt idx="14">
                  <c:v>-1.1585455218702256</c:v>
                </c:pt>
                <c:pt idx="15">
                  <c:v>-1.2369305569128959</c:v>
                </c:pt>
                <c:pt idx="16">
                  <c:v>-1.3286606630446791</c:v>
                </c:pt>
                <c:pt idx="17">
                  <c:v>-1.3239626612544197</c:v>
                </c:pt>
                <c:pt idx="18">
                  <c:v>-1.3812138995730732</c:v>
                </c:pt>
                <c:pt idx="19">
                  <c:v>-1.4948327796449294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'Chg_R_pos_tchg '!$A$6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'!$B$6:$U$6</c:f>
              <c:numCache>
                <c:formatCode>General</c:formatCode>
                <c:ptCount val="20"/>
                <c:pt idx="0">
                  <c:v>-0.32429922348804724</c:v>
                </c:pt>
                <c:pt idx="1">
                  <c:v>-0.44965378670648021</c:v>
                </c:pt>
                <c:pt idx="2">
                  <c:v>-0.57550741914436299</c:v>
                </c:pt>
                <c:pt idx="3">
                  <c:v>-0.63810693435359878</c:v>
                </c:pt>
                <c:pt idx="4">
                  <c:v>-0.76097477909398059</c:v>
                </c:pt>
                <c:pt idx="5">
                  <c:v>-0.89291747619767547</c:v>
                </c:pt>
                <c:pt idx="6">
                  <c:v>-1.0229231041232327</c:v>
                </c:pt>
                <c:pt idx="7">
                  <c:v>-1.1533120381519857</c:v>
                </c:pt>
                <c:pt idx="8">
                  <c:v>-1.1635592808539299</c:v>
                </c:pt>
                <c:pt idx="9">
                  <c:v>-1.2404328582692496</c:v>
                </c:pt>
                <c:pt idx="10">
                  <c:v>-1.1839915059652741</c:v>
                </c:pt>
                <c:pt idx="11">
                  <c:v>-1.2824057025210738</c:v>
                </c:pt>
                <c:pt idx="12">
                  <c:v>-1.1887528200161597</c:v>
                </c:pt>
                <c:pt idx="13">
                  <c:v>-1.135876792513592</c:v>
                </c:pt>
                <c:pt idx="14">
                  <c:v>-1.1634043349741159</c:v>
                </c:pt>
                <c:pt idx="15">
                  <c:v>-1.343788820895506</c:v>
                </c:pt>
                <c:pt idx="16">
                  <c:v>-1.2775897685024107</c:v>
                </c:pt>
                <c:pt idx="17">
                  <c:v>-1.3367498974735716</c:v>
                </c:pt>
                <c:pt idx="18">
                  <c:v>-1.607604694955086</c:v>
                </c:pt>
                <c:pt idx="19">
                  <c:v>-1.4871482082737693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'Chg_R_pos_tchg '!$A$7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'!$B$7:$U$7</c:f>
              <c:numCache>
                <c:formatCode>General</c:formatCode>
                <c:ptCount val="20"/>
                <c:pt idx="0">
                  <c:v>-0.34629454320065534</c:v>
                </c:pt>
                <c:pt idx="1">
                  <c:v>-0.45460451820941949</c:v>
                </c:pt>
                <c:pt idx="2">
                  <c:v>-0.58674326938028853</c:v>
                </c:pt>
                <c:pt idx="3">
                  <c:v>-0.75411347269778572</c:v>
                </c:pt>
                <c:pt idx="4">
                  <c:v>-0.87849843054689847</c:v>
                </c:pt>
                <c:pt idx="5">
                  <c:v>-0.91177337074932741</c:v>
                </c:pt>
                <c:pt idx="6">
                  <c:v>-1.0057396877023466</c:v>
                </c:pt>
                <c:pt idx="7">
                  <c:v>-1.1652692074349709</c:v>
                </c:pt>
                <c:pt idx="8">
                  <c:v>-1.1892858715942825</c:v>
                </c:pt>
                <c:pt idx="9">
                  <c:v>-1.1056157996312244</c:v>
                </c:pt>
                <c:pt idx="10">
                  <c:v>-1.3288733446054974</c:v>
                </c:pt>
                <c:pt idx="11">
                  <c:v>-1.227544503568307</c:v>
                </c:pt>
                <c:pt idx="12">
                  <c:v>-1.4121434713373018</c:v>
                </c:pt>
                <c:pt idx="13">
                  <c:v>-1.2903723740369162</c:v>
                </c:pt>
                <c:pt idx="14">
                  <c:v>-1.3022635469857482</c:v>
                </c:pt>
                <c:pt idx="15">
                  <c:v>-1.1321350551694878</c:v>
                </c:pt>
                <c:pt idx="16">
                  <c:v>-1.0875550282102817</c:v>
                </c:pt>
                <c:pt idx="17">
                  <c:v>-1.3551459555209266</c:v>
                </c:pt>
                <c:pt idx="18">
                  <c:v>-1.4031671978440408</c:v>
                </c:pt>
                <c:pt idx="19">
                  <c:v>-1.4598667033212016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'Chg_R_pos_tchg '!$A$8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'!$B$8:$U$8</c:f>
              <c:numCache>
                <c:formatCode>General</c:formatCode>
                <c:ptCount val="20"/>
                <c:pt idx="0">
                  <c:v>-0.2946544940325872</c:v>
                </c:pt>
                <c:pt idx="1">
                  <c:v>-0.35681282206265508</c:v>
                </c:pt>
                <c:pt idx="2">
                  <c:v>-0.4564390575755477</c:v>
                </c:pt>
                <c:pt idx="3">
                  <c:v>-0.53281635538620253</c:v>
                </c:pt>
                <c:pt idx="4">
                  <c:v>-0.58281109519458507</c:v>
                </c:pt>
                <c:pt idx="5">
                  <c:v>-0.64816606744223637</c:v>
                </c:pt>
                <c:pt idx="6">
                  <c:v>-0.73157555547027564</c:v>
                </c:pt>
                <c:pt idx="7">
                  <c:v>-0.75413847331719341</c:v>
                </c:pt>
                <c:pt idx="8">
                  <c:v>-0.77360372583817816</c:v>
                </c:pt>
                <c:pt idx="9">
                  <c:v>-0.79014862099502625</c:v>
                </c:pt>
                <c:pt idx="10">
                  <c:v>-0.78100700904086939</c:v>
                </c:pt>
                <c:pt idx="11">
                  <c:v>-0.75342111980136295</c:v>
                </c:pt>
                <c:pt idx="12">
                  <c:v>-0.86253644357591708</c:v>
                </c:pt>
                <c:pt idx="13">
                  <c:v>-0.88278604018601392</c:v>
                </c:pt>
                <c:pt idx="14">
                  <c:v>-1.0228023367508101</c:v>
                </c:pt>
                <c:pt idx="15">
                  <c:v>-1.0063618130386656</c:v>
                </c:pt>
                <c:pt idx="16">
                  <c:v>-1.0961348367138946</c:v>
                </c:pt>
                <c:pt idx="17">
                  <c:v>-1.118203339878131</c:v>
                </c:pt>
                <c:pt idx="18">
                  <c:v>-1.1672537066305408</c:v>
                </c:pt>
                <c:pt idx="19">
                  <c:v>-1.2458637898045222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'Chg_R_pos_tchg '!$A$9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'!$B$9:$U$9</c:f>
              <c:numCache>
                <c:formatCode>General</c:formatCode>
                <c:ptCount val="20"/>
                <c:pt idx="0">
                  <c:v>-0.35256676953438743</c:v>
                </c:pt>
                <c:pt idx="1">
                  <c:v>-0.45425062433273389</c:v>
                </c:pt>
                <c:pt idx="2">
                  <c:v>-0.60181065949068469</c:v>
                </c:pt>
                <c:pt idx="3">
                  <c:v>-0.77937084623088126</c:v>
                </c:pt>
                <c:pt idx="4">
                  <c:v>-0.90141977324576261</c:v>
                </c:pt>
                <c:pt idx="5">
                  <c:v>-0.99783374776891254</c:v>
                </c:pt>
                <c:pt idx="6">
                  <c:v>-1.0169759464480064</c:v>
                </c:pt>
                <c:pt idx="7">
                  <c:v>-1.124067668673562</c:v>
                </c:pt>
                <c:pt idx="8">
                  <c:v>-1.2081625789861679</c:v>
                </c:pt>
                <c:pt idx="9">
                  <c:v>-1.1545379624207492</c:v>
                </c:pt>
                <c:pt idx="10">
                  <c:v>-1.1934800698066719</c:v>
                </c:pt>
                <c:pt idx="11">
                  <c:v>-1.3542395472864408</c:v>
                </c:pt>
                <c:pt idx="12">
                  <c:v>-1.3404070010674527</c:v>
                </c:pt>
                <c:pt idx="13">
                  <c:v>-1.4494693397084</c:v>
                </c:pt>
                <c:pt idx="14">
                  <c:v>-1.507348262750837</c:v>
                </c:pt>
                <c:pt idx="15">
                  <c:v>-1.527115098258673</c:v>
                </c:pt>
                <c:pt idx="16">
                  <c:v>-1.6667524822375042</c:v>
                </c:pt>
                <c:pt idx="17">
                  <c:v>-1.8255175396976255</c:v>
                </c:pt>
                <c:pt idx="18">
                  <c:v>-2.0728001835819931</c:v>
                </c:pt>
                <c:pt idx="19">
                  <c:v>-1.8590679772569021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'Chg_R_pos_tchg '!$A$10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'!$B$10:$U$10</c:f>
              <c:numCache>
                <c:formatCode>General</c:formatCode>
                <c:ptCount val="20"/>
                <c:pt idx="0">
                  <c:v>-0.35253498755079499</c:v>
                </c:pt>
                <c:pt idx="1">
                  <c:v>-0.48171950145370362</c:v>
                </c:pt>
                <c:pt idx="2">
                  <c:v>-0.65777711168169151</c:v>
                </c:pt>
                <c:pt idx="3">
                  <c:v>-0.83386265170432139</c:v>
                </c:pt>
                <c:pt idx="4">
                  <c:v>-1.0305425989522439</c:v>
                </c:pt>
                <c:pt idx="5">
                  <c:v>-1.208048243733745</c:v>
                </c:pt>
                <c:pt idx="6">
                  <c:v>-1.4792489100679305</c:v>
                </c:pt>
                <c:pt idx="7">
                  <c:v>-1.8442453659158355</c:v>
                </c:pt>
                <c:pt idx="8">
                  <c:v>-1.9193793362969611</c:v>
                </c:pt>
                <c:pt idx="9">
                  <c:v>-2.0301821925156593</c:v>
                </c:pt>
                <c:pt idx="10">
                  <c:v>-1.8815733347541315</c:v>
                </c:pt>
                <c:pt idx="11">
                  <c:v>-1.9517348449930088</c:v>
                </c:pt>
                <c:pt idx="12">
                  <c:v>-2.1225773355679807</c:v>
                </c:pt>
                <c:pt idx="13">
                  <c:v>-2.250536416932114</c:v>
                </c:pt>
                <c:pt idx="14">
                  <c:v>-2.1586430981646467</c:v>
                </c:pt>
                <c:pt idx="15">
                  <c:v>-2.2194012593616175</c:v>
                </c:pt>
                <c:pt idx="16">
                  <c:v>-2.2760139794844743</c:v>
                </c:pt>
                <c:pt idx="17">
                  <c:v>-2.9831606854779871</c:v>
                </c:pt>
                <c:pt idx="18">
                  <c:v>-2.5687674557526963</c:v>
                </c:pt>
                <c:pt idx="19">
                  <c:v>-2.5727027397123021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'Chg_R_pos_tchg '!$A$12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'!$B$12:$U$12</c:f>
              <c:numCache>
                <c:formatCode>General</c:formatCode>
                <c:ptCount val="20"/>
                <c:pt idx="0">
                  <c:v>-0.28687508724809108</c:v>
                </c:pt>
                <c:pt idx="1">
                  <c:v>-0.35702226459568143</c:v>
                </c:pt>
                <c:pt idx="2">
                  <c:v>-0.44283275204003142</c:v>
                </c:pt>
                <c:pt idx="3">
                  <c:v>-0.43789805651523989</c:v>
                </c:pt>
                <c:pt idx="4">
                  <c:v>-0.44677927302586523</c:v>
                </c:pt>
                <c:pt idx="5">
                  <c:v>-0.44905566177338513</c:v>
                </c:pt>
                <c:pt idx="6">
                  <c:v>-0.43572975245654699</c:v>
                </c:pt>
                <c:pt idx="7">
                  <c:v>-0.45643545765555937</c:v>
                </c:pt>
                <c:pt idx="8">
                  <c:v>-0.43439502683618902</c:v>
                </c:pt>
                <c:pt idx="9">
                  <c:v>-0.45106232653451866</c:v>
                </c:pt>
                <c:pt idx="10">
                  <c:v>-0.41025870520304342</c:v>
                </c:pt>
                <c:pt idx="11">
                  <c:v>-0.41876891461321775</c:v>
                </c:pt>
                <c:pt idx="12">
                  <c:v>-0.37328213326177467</c:v>
                </c:pt>
                <c:pt idx="13">
                  <c:v>-0.37264613315179435</c:v>
                </c:pt>
                <c:pt idx="14">
                  <c:v>-0.37000799393757389</c:v>
                </c:pt>
                <c:pt idx="15">
                  <c:v>-0.3575775603784323</c:v>
                </c:pt>
                <c:pt idx="16">
                  <c:v>-0.3323246900190065</c:v>
                </c:pt>
                <c:pt idx="17">
                  <c:v>-0.36344058809526925</c:v>
                </c:pt>
                <c:pt idx="18">
                  <c:v>-0.37574199349867432</c:v>
                </c:pt>
                <c:pt idx="19">
                  <c:v>-0.32381911050748952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'Chg_R_pos_tchg '!$A$13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'!$B$13:$U$13</c:f>
              <c:numCache>
                <c:formatCode>General</c:formatCode>
                <c:ptCount val="20"/>
                <c:pt idx="0">
                  <c:v>-0.2197024889236025</c:v>
                </c:pt>
                <c:pt idx="1">
                  <c:v>-0.25146907987348477</c:v>
                </c:pt>
                <c:pt idx="2">
                  <c:v>-0.30107870253674773</c:v>
                </c:pt>
                <c:pt idx="3">
                  <c:v>-0.33553541597341352</c:v>
                </c:pt>
                <c:pt idx="4">
                  <c:v>-0.36588052053380521</c:v>
                </c:pt>
                <c:pt idx="5">
                  <c:v>-0.3837721561779292</c:v>
                </c:pt>
                <c:pt idx="6">
                  <c:v>-0.42847856715681454</c:v>
                </c:pt>
                <c:pt idx="7">
                  <c:v>-0.45964876870535931</c:v>
                </c:pt>
                <c:pt idx="8">
                  <c:v>-0.43641255705209714</c:v>
                </c:pt>
                <c:pt idx="9">
                  <c:v>-0.41866384210383367</c:v>
                </c:pt>
                <c:pt idx="10">
                  <c:v>-0.40802738237239972</c:v>
                </c:pt>
                <c:pt idx="11">
                  <c:v>-0.3890973551102736</c:v>
                </c:pt>
                <c:pt idx="12">
                  <c:v>-0.40285943741671892</c:v>
                </c:pt>
                <c:pt idx="13">
                  <c:v>-0.38505179751010921</c:v>
                </c:pt>
                <c:pt idx="14">
                  <c:v>-0.41870060384443625</c:v>
                </c:pt>
                <c:pt idx="15">
                  <c:v>-0.41911588030428248</c:v>
                </c:pt>
                <c:pt idx="16">
                  <c:v>-0.41727514798886317</c:v>
                </c:pt>
                <c:pt idx="17">
                  <c:v>-0.43496541059082416</c:v>
                </c:pt>
                <c:pt idx="18">
                  <c:v>-0.4318209786892262</c:v>
                </c:pt>
                <c:pt idx="19">
                  <c:v>-0.45982433833035952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'Chg_R_pos_tchg '!$A$14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'!$B$14:$U$14</c:f>
              <c:numCache>
                <c:formatCode>General</c:formatCode>
                <c:ptCount val="20"/>
                <c:pt idx="0">
                  <c:v>-0.32077176128150792</c:v>
                </c:pt>
                <c:pt idx="1">
                  <c:v>-0.4669468614861978</c:v>
                </c:pt>
                <c:pt idx="2">
                  <c:v>-0.65551225468629659</c:v>
                </c:pt>
                <c:pt idx="3">
                  <c:v>-0.85280687583210124</c:v>
                </c:pt>
                <c:pt idx="4">
                  <c:v>-0.89013158293115668</c:v>
                </c:pt>
                <c:pt idx="5">
                  <c:v>-0.99996010192689244</c:v>
                </c:pt>
                <c:pt idx="6">
                  <c:v>-1.1004214433213813</c:v>
                </c:pt>
                <c:pt idx="7">
                  <c:v>-1.186565182347473</c:v>
                </c:pt>
                <c:pt idx="8">
                  <c:v>-1.3017628982340363</c:v>
                </c:pt>
                <c:pt idx="9">
                  <c:v>-1.2081021866857644</c:v>
                </c:pt>
                <c:pt idx="10">
                  <c:v>-1.1838301374232583</c:v>
                </c:pt>
                <c:pt idx="11">
                  <c:v>-1.2325677551298277</c:v>
                </c:pt>
                <c:pt idx="12">
                  <c:v>-1.2850720286539286</c:v>
                </c:pt>
                <c:pt idx="13">
                  <c:v>-1.3412850613914726</c:v>
                </c:pt>
                <c:pt idx="14">
                  <c:v>-1.601661260871754</c:v>
                </c:pt>
                <c:pt idx="15">
                  <c:v>-1.4156280842610209</c:v>
                </c:pt>
                <c:pt idx="16">
                  <c:v>-1.3394070557199866</c:v>
                </c:pt>
                <c:pt idx="17">
                  <c:v>-1.1907033418704072</c:v>
                </c:pt>
                <c:pt idx="18">
                  <c:v>-1.0680797309284913</c:v>
                </c:pt>
                <c:pt idx="19">
                  <c:v>-1.1405448250667793</c:v>
                </c:pt>
              </c:numCache>
            </c:numRef>
          </c:yVal>
          <c:smooth val="1"/>
        </c:ser>
        <c:ser>
          <c:idx val="12"/>
          <c:order val="11"/>
          <c:tx>
            <c:strRef>
              <c:f>'Chg_R_pos_tchg '!$A$15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'!$B$15:$U$15</c:f>
              <c:numCache>
                <c:formatCode>General</c:formatCode>
                <c:ptCount val="20"/>
                <c:pt idx="0">
                  <c:v>-0.49548556771493751</c:v>
                </c:pt>
                <c:pt idx="1">
                  <c:v>-0.67785063898968656</c:v>
                </c:pt>
                <c:pt idx="2">
                  <c:v>-0.93842472173918079</c:v>
                </c:pt>
                <c:pt idx="3">
                  <c:v>-1.181369627599469</c:v>
                </c:pt>
                <c:pt idx="4">
                  <c:v>-1.2714505276790631</c:v>
                </c:pt>
                <c:pt idx="5">
                  <c:v>-1.3331223062032715</c:v>
                </c:pt>
                <c:pt idx="6">
                  <c:v>-1.4042326689933748</c:v>
                </c:pt>
                <c:pt idx="7">
                  <c:v>-1.4228501018504007</c:v>
                </c:pt>
                <c:pt idx="8">
                  <c:v>-1.5133582691491008</c:v>
                </c:pt>
                <c:pt idx="9">
                  <c:v>-1.5342614022485168</c:v>
                </c:pt>
                <c:pt idx="10">
                  <c:v>-1.6544600624886947</c:v>
                </c:pt>
                <c:pt idx="11">
                  <c:v>-1.9230261153854269</c:v>
                </c:pt>
                <c:pt idx="12">
                  <c:v>-1.956040576403185</c:v>
                </c:pt>
                <c:pt idx="13">
                  <c:v>-1.6607005913461612</c:v>
                </c:pt>
                <c:pt idx="14">
                  <c:v>-1.8389334663072969</c:v>
                </c:pt>
                <c:pt idx="15">
                  <c:v>-1.6481753391338558</c:v>
                </c:pt>
                <c:pt idx="16">
                  <c:v>-1.7668233644026885</c:v>
                </c:pt>
                <c:pt idx="17">
                  <c:v>-1.8800505988354161</c:v>
                </c:pt>
                <c:pt idx="18">
                  <c:v>-1.9110532783784016</c:v>
                </c:pt>
                <c:pt idx="19">
                  <c:v>-2.0823900340052921</c:v>
                </c:pt>
              </c:numCache>
            </c:numRef>
          </c:yVal>
          <c:smooth val="1"/>
        </c:ser>
        <c:ser>
          <c:idx val="13"/>
          <c:order val="12"/>
          <c:tx>
            <c:strRef>
              <c:f>'Chg_R_pos_tchg '!$A$16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'!$B$16:$U$16</c:f>
              <c:numCache>
                <c:formatCode>General</c:formatCode>
                <c:ptCount val="20"/>
                <c:pt idx="0">
                  <c:v>-0.28263727205615219</c:v>
                </c:pt>
                <c:pt idx="1">
                  <c:v>-0.37758473497760753</c:v>
                </c:pt>
                <c:pt idx="2">
                  <c:v>-0.55810231658239773</c:v>
                </c:pt>
                <c:pt idx="3">
                  <c:v>-0.72871840837730562</c:v>
                </c:pt>
                <c:pt idx="4">
                  <c:v>-0.81931521320412071</c:v>
                </c:pt>
                <c:pt idx="5">
                  <c:v>-0.93948390960386996</c:v>
                </c:pt>
                <c:pt idx="6">
                  <c:v>-1.0530935136777144</c:v>
                </c:pt>
                <c:pt idx="7">
                  <c:v>-1.1507198004244727</c:v>
                </c:pt>
                <c:pt idx="8">
                  <c:v>-1.2297152544352352</c:v>
                </c:pt>
                <c:pt idx="9">
                  <c:v>-1.3447329827750609</c:v>
                </c:pt>
                <c:pt idx="10">
                  <c:v>-1.4153413555929275</c:v>
                </c:pt>
                <c:pt idx="11">
                  <c:v>-1.5802557938032249</c:v>
                </c:pt>
                <c:pt idx="12">
                  <c:v>-1.583178942239529</c:v>
                </c:pt>
                <c:pt idx="13">
                  <c:v>-1.5440786794767494</c:v>
                </c:pt>
                <c:pt idx="14">
                  <c:v>-1.4717608599736722</c:v>
                </c:pt>
                <c:pt idx="15">
                  <c:v>-1.7106995976866275</c:v>
                </c:pt>
                <c:pt idx="16">
                  <c:v>-1.8670269681408733</c:v>
                </c:pt>
                <c:pt idx="17">
                  <c:v>-1.7980629091048921</c:v>
                </c:pt>
                <c:pt idx="18">
                  <c:v>-1.7664954511589834</c:v>
                </c:pt>
                <c:pt idx="19">
                  <c:v>-1.5606552279504393</c:v>
                </c:pt>
              </c:numCache>
            </c:numRef>
          </c:yVal>
          <c:smooth val="1"/>
        </c:ser>
        <c:ser>
          <c:idx val="14"/>
          <c:order val="13"/>
          <c:tx>
            <c:strRef>
              <c:f>'Chg_R_pos_tchg '!$A$17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'!$B$17:$U$17</c:f>
              <c:numCache>
                <c:formatCode>General</c:formatCode>
                <c:ptCount val="20"/>
                <c:pt idx="0">
                  <c:v>-0.2838247946351754</c:v>
                </c:pt>
                <c:pt idx="1">
                  <c:v>-0.39049788884387016</c:v>
                </c:pt>
                <c:pt idx="2">
                  <c:v>-0.56643029043169868</c:v>
                </c:pt>
                <c:pt idx="3">
                  <c:v>-0.67818083658101935</c:v>
                </c:pt>
                <c:pt idx="4">
                  <c:v>-0.80135362524508991</c:v>
                </c:pt>
                <c:pt idx="5">
                  <c:v>-0.89355431443256683</c:v>
                </c:pt>
                <c:pt idx="6">
                  <c:v>-0.90207984462866342</c:v>
                </c:pt>
                <c:pt idx="7">
                  <c:v>-1.0039536134313434</c:v>
                </c:pt>
                <c:pt idx="8">
                  <c:v>-1.0213925547729938</c:v>
                </c:pt>
                <c:pt idx="9">
                  <c:v>-1.0273650955091289</c:v>
                </c:pt>
                <c:pt idx="10">
                  <c:v>-1.0469870381468851</c:v>
                </c:pt>
                <c:pt idx="11">
                  <c:v>-1.0355237159296478</c:v>
                </c:pt>
                <c:pt idx="12">
                  <c:v>-1.1070649996959105</c:v>
                </c:pt>
                <c:pt idx="13">
                  <c:v>-1.2360694419397404</c:v>
                </c:pt>
                <c:pt idx="14">
                  <c:v>-1.153403361984964</c:v>
                </c:pt>
                <c:pt idx="15">
                  <c:v>-1.153627933960687</c:v>
                </c:pt>
                <c:pt idx="16">
                  <c:v>-1.2521517031978713</c:v>
                </c:pt>
                <c:pt idx="17">
                  <c:v>-1.1961805455827319</c:v>
                </c:pt>
                <c:pt idx="18">
                  <c:v>-1.1884929030601663</c:v>
                </c:pt>
                <c:pt idx="19">
                  <c:v>-1.1880569773507337</c:v>
                </c:pt>
              </c:numCache>
            </c:numRef>
          </c:yVal>
          <c:smooth val="1"/>
        </c:ser>
        <c:ser>
          <c:idx val="15"/>
          <c:order val="14"/>
          <c:tx>
            <c:strRef>
              <c:f>'Chg_R_pos_tchg '!$A$18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'!$B$18:$U$18</c:f>
              <c:numCache>
                <c:formatCode>General</c:formatCode>
                <c:ptCount val="20"/>
                <c:pt idx="0">
                  <c:v>-0.32982145129915424</c:v>
                </c:pt>
                <c:pt idx="1">
                  <c:v>-0.48801133935772195</c:v>
                </c:pt>
                <c:pt idx="2">
                  <c:v>-0.74275744680543521</c:v>
                </c:pt>
                <c:pt idx="3">
                  <c:v>-0.93777512835251275</c:v>
                </c:pt>
                <c:pt idx="4">
                  <c:v>-1.11326408310028</c:v>
                </c:pt>
                <c:pt idx="5">
                  <c:v>-1.197872594463024</c:v>
                </c:pt>
                <c:pt idx="6">
                  <c:v>-1.3452578595959681</c:v>
                </c:pt>
                <c:pt idx="7">
                  <c:v>-1.3032450723891411</c:v>
                </c:pt>
                <c:pt idx="8">
                  <c:v>-1.3290654932136066</c:v>
                </c:pt>
                <c:pt idx="9">
                  <c:v>-1.3563380923104955</c:v>
                </c:pt>
                <c:pt idx="10">
                  <c:v>-1.4360811233279456</c:v>
                </c:pt>
                <c:pt idx="11">
                  <c:v>-1.4826042198967613</c:v>
                </c:pt>
                <c:pt idx="12">
                  <c:v>-1.7514027310240763</c:v>
                </c:pt>
                <c:pt idx="13">
                  <c:v>-1.7218826889931298</c:v>
                </c:pt>
                <c:pt idx="14">
                  <c:v>-1.506666615419503</c:v>
                </c:pt>
                <c:pt idx="15">
                  <c:v>-1.5468062205350368</c:v>
                </c:pt>
                <c:pt idx="16">
                  <c:v>-1.5823827701000319</c:v>
                </c:pt>
                <c:pt idx="17">
                  <c:v>-1.5013645997196845</c:v>
                </c:pt>
                <c:pt idx="18">
                  <c:v>-1.4511969208939604</c:v>
                </c:pt>
                <c:pt idx="19">
                  <c:v>-1.397999996257653</c:v>
                </c:pt>
              </c:numCache>
            </c:numRef>
          </c:yVal>
          <c:smooth val="1"/>
        </c:ser>
        <c:ser>
          <c:idx val="16"/>
          <c:order val="15"/>
          <c:tx>
            <c:strRef>
              <c:f>'Chg_R_pos_tchg '!$A$19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'!$B$19:$U$19</c:f>
              <c:numCache>
                <c:formatCode>General</c:formatCode>
                <c:ptCount val="20"/>
                <c:pt idx="0">
                  <c:v>-0.4830275051294074</c:v>
                </c:pt>
                <c:pt idx="1">
                  <c:v>-0.61239672720015959</c:v>
                </c:pt>
                <c:pt idx="2">
                  <c:v>-0.83471358118240435</c:v>
                </c:pt>
                <c:pt idx="3">
                  <c:v>-1.0015652869499911</c:v>
                </c:pt>
                <c:pt idx="4">
                  <c:v>-1.1172728789962583</c:v>
                </c:pt>
                <c:pt idx="5">
                  <c:v>-1.2774894842953022</c:v>
                </c:pt>
                <c:pt idx="6">
                  <c:v>-1.4045748526175377</c:v>
                </c:pt>
                <c:pt idx="7">
                  <c:v>-1.4787767433464358</c:v>
                </c:pt>
                <c:pt idx="8">
                  <c:v>-1.4994550327333358</c:v>
                </c:pt>
                <c:pt idx="9">
                  <c:v>-1.5863826690903742</c:v>
                </c:pt>
                <c:pt idx="10">
                  <c:v>-1.7230548486737485</c:v>
                </c:pt>
                <c:pt idx="11">
                  <c:v>-1.7901938244827851</c:v>
                </c:pt>
                <c:pt idx="12">
                  <c:v>-1.8468354252208852</c:v>
                </c:pt>
                <c:pt idx="13">
                  <c:v>-1.8726729641772677</c:v>
                </c:pt>
                <c:pt idx="14">
                  <c:v>-1.8529977818563121</c:v>
                </c:pt>
                <c:pt idx="15">
                  <c:v>-1.960083267607091</c:v>
                </c:pt>
                <c:pt idx="16">
                  <c:v>-1.8411004971567404</c:v>
                </c:pt>
                <c:pt idx="17">
                  <c:v>-1.8784959704312629</c:v>
                </c:pt>
                <c:pt idx="18">
                  <c:v>-1.7996799904741356</c:v>
                </c:pt>
                <c:pt idx="19">
                  <c:v>-1.8532931555396908</c:v>
                </c:pt>
              </c:numCache>
            </c:numRef>
          </c:yVal>
          <c:smooth val="1"/>
        </c:ser>
        <c:ser>
          <c:idx val="17"/>
          <c:order val="16"/>
          <c:tx>
            <c:strRef>
              <c:f>'Chg_R_pos_tchg '!$A$20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'!$B$20:$U$20</c:f>
              <c:numCache>
                <c:formatCode>General</c:formatCode>
                <c:ptCount val="20"/>
                <c:pt idx="0">
                  <c:v>-0.52730963617450122</c:v>
                </c:pt>
                <c:pt idx="1">
                  <c:v>-0.73014951497753844</c:v>
                </c:pt>
                <c:pt idx="2">
                  <c:v>-0.9884885526915631</c:v>
                </c:pt>
                <c:pt idx="3">
                  <c:v>-1.1489482198972636</c:v>
                </c:pt>
                <c:pt idx="4">
                  <c:v>-1.3367116312025613</c:v>
                </c:pt>
                <c:pt idx="5">
                  <c:v>-1.5823684555096242</c:v>
                </c:pt>
                <c:pt idx="6">
                  <c:v>-1.7234239837718015</c:v>
                </c:pt>
                <c:pt idx="7">
                  <c:v>-2.0008115773398303</c:v>
                </c:pt>
                <c:pt idx="8">
                  <c:v>-2.2972434089939879</c:v>
                </c:pt>
                <c:pt idx="9">
                  <c:v>-2.3216165354122191</c:v>
                </c:pt>
                <c:pt idx="10">
                  <c:v>-2.2645512500713694</c:v>
                </c:pt>
                <c:pt idx="11">
                  <c:v>-2.6391165058911477</c:v>
                </c:pt>
                <c:pt idx="12">
                  <c:v>-2.7244032498058464</c:v>
                </c:pt>
                <c:pt idx="13">
                  <c:v>-2.7839222805033246</c:v>
                </c:pt>
                <c:pt idx="14">
                  <c:v>-3.077137166518161</c:v>
                </c:pt>
                <c:pt idx="15">
                  <c:v>-3.3534453959536856</c:v>
                </c:pt>
                <c:pt idx="16">
                  <c:v>-3.4084720682339977</c:v>
                </c:pt>
                <c:pt idx="17">
                  <c:v>-3.622753905294767</c:v>
                </c:pt>
                <c:pt idx="18">
                  <c:v>-3.8917758580305604</c:v>
                </c:pt>
                <c:pt idx="19">
                  <c:v>-3.8940498531272811</c:v>
                </c:pt>
              </c:numCache>
            </c:numRef>
          </c:yVal>
          <c:smooth val="1"/>
        </c:ser>
        <c:ser>
          <c:idx val="18"/>
          <c:order val="17"/>
          <c:tx>
            <c:strRef>
              <c:f>'Chg_R_pos_tchg '!$A$21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'!$B$21:$U$21</c:f>
              <c:numCache>
                <c:formatCode>General</c:formatCode>
                <c:ptCount val="20"/>
                <c:pt idx="0">
                  <c:v>-0.52431609850308314</c:v>
                </c:pt>
                <c:pt idx="1">
                  <c:v>-0.71912724757046331</c:v>
                </c:pt>
                <c:pt idx="2">
                  <c:v>-0.97068967690575769</c:v>
                </c:pt>
                <c:pt idx="3">
                  <c:v>-1.127384119767757</c:v>
                </c:pt>
                <c:pt idx="4">
                  <c:v>-1.2819244849507418</c:v>
                </c:pt>
                <c:pt idx="5">
                  <c:v>-1.5779080936114647</c:v>
                </c:pt>
                <c:pt idx="6">
                  <c:v>-1.6225565241488491</c:v>
                </c:pt>
                <c:pt idx="7">
                  <c:v>-1.8386075168019438</c:v>
                </c:pt>
                <c:pt idx="8">
                  <c:v>-1.9743568984459572</c:v>
                </c:pt>
                <c:pt idx="9">
                  <c:v>-2.267880296753189</c:v>
                </c:pt>
                <c:pt idx="10">
                  <c:v>-2.4487043729616502</c:v>
                </c:pt>
                <c:pt idx="11">
                  <c:v>-2.6002225732000244</c:v>
                </c:pt>
                <c:pt idx="12">
                  <c:v>-2.5331906480874395</c:v>
                </c:pt>
                <c:pt idx="13">
                  <c:v>-2.758281274645574</c:v>
                </c:pt>
                <c:pt idx="14">
                  <c:v>-3.048297742649555</c:v>
                </c:pt>
                <c:pt idx="15">
                  <c:v>-3.0580409264102961</c:v>
                </c:pt>
                <c:pt idx="16">
                  <c:v>-3.2584126363227046</c:v>
                </c:pt>
                <c:pt idx="17">
                  <c:v>-3.314530243208579</c:v>
                </c:pt>
                <c:pt idx="18">
                  <c:v>-3.5159469020868364</c:v>
                </c:pt>
                <c:pt idx="19">
                  <c:v>-4.2261277310614078</c:v>
                </c:pt>
              </c:numCache>
            </c:numRef>
          </c:yVal>
          <c:smooth val="1"/>
        </c:ser>
        <c:ser>
          <c:idx val="19"/>
          <c:order val="18"/>
          <c:tx>
            <c:strRef>
              <c:f>'Chg_R_pos_tchg '!$A$22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'!$B$22:$U$22</c:f>
              <c:numCache>
                <c:formatCode>General</c:formatCode>
                <c:ptCount val="20"/>
                <c:pt idx="0">
                  <c:v>-0.45357192240834387</c:v>
                </c:pt>
                <c:pt idx="1">
                  <c:v>-0.58536030337831668</c:v>
                </c:pt>
                <c:pt idx="2">
                  <c:v>-0.75518063563148341</c:v>
                </c:pt>
                <c:pt idx="3">
                  <c:v>-0.82980386207165013</c:v>
                </c:pt>
                <c:pt idx="4">
                  <c:v>-0.91949415059199391</c:v>
                </c:pt>
                <c:pt idx="5">
                  <c:v>-1.0281313457379067</c:v>
                </c:pt>
                <c:pt idx="6">
                  <c:v>-1.1346053462505796</c:v>
                </c:pt>
                <c:pt idx="7">
                  <c:v>-1.2003296749581567</c:v>
                </c:pt>
                <c:pt idx="8">
                  <c:v>-1.3550233844564679</c:v>
                </c:pt>
                <c:pt idx="9">
                  <c:v>-1.4101498258290923</c:v>
                </c:pt>
                <c:pt idx="10">
                  <c:v>-1.6220593933516012</c:v>
                </c:pt>
                <c:pt idx="11">
                  <c:v>-1.5599519080323465</c:v>
                </c:pt>
                <c:pt idx="12">
                  <c:v>-1.6022518076564787</c:v>
                </c:pt>
                <c:pt idx="13">
                  <c:v>-1.7630355565549225</c:v>
                </c:pt>
                <c:pt idx="14">
                  <c:v>-1.9516078941033692</c:v>
                </c:pt>
                <c:pt idx="15">
                  <c:v>-2.0469256620587473</c:v>
                </c:pt>
                <c:pt idx="16">
                  <c:v>-2.245811283991308</c:v>
                </c:pt>
                <c:pt idx="17">
                  <c:v>-2.2837923871652674</c:v>
                </c:pt>
                <c:pt idx="18">
                  <c:v>-2.4730123520388734</c:v>
                </c:pt>
                <c:pt idx="19">
                  <c:v>-2.5236296465411687</c:v>
                </c:pt>
              </c:numCache>
            </c:numRef>
          </c:yVal>
          <c:smooth val="1"/>
        </c:ser>
        <c:ser>
          <c:idx val="20"/>
          <c:order val="19"/>
          <c:tx>
            <c:strRef>
              <c:f>'Chg_R_pos_tchg '!$A$23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'!$B$23:$U$23</c:f>
              <c:numCache>
                <c:formatCode>General</c:formatCode>
                <c:ptCount val="20"/>
                <c:pt idx="0">
                  <c:v>-0.51917337920791051</c:v>
                </c:pt>
                <c:pt idx="1">
                  <c:v>-0.71258673381606907</c:v>
                </c:pt>
                <c:pt idx="2">
                  <c:v>-0.95416034816356554</c:v>
                </c:pt>
                <c:pt idx="3">
                  <c:v>-1.0973463421819409</c:v>
                </c:pt>
                <c:pt idx="4">
                  <c:v>-1.2596715998195265</c:v>
                </c:pt>
                <c:pt idx="5">
                  <c:v>-1.501472166656157</c:v>
                </c:pt>
                <c:pt idx="6">
                  <c:v>-1.6376311699847734</c:v>
                </c:pt>
                <c:pt idx="7">
                  <c:v>-1.8082441564408374</c:v>
                </c:pt>
                <c:pt idx="8">
                  <c:v>-2.0798361115481172</c:v>
                </c:pt>
                <c:pt idx="9">
                  <c:v>-2.1850207508140458</c:v>
                </c:pt>
                <c:pt idx="10">
                  <c:v>-2.2745423350679208</c:v>
                </c:pt>
                <c:pt idx="11">
                  <c:v>-2.4576764491874856</c:v>
                </c:pt>
                <c:pt idx="12">
                  <c:v>-2.5416599322676059</c:v>
                </c:pt>
                <c:pt idx="13">
                  <c:v>-2.8727769807133852</c:v>
                </c:pt>
                <c:pt idx="14">
                  <c:v>-3.2368663446399686</c:v>
                </c:pt>
                <c:pt idx="15">
                  <c:v>-3.3038527844273022</c:v>
                </c:pt>
                <c:pt idx="16">
                  <c:v>-3.5077920280599222</c:v>
                </c:pt>
                <c:pt idx="17">
                  <c:v>-3.4020269325101893</c:v>
                </c:pt>
                <c:pt idx="18">
                  <c:v>-3.9564030263268095</c:v>
                </c:pt>
                <c:pt idx="19">
                  <c:v>-4.3686087267982554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'Chg_R_pos_tchg '!$A$24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'!$B$24:$U$24</c:f>
              <c:numCache>
                <c:formatCode>General</c:formatCode>
                <c:ptCount val="20"/>
                <c:pt idx="0">
                  <c:v>-0.4759042322873086</c:v>
                </c:pt>
                <c:pt idx="1">
                  <c:v>-0.61099433930766545</c:v>
                </c:pt>
                <c:pt idx="2">
                  <c:v>-0.80455927035132013</c:v>
                </c:pt>
                <c:pt idx="3">
                  <c:v>-0.90705501271827249</c:v>
                </c:pt>
                <c:pt idx="4">
                  <c:v>-1.0056289296650081</c:v>
                </c:pt>
                <c:pt idx="5">
                  <c:v>-1.2334382319042567</c:v>
                </c:pt>
                <c:pt idx="6">
                  <c:v>-1.3532707284040693</c:v>
                </c:pt>
                <c:pt idx="7">
                  <c:v>-1.647533888374439</c:v>
                </c:pt>
                <c:pt idx="8">
                  <c:v>-1.6531697381623247</c:v>
                </c:pt>
                <c:pt idx="9">
                  <c:v>-1.7042101166424377</c:v>
                </c:pt>
                <c:pt idx="10">
                  <c:v>-1.8371046431944249</c:v>
                </c:pt>
                <c:pt idx="11">
                  <c:v>-1.9375885218829039</c:v>
                </c:pt>
                <c:pt idx="12">
                  <c:v>-1.9381610777219893</c:v>
                </c:pt>
                <c:pt idx="13">
                  <c:v>-2.0525245294451069</c:v>
                </c:pt>
                <c:pt idx="14">
                  <c:v>-1.9851653316354732</c:v>
                </c:pt>
                <c:pt idx="15">
                  <c:v>-2.0864687617561017</c:v>
                </c:pt>
                <c:pt idx="16">
                  <c:v>-2.2344321930862781</c:v>
                </c:pt>
                <c:pt idx="17">
                  <c:v>-2.3485211617194124</c:v>
                </c:pt>
                <c:pt idx="18">
                  <c:v>-2.3817890454074382</c:v>
                </c:pt>
                <c:pt idx="19">
                  <c:v>-2.4042128755782017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'Chg_R_pos_tchg '!$A$25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'!$B$25:$U$25</c:f>
              <c:numCache>
                <c:formatCode>General</c:formatCode>
                <c:ptCount val="20"/>
                <c:pt idx="0">
                  <c:v>-0.51783116384272376</c:v>
                </c:pt>
                <c:pt idx="1">
                  <c:v>-0.69982521948864473</c:v>
                </c:pt>
                <c:pt idx="2">
                  <c:v>-0.94610085979091463</c:v>
                </c:pt>
                <c:pt idx="3">
                  <c:v>-1.1167285641552633</c:v>
                </c:pt>
                <c:pt idx="4">
                  <c:v>-1.2988464311463592</c:v>
                </c:pt>
                <c:pt idx="5">
                  <c:v>-1.4979562419796506</c:v>
                </c:pt>
                <c:pt idx="6">
                  <c:v>-1.6243787943067154</c:v>
                </c:pt>
                <c:pt idx="7">
                  <c:v>-1.7196847475364085</c:v>
                </c:pt>
                <c:pt idx="8">
                  <c:v>-2.0129648692556272</c:v>
                </c:pt>
                <c:pt idx="9">
                  <c:v>-2.2858150802120916</c:v>
                </c:pt>
                <c:pt idx="10">
                  <c:v>-2.5628896402423718</c:v>
                </c:pt>
                <c:pt idx="11">
                  <c:v>-2.8326391309472165</c:v>
                </c:pt>
                <c:pt idx="12">
                  <c:v>-3.0880380979953959</c:v>
                </c:pt>
                <c:pt idx="13">
                  <c:v>-3.1217303198858586</c:v>
                </c:pt>
                <c:pt idx="14">
                  <c:v>-2.9338861504475844</c:v>
                </c:pt>
                <c:pt idx="15">
                  <c:v>-2.7380945196569502</c:v>
                </c:pt>
                <c:pt idx="16">
                  <c:v>-3.2117305285068376</c:v>
                </c:pt>
                <c:pt idx="17">
                  <c:v>-3.0643466439814993</c:v>
                </c:pt>
                <c:pt idx="18">
                  <c:v>-3.4695392199260566</c:v>
                </c:pt>
                <c:pt idx="19">
                  <c:v>-4.1623036973302234</c:v>
                </c:pt>
              </c:numCache>
            </c:numRef>
          </c:yVal>
          <c:smooth val="1"/>
        </c:ser>
        <c:ser>
          <c:idx val="24"/>
          <c:order val="22"/>
          <c:tx>
            <c:strRef>
              <c:f>'Chg_R_pos_tchg '!$A$27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'!$B$27:$U$27</c:f>
              <c:numCache>
                <c:formatCode>General</c:formatCode>
                <c:ptCount val="20"/>
                <c:pt idx="0">
                  <c:v>-0.47720215159776919</c:v>
                </c:pt>
                <c:pt idx="1">
                  <c:v>-0.60843917686800286</c:v>
                </c:pt>
                <c:pt idx="2">
                  <c:v>-0.73330641199531477</c:v>
                </c:pt>
                <c:pt idx="3">
                  <c:v>-0.76642261622527996</c:v>
                </c:pt>
                <c:pt idx="4">
                  <c:v>-0.83142307425461204</c:v>
                </c:pt>
                <c:pt idx="5">
                  <c:v>-0.90243288156178958</c:v>
                </c:pt>
                <c:pt idx="6">
                  <c:v>-1.0343542615790497</c:v>
                </c:pt>
                <c:pt idx="7">
                  <c:v>-1.0947031799772229</c:v>
                </c:pt>
                <c:pt idx="8">
                  <c:v>-1.1539088480809081</c:v>
                </c:pt>
                <c:pt idx="9">
                  <c:v>-1.2178274534415179</c:v>
                </c:pt>
                <c:pt idx="10">
                  <c:v>-1.2850506352619666</c:v>
                </c:pt>
                <c:pt idx="11">
                  <c:v>-1.4283633739549393</c:v>
                </c:pt>
                <c:pt idx="12">
                  <c:v>-1.6029369367866118</c:v>
                </c:pt>
                <c:pt idx="13">
                  <c:v>-1.6991255142401294</c:v>
                </c:pt>
                <c:pt idx="14">
                  <c:v>-1.6353928755464686</c:v>
                </c:pt>
                <c:pt idx="15">
                  <c:v>-1.614243319986117</c:v>
                </c:pt>
                <c:pt idx="16">
                  <c:v>-1.6452508187373533</c:v>
                </c:pt>
                <c:pt idx="17">
                  <c:v>-1.6505134941160287</c:v>
                </c:pt>
                <c:pt idx="18">
                  <c:v>-1.718862981515797</c:v>
                </c:pt>
                <c:pt idx="19">
                  <c:v>-1.8449264192100436</c:v>
                </c:pt>
              </c:numCache>
            </c:numRef>
          </c:yVal>
          <c:smooth val="1"/>
        </c:ser>
        <c:ser>
          <c:idx val="25"/>
          <c:order val="23"/>
          <c:tx>
            <c:strRef>
              <c:f>'Chg_R_pos_tchg '!$A$28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'!$B$28:$U$28</c:f>
              <c:numCache>
                <c:formatCode>General</c:formatCode>
                <c:ptCount val="20"/>
                <c:pt idx="0">
                  <c:v>-0.48214807309120561</c:v>
                </c:pt>
                <c:pt idx="1">
                  <c:v>-0.6439082037206465</c:v>
                </c:pt>
                <c:pt idx="2">
                  <c:v>-0.86947971825427894</c:v>
                </c:pt>
                <c:pt idx="3">
                  <c:v>-1.0219170943446083</c:v>
                </c:pt>
                <c:pt idx="4">
                  <c:v>-1.1737226248101915</c:v>
                </c:pt>
                <c:pt idx="5">
                  <c:v>-1.4053297790355224</c:v>
                </c:pt>
                <c:pt idx="6">
                  <c:v>-1.6205690006351432</c:v>
                </c:pt>
                <c:pt idx="7">
                  <c:v>-1.8234152360887899</c:v>
                </c:pt>
                <c:pt idx="8">
                  <c:v>-2.1430683071901293</c:v>
                </c:pt>
                <c:pt idx="9">
                  <c:v>-2.5878892861955372</c:v>
                </c:pt>
                <c:pt idx="10">
                  <c:v>-2.6542744437481276</c:v>
                </c:pt>
                <c:pt idx="11">
                  <c:v>-2.8733811801607034</c:v>
                </c:pt>
                <c:pt idx="12">
                  <c:v>-3.044147483417869</c:v>
                </c:pt>
                <c:pt idx="13">
                  <c:v>-3.2720100062366226</c:v>
                </c:pt>
                <c:pt idx="14">
                  <c:v>-3.4670053862723944</c:v>
                </c:pt>
                <c:pt idx="15">
                  <c:v>-3.0875981743623018</c:v>
                </c:pt>
                <c:pt idx="16">
                  <c:v>-3.3166465358234531</c:v>
                </c:pt>
                <c:pt idx="17">
                  <c:v>-3.4962574941397846</c:v>
                </c:pt>
                <c:pt idx="18">
                  <c:v>-3.6470091635275583</c:v>
                </c:pt>
                <c:pt idx="19">
                  <c:v>-4.1566586324040156</c:v>
                </c:pt>
              </c:numCache>
            </c:numRef>
          </c:yVal>
          <c:smooth val="1"/>
        </c:ser>
        <c:ser>
          <c:idx val="26"/>
          <c:order val="24"/>
          <c:tx>
            <c:strRef>
              <c:f>'Chg_R_pos_tchg '!$A$29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'!$B$29:$U$29</c:f>
              <c:numCache>
                <c:formatCode>General</c:formatCode>
                <c:ptCount val="20"/>
                <c:pt idx="0">
                  <c:v>-0.51298217276393154</c:v>
                </c:pt>
                <c:pt idx="1">
                  <c:v>-0.65497683876501878</c:v>
                </c:pt>
                <c:pt idx="2">
                  <c:v>-0.85427251830229478</c:v>
                </c:pt>
                <c:pt idx="3">
                  <c:v>-0.90771620000638531</c:v>
                </c:pt>
                <c:pt idx="4">
                  <c:v>-1.0531315005104669</c:v>
                </c:pt>
                <c:pt idx="5">
                  <c:v>-1.1737001772529259</c:v>
                </c:pt>
                <c:pt idx="6">
                  <c:v>-1.2563367777814325</c:v>
                </c:pt>
                <c:pt idx="7">
                  <c:v>-1.3446580613533248</c:v>
                </c:pt>
                <c:pt idx="8">
                  <c:v>-1.4130760271989644</c:v>
                </c:pt>
                <c:pt idx="9">
                  <c:v>-1.4226434446870202</c:v>
                </c:pt>
                <c:pt idx="10">
                  <c:v>-1.5345144298334525</c:v>
                </c:pt>
                <c:pt idx="11">
                  <c:v>-1.494495667097361</c:v>
                </c:pt>
                <c:pt idx="12">
                  <c:v>-1.4372802465246051</c:v>
                </c:pt>
                <c:pt idx="13">
                  <c:v>-1.3762787969532801</c:v>
                </c:pt>
                <c:pt idx="14">
                  <c:v>-1.3414507039372643</c:v>
                </c:pt>
                <c:pt idx="15">
                  <c:v>-1.3762027101909222</c:v>
                </c:pt>
                <c:pt idx="16">
                  <c:v>-1.4536670651298707</c:v>
                </c:pt>
                <c:pt idx="17">
                  <c:v>-1.4191883513449672</c:v>
                </c:pt>
                <c:pt idx="18">
                  <c:v>-1.5276368764076291</c:v>
                </c:pt>
                <c:pt idx="19">
                  <c:v>-1.6600049491864775</c:v>
                </c:pt>
              </c:numCache>
            </c:numRef>
          </c:yVal>
          <c:smooth val="1"/>
        </c:ser>
        <c:ser>
          <c:idx val="27"/>
          <c:order val="25"/>
          <c:tx>
            <c:strRef>
              <c:f>'Chg_R_pos_tchg '!$A$30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'!$B$30:$U$30</c:f>
              <c:numCache>
                <c:formatCode>General</c:formatCode>
                <c:ptCount val="20"/>
                <c:pt idx="0">
                  <c:v>-0.31483228195603158</c:v>
                </c:pt>
                <c:pt idx="1">
                  <c:v>-0.33385879968472021</c:v>
                </c:pt>
                <c:pt idx="2">
                  <c:v>-0.31901385645867775</c:v>
                </c:pt>
                <c:pt idx="3">
                  <c:v>-0.29956856900238793</c:v>
                </c:pt>
                <c:pt idx="4">
                  <c:v>-0.29870047427714402</c:v>
                </c:pt>
                <c:pt idx="5">
                  <c:v>-0.29190416149131071</c:v>
                </c:pt>
                <c:pt idx="6">
                  <c:v>-0.29555010594484976</c:v>
                </c:pt>
                <c:pt idx="7">
                  <c:v>-0.29861664586487618</c:v>
                </c:pt>
                <c:pt idx="8">
                  <c:v>-0.30008550624285374</c:v>
                </c:pt>
                <c:pt idx="9">
                  <c:v>-0.3187989626715732</c:v>
                </c:pt>
                <c:pt idx="10">
                  <c:v>-0.32297490830981002</c:v>
                </c:pt>
                <c:pt idx="11">
                  <c:v>-0.29203612172407079</c:v>
                </c:pt>
                <c:pt idx="12">
                  <c:v>-0.29612343024066551</c:v>
                </c:pt>
                <c:pt idx="13">
                  <c:v>-0.27356774878466422</c:v>
                </c:pt>
                <c:pt idx="14">
                  <c:v>-0.2618335554484309</c:v>
                </c:pt>
                <c:pt idx="15">
                  <c:v>-0.25675719244699036</c:v>
                </c:pt>
                <c:pt idx="16">
                  <c:v>-0.26271747816975016</c:v>
                </c:pt>
                <c:pt idx="17">
                  <c:v>-0.26622855392676487</c:v>
                </c:pt>
                <c:pt idx="18">
                  <c:v>-0.27133290959515216</c:v>
                </c:pt>
                <c:pt idx="19">
                  <c:v>-0.28323996514830607</c:v>
                </c:pt>
              </c:numCache>
            </c:numRef>
          </c:yVal>
          <c:smooth val="1"/>
        </c:ser>
        <c:ser>
          <c:idx val="28"/>
          <c:order val="26"/>
          <c:tx>
            <c:strRef>
              <c:f>'Chg_R_pos_tchg '!$A$31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'!$B$31:$U$31</c:f>
              <c:numCache>
                <c:formatCode>General</c:formatCode>
                <c:ptCount val="20"/>
                <c:pt idx="0">
                  <c:v>-0.40503489888960115</c:v>
                </c:pt>
                <c:pt idx="1">
                  <c:v>-0.45400613580533367</c:v>
                </c:pt>
                <c:pt idx="2">
                  <c:v>-0.49388998224151298</c:v>
                </c:pt>
                <c:pt idx="3">
                  <c:v>-0.51606746338891996</c:v>
                </c:pt>
                <c:pt idx="4">
                  <c:v>-0.56370611856855002</c:v>
                </c:pt>
                <c:pt idx="5">
                  <c:v>-0.63232975241709677</c:v>
                </c:pt>
                <c:pt idx="6">
                  <c:v>-0.70556052204060504</c:v>
                </c:pt>
                <c:pt idx="7">
                  <c:v>-0.78763902884880155</c:v>
                </c:pt>
                <c:pt idx="8">
                  <c:v>-0.83297209509171111</c:v>
                </c:pt>
                <c:pt idx="9">
                  <c:v>-0.8799415690477802</c:v>
                </c:pt>
                <c:pt idx="10">
                  <c:v>-0.95580531180117878</c:v>
                </c:pt>
                <c:pt idx="11">
                  <c:v>-1.0742091216668328</c:v>
                </c:pt>
                <c:pt idx="12">
                  <c:v>-1.1113507655151884</c:v>
                </c:pt>
                <c:pt idx="13">
                  <c:v>-1.1278489450498494</c:v>
                </c:pt>
                <c:pt idx="14">
                  <c:v>-1.1682171933889152</c:v>
                </c:pt>
                <c:pt idx="15">
                  <c:v>-1.1316215369622722</c:v>
                </c:pt>
                <c:pt idx="16">
                  <c:v>-1.205075078593137</c:v>
                </c:pt>
                <c:pt idx="17">
                  <c:v>-1.1446512290673219</c:v>
                </c:pt>
                <c:pt idx="18">
                  <c:v>-1.1668187829056382</c:v>
                </c:pt>
                <c:pt idx="19">
                  <c:v>-1.1613653969178395</c:v>
                </c:pt>
              </c:numCache>
            </c:numRef>
          </c:yVal>
          <c:smooth val="1"/>
        </c:ser>
        <c:ser>
          <c:idx val="29"/>
          <c:order val="27"/>
          <c:tx>
            <c:strRef>
              <c:f>'Chg_R_pos_tchg '!$A$32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'!$B$32:$U$32</c:f>
              <c:numCache>
                <c:formatCode>General</c:formatCode>
                <c:ptCount val="20"/>
                <c:pt idx="0">
                  <c:v>-0.26677933262414405</c:v>
                </c:pt>
                <c:pt idx="1">
                  <c:v>-0.34160054605583612</c:v>
                </c:pt>
                <c:pt idx="2">
                  <c:v>-0.43401664709181426</c:v>
                </c:pt>
                <c:pt idx="3">
                  <c:v>-0.50769541918505678</c:v>
                </c:pt>
                <c:pt idx="4">
                  <c:v>-0.61789746573365401</c:v>
                </c:pt>
                <c:pt idx="5">
                  <c:v>-0.62927721912422552</c:v>
                </c:pt>
                <c:pt idx="6">
                  <c:v>-0.69187660429225073</c:v>
                </c:pt>
                <c:pt idx="7">
                  <c:v>-0.76095809278230353</c:v>
                </c:pt>
                <c:pt idx="8">
                  <c:v>-0.76027808539713693</c:v>
                </c:pt>
                <c:pt idx="9">
                  <c:v>-0.78870794664343424</c:v>
                </c:pt>
                <c:pt idx="10">
                  <c:v>-0.83884733589967519</c:v>
                </c:pt>
                <c:pt idx="11">
                  <c:v>-0.89255102082926796</c:v>
                </c:pt>
                <c:pt idx="12">
                  <c:v>-0.90703858967421436</c:v>
                </c:pt>
                <c:pt idx="13">
                  <c:v>-0.95633059338681536</c:v>
                </c:pt>
                <c:pt idx="14">
                  <c:v>-0.967053947325479</c:v>
                </c:pt>
                <c:pt idx="15">
                  <c:v>-1.0919974146191196</c:v>
                </c:pt>
                <c:pt idx="16">
                  <c:v>-1.2238308169583052</c:v>
                </c:pt>
                <c:pt idx="17">
                  <c:v>-1.1813056800969752</c:v>
                </c:pt>
                <c:pt idx="18">
                  <c:v>-1.1063544487290315</c:v>
                </c:pt>
                <c:pt idx="19">
                  <c:v>-1.1922954819922904</c:v>
                </c:pt>
              </c:numCache>
            </c:numRef>
          </c:yVal>
          <c:smooth val="1"/>
        </c:ser>
        <c:ser>
          <c:idx val="30"/>
          <c:order val="28"/>
          <c:tx>
            <c:strRef>
              <c:f>'Chg_R_pos_tchg '!$A$33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'!$B$33:$U$33</c:f>
              <c:numCache>
                <c:formatCode>General</c:formatCode>
                <c:ptCount val="20"/>
                <c:pt idx="0">
                  <c:v>-0.27240791112017476</c:v>
                </c:pt>
                <c:pt idx="1">
                  <c:v>-0.35618044875000326</c:v>
                </c:pt>
                <c:pt idx="2">
                  <c:v>-0.46370727254725008</c:v>
                </c:pt>
                <c:pt idx="3">
                  <c:v>-0.54263646677864363</c:v>
                </c:pt>
                <c:pt idx="4">
                  <c:v>-0.56500908804116423</c:v>
                </c:pt>
                <c:pt idx="5">
                  <c:v>-0.62222315752887147</c:v>
                </c:pt>
                <c:pt idx="6">
                  <c:v>-0.66588907802164377</c:v>
                </c:pt>
                <c:pt idx="7">
                  <c:v>-0.73325636991222665</c:v>
                </c:pt>
                <c:pt idx="8">
                  <c:v>-0.76678052458760293</c:v>
                </c:pt>
                <c:pt idx="9">
                  <c:v>-0.8165769158519024</c:v>
                </c:pt>
                <c:pt idx="10">
                  <c:v>-0.87172268872175396</c:v>
                </c:pt>
                <c:pt idx="11">
                  <c:v>-0.9155551590036427</c:v>
                </c:pt>
                <c:pt idx="12">
                  <c:v>-0.95898172997948028</c:v>
                </c:pt>
                <c:pt idx="13">
                  <c:v>-0.9901194511814736</c:v>
                </c:pt>
                <c:pt idx="14">
                  <c:v>-1.0194820849541857</c:v>
                </c:pt>
                <c:pt idx="15">
                  <c:v>-0.98383773562457977</c:v>
                </c:pt>
                <c:pt idx="16">
                  <c:v>-1.0184304173438266</c:v>
                </c:pt>
                <c:pt idx="17">
                  <c:v>-1.0632674768175281</c:v>
                </c:pt>
                <c:pt idx="18">
                  <c:v>-1.1069986091767046</c:v>
                </c:pt>
                <c:pt idx="19">
                  <c:v>-1.1877661832629129</c:v>
                </c:pt>
              </c:numCache>
            </c:numRef>
          </c:yVal>
          <c:smooth val="1"/>
        </c:ser>
        <c:ser>
          <c:idx val="31"/>
          <c:order val="29"/>
          <c:tx>
            <c:strRef>
              <c:f>'Chg_R_pos_tchg '!$A$34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'!$B$34:$U$34</c:f>
              <c:numCache>
                <c:formatCode>General</c:formatCode>
                <c:ptCount val="20"/>
                <c:pt idx="0">
                  <c:v>-0.27254411390519551</c:v>
                </c:pt>
                <c:pt idx="1">
                  <c:v>-0.36107510537906728</c:v>
                </c:pt>
                <c:pt idx="2">
                  <c:v>-0.45285203184921863</c:v>
                </c:pt>
                <c:pt idx="3">
                  <c:v>-0.53497073243554927</c:v>
                </c:pt>
                <c:pt idx="4">
                  <c:v>-0.57417123832153771</c:v>
                </c:pt>
                <c:pt idx="5">
                  <c:v>-0.61693629803101024</c:v>
                </c:pt>
                <c:pt idx="6">
                  <c:v>-0.66440044058860637</c:v>
                </c:pt>
                <c:pt idx="7">
                  <c:v>-0.67897556130352466</c:v>
                </c:pt>
                <c:pt idx="8">
                  <c:v>-0.71397023561874773</c:v>
                </c:pt>
                <c:pt idx="9">
                  <c:v>-0.80199953869814922</c:v>
                </c:pt>
                <c:pt idx="10">
                  <c:v>-0.85484074406164501</c:v>
                </c:pt>
                <c:pt idx="11">
                  <c:v>-0.84243945537150366</c:v>
                </c:pt>
                <c:pt idx="12">
                  <c:v>-0.90594462787284891</c:v>
                </c:pt>
                <c:pt idx="13">
                  <c:v>-0.95286220869402694</c:v>
                </c:pt>
                <c:pt idx="14">
                  <c:v>-1.022542613026491</c:v>
                </c:pt>
                <c:pt idx="15">
                  <c:v>-1.0494865485936304</c:v>
                </c:pt>
                <c:pt idx="16">
                  <c:v>-1.0897896232700532</c:v>
                </c:pt>
                <c:pt idx="17">
                  <c:v>-1.0268962964754254</c:v>
                </c:pt>
                <c:pt idx="18">
                  <c:v>-1.034397446028122</c:v>
                </c:pt>
                <c:pt idx="19">
                  <c:v>-1.0590269788808124</c:v>
                </c:pt>
              </c:numCache>
            </c:numRef>
          </c:yVal>
          <c:smooth val="1"/>
        </c:ser>
        <c:ser>
          <c:idx val="32"/>
          <c:order val="30"/>
          <c:tx>
            <c:strRef>
              <c:f>'Chg_R_pos_tchg '!$A$35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'!$B$35:$U$35</c:f>
              <c:numCache>
                <c:formatCode>General</c:formatCode>
                <c:ptCount val="20"/>
                <c:pt idx="0">
                  <c:v>-0.35617366370914239</c:v>
                </c:pt>
                <c:pt idx="1">
                  <c:v>-0.41281331414682709</c:v>
                </c:pt>
                <c:pt idx="2">
                  <c:v>-0.50217669346223226</c:v>
                </c:pt>
                <c:pt idx="3">
                  <c:v>-0.57265829442016047</c:v>
                </c:pt>
                <c:pt idx="4">
                  <c:v>-0.63071454421166906</c:v>
                </c:pt>
                <c:pt idx="5">
                  <c:v>-0.66933905833732243</c:v>
                </c:pt>
                <c:pt idx="6">
                  <c:v>-0.76468119980783333</c:v>
                </c:pt>
                <c:pt idx="7">
                  <c:v>-0.8060690358331235</c:v>
                </c:pt>
                <c:pt idx="8">
                  <c:v>-0.86963678749697981</c:v>
                </c:pt>
                <c:pt idx="9">
                  <c:v>-0.89204726190713513</c:v>
                </c:pt>
                <c:pt idx="10">
                  <c:v>-0.90113576518717398</c:v>
                </c:pt>
                <c:pt idx="11">
                  <c:v>-0.87782166494551472</c:v>
                </c:pt>
                <c:pt idx="12">
                  <c:v>-0.87253082305642771</c:v>
                </c:pt>
                <c:pt idx="13">
                  <c:v>-0.8818711970067542</c:v>
                </c:pt>
                <c:pt idx="14">
                  <c:v>-0.9062689358733832</c:v>
                </c:pt>
                <c:pt idx="15">
                  <c:v>-0.9147872789286734</c:v>
                </c:pt>
                <c:pt idx="16">
                  <c:v>-0.91595439850819471</c:v>
                </c:pt>
                <c:pt idx="17">
                  <c:v>-0.99549082866483751</c:v>
                </c:pt>
                <c:pt idx="18">
                  <c:v>-1.0306071741230669</c:v>
                </c:pt>
                <c:pt idx="19">
                  <c:v>-1.0968990805431578</c:v>
                </c:pt>
              </c:numCache>
            </c:numRef>
          </c:yVal>
          <c:smooth val="1"/>
        </c:ser>
        <c:ser>
          <c:idx val="33"/>
          <c:order val="31"/>
          <c:tx>
            <c:strRef>
              <c:f>'Chg_R_pos_tchg '!$A$36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'!$B$36:$U$36</c:f>
              <c:numCache>
                <c:formatCode>General</c:formatCode>
                <c:ptCount val="20"/>
                <c:pt idx="0">
                  <c:v>-0.35081141227265966</c:v>
                </c:pt>
                <c:pt idx="1">
                  <c:v>-0.41898457831906827</c:v>
                </c:pt>
                <c:pt idx="2">
                  <c:v>-0.52309197063722812</c:v>
                </c:pt>
                <c:pt idx="3">
                  <c:v>-0.6018021953688607</c:v>
                </c:pt>
                <c:pt idx="4">
                  <c:v>-0.68084854064237788</c:v>
                </c:pt>
                <c:pt idx="5">
                  <c:v>-0.75666775905576467</c:v>
                </c:pt>
                <c:pt idx="6">
                  <c:v>-0.83103505486747398</c:v>
                </c:pt>
                <c:pt idx="7">
                  <c:v>-0.89625308120415004</c:v>
                </c:pt>
                <c:pt idx="8">
                  <c:v>-0.89370406982266426</c:v>
                </c:pt>
                <c:pt idx="9">
                  <c:v>-0.96693183832439145</c:v>
                </c:pt>
                <c:pt idx="10">
                  <c:v>-0.99099079521567168</c:v>
                </c:pt>
                <c:pt idx="11">
                  <c:v>-0.99838000841730701</c:v>
                </c:pt>
                <c:pt idx="12">
                  <c:v>-1.0668336698570562</c:v>
                </c:pt>
                <c:pt idx="13">
                  <c:v>-1.0419253318645703</c:v>
                </c:pt>
                <c:pt idx="14">
                  <c:v>-1.0068999262639617</c:v>
                </c:pt>
                <c:pt idx="15">
                  <c:v>-1.0179738170938351</c:v>
                </c:pt>
                <c:pt idx="16">
                  <c:v>-0.9772419561218002</c:v>
                </c:pt>
                <c:pt idx="17">
                  <c:v>-0.99377235553913568</c:v>
                </c:pt>
                <c:pt idx="18">
                  <c:v>-1.0047348648474139</c:v>
                </c:pt>
                <c:pt idx="19">
                  <c:v>-1.0018184560150611</c:v>
                </c:pt>
              </c:numCache>
            </c:numRef>
          </c:yVal>
          <c:smooth val="1"/>
        </c:ser>
        <c:ser>
          <c:idx val="34"/>
          <c:order val="32"/>
          <c:tx>
            <c:strRef>
              <c:f>'Chg_R_pos_tchg '!$A$37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'Chg_R_pos_tchg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'Chg_R_pos_tchg '!$B$37:$U$37</c:f>
              <c:numCache>
                <c:formatCode>General</c:formatCode>
                <c:ptCount val="20"/>
                <c:pt idx="0">
                  <c:v>-0.44440666519147681</c:v>
                </c:pt>
                <c:pt idx="1">
                  <c:v>-0.56663625197218925</c:v>
                </c:pt>
                <c:pt idx="2">
                  <c:v>-0.80266418395816397</c:v>
                </c:pt>
                <c:pt idx="3">
                  <c:v>-1.0791068094573113</c:v>
                </c:pt>
                <c:pt idx="4">
                  <c:v>-1.382880967511726</c:v>
                </c:pt>
                <c:pt idx="5">
                  <c:v>-1.7417827669137085</c:v>
                </c:pt>
                <c:pt idx="6">
                  <c:v>-2.0715477385935435</c:v>
                </c:pt>
                <c:pt idx="7">
                  <c:v>-2.3103722847001245</c:v>
                </c:pt>
                <c:pt idx="8">
                  <c:v>-2.4188131610538588</c:v>
                </c:pt>
                <c:pt idx="9">
                  <c:v>-2.6124689548375812</c:v>
                </c:pt>
                <c:pt idx="10">
                  <c:v>-2.7886890850244854</c:v>
                </c:pt>
                <c:pt idx="11">
                  <c:v>-2.7587323625157101</c:v>
                </c:pt>
                <c:pt idx="12">
                  <c:v>-2.7938762753798509</c:v>
                </c:pt>
                <c:pt idx="13">
                  <c:v>-2.758961085942234</c:v>
                </c:pt>
                <c:pt idx="14">
                  <c:v>-3.0148559023465888</c:v>
                </c:pt>
                <c:pt idx="15">
                  <c:v>-2.9868055387939467</c:v>
                </c:pt>
                <c:pt idx="16">
                  <c:v>-2.7586905563924198</c:v>
                </c:pt>
                <c:pt idx="17">
                  <c:v>-2.8475903592144549</c:v>
                </c:pt>
                <c:pt idx="18">
                  <c:v>-3.6880874958014278</c:v>
                </c:pt>
                <c:pt idx="19">
                  <c:v>-3.9823883375721008</c:v>
                </c:pt>
              </c:numCache>
            </c:numRef>
          </c:yVal>
          <c:smooth val="1"/>
        </c:ser>
        <c:axId val="98478336"/>
        <c:axId val="98496896"/>
      </c:scatterChart>
      <c:valAx>
        <c:axId val="9847833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96896"/>
        <c:crosses val="autoZero"/>
        <c:crossBetween val="midCat"/>
      </c:valAx>
      <c:valAx>
        <c:axId val="98496896"/>
        <c:scaling>
          <c:orientation val="minMax"/>
        </c:scaling>
        <c:axPos val="l"/>
        <c:numFmt formatCode="General" sourceLinked="1"/>
        <c:tickLblPos val="nextTo"/>
        <c:crossAx val="984783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760285979588357"/>
          <c:y val="7.9861475648877231E-2"/>
          <c:w val="0.24932839767318879"/>
          <c:h val="0.85768759142261364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'!$B$3:$U$3</c:f>
              <c:numCache>
                <c:formatCode>General</c:formatCode>
                <c:ptCount val="20"/>
                <c:pt idx="0">
                  <c:v>0.22818713242479702</c:v>
                </c:pt>
                <c:pt idx="1">
                  <c:v>0.24750487436837609</c:v>
                </c:pt>
                <c:pt idx="2">
                  <c:v>0.28444075341598768</c:v>
                </c:pt>
                <c:pt idx="3">
                  <c:v>0.32652172939951468</c:v>
                </c:pt>
                <c:pt idx="4">
                  <c:v>0.34668577752404173</c:v>
                </c:pt>
                <c:pt idx="5">
                  <c:v>0.37586193053462136</c:v>
                </c:pt>
                <c:pt idx="6">
                  <c:v>0.40337080738748943</c:v>
                </c:pt>
                <c:pt idx="7">
                  <c:v>0.42396070504435074</c:v>
                </c:pt>
                <c:pt idx="8">
                  <c:v>0.44008314965080864</c:v>
                </c:pt>
                <c:pt idx="9">
                  <c:v>0.46278116384433621</c:v>
                </c:pt>
                <c:pt idx="10">
                  <c:v>0.45512992591613549</c:v>
                </c:pt>
                <c:pt idx="11">
                  <c:v>0.45994469191133747</c:v>
                </c:pt>
                <c:pt idx="12">
                  <c:v>0.4772168230608741</c:v>
                </c:pt>
                <c:pt idx="13">
                  <c:v>0.50810618893363602</c:v>
                </c:pt>
                <c:pt idx="14">
                  <c:v>0.50945318939094275</c:v>
                </c:pt>
                <c:pt idx="15">
                  <c:v>0.50405070697675503</c:v>
                </c:pt>
                <c:pt idx="16">
                  <c:v>0.51064629261647276</c:v>
                </c:pt>
                <c:pt idx="17">
                  <c:v>0.52551473412356797</c:v>
                </c:pt>
                <c:pt idx="18">
                  <c:v>0.52382467447169134</c:v>
                </c:pt>
                <c:pt idx="19">
                  <c:v>0.57077658874634496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'!$B$21:$U$21</c:f>
              <c:numCache>
                <c:formatCode>General</c:formatCode>
                <c:ptCount val="20"/>
                <c:pt idx="0">
                  <c:v>0.21462310410713381</c:v>
                </c:pt>
                <c:pt idx="1">
                  <c:v>0.2338790951774406</c:v>
                </c:pt>
                <c:pt idx="2">
                  <c:v>0.26729779430369649</c:v>
                </c:pt>
                <c:pt idx="3">
                  <c:v>0.28798437057374432</c:v>
                </c:pt>
                <c:pt idx="4">
                  <c:v>0.30571649842924337</c:v>
                </c:pt>
                <c:pt idx="5">
                  <c:v>0.32422303558107451</c:v>
                </c:pt>
                <c:pt idx="6">
                  <c:v>0.32884940735935453</c:v>
                </c:pt>
                <c:pt idx="7">
                  <c:v>0.33665864258040568</c:v>
                </c:pt>
                <c:pt idx="8">
                  <c:v>0.34167440852981884</c:v>
                </c:pt>
                <c:pt idx="9">
                  <c:v>0.34868541097658223</c:v>
                </c:pt>
                <c:pt idx="10">
                  <c:v>0.35244169318546459</c:v>
                </c:pt>
                <c:pt idx="11">
                  <c:v>0.35694618065359057</c:v>
                </c:pt>
                <c:pt idx="12">
                  <c:v>0.35811138469849385</c:v>
                </c:pt>
                <c:pt idx="13">
                  <c:v>0.35625588553814624</c:v>
                </c:pt>
                <c:pt idx="14">
                  <c:v>0.357554876753992</c:v>
                </c:pt>
                <c:pt idx="15">
                  <c:v>0.35972930977328432</c:v>
                </c:pt>
                <c:pt idx="16">
                  <c:v>0.36224086570152375</c:v>
                </c:pt>
                <c:pt idx="17">
                  <c:v>0.36162043011525019</c:v>
                </c:pt>
                <c:pt idx="18">
                  <c:v>0.37265292763599944</c:v>
                </c:pt>
                <c:pt idx="19">
                  <c:v>0.38439706570995591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'!$B$37:$U$37</c:f>
              <c:numCache>
                <c:formatCode>General</c:formatCode>
                <c:ptCount val="20"/>
                <c:pt idx="0">
                  <c:v>0.32950183404224181</c:v>
                </c:pt>
                <c:pt idx="1">
                  <c:v>0.35576802817364972</c:v>
                </c:pt>
                <c:pt idx="2">
                  <c:v>0.4001218365067461</c:v>
                </c:pt>
                <c:pt idx="3">
                  <c:v>0.44608346814066474</c:v>
                </c:pt>
                <c:pt idx="4">
                  <c:v>0.48343650379245912</c:v>
                </c:pt>
                <c:pt idx="5">
                  <c:v>0.51868844599530062</c:v>
                </c:pt>
                <c:pt idx="6">
                  <c:v>0.54875190978641919</c:v>
                </c:pt>
                <c:pt idx="7">
                  <c:v>0.56539506213054869</c:v>
                </c:pt>
                <c:pt idx="8">
                  <c:v>0.57940333654297582</c:v>
                </c:pt>
                <c:pt idx="9">
                  <c:v>0.60902835202917305</c:v>
                </c:pt>
                <c:pt idx="10">
                  <c:v>0.61759481291531382</c:v>
                </c:pt>
                <c:pt idx="11">
                  <c:v>0.6314467588128283</c:v>
                </c:pt>
                <c:pt idx="12">
                  <c:v>0.64315397117080908</c:v>
                </c:pt>
                <c:pt idx="13">
                  <c:v>0.64641371209374376</c:v>
                </c:pt>
                <c:pt idx="14">
                  <c:v>0.66368836147123245</c:v>
                </c:pt>
                <c:pt idx="15">
                  <c:v>0.67557909474146483</c:v>
                </c:pt>
                <c:pt idx="16">
                  <c:v>0.66750915258617638</c:v>
                </c:pt>
                <c:pt idx="17">
                  <c:v>0.67113850184455903</c:v>
                </c:pt>
                <c:pt idx="18">
                  <c:v>0.74908772191829953</c:v>
                </c:pt>
                <c:pt idx="19">
                  <c:v>0.77296054075963061</c:v>
                </c:pt>
              </c:numCache>
            </c:numRef>
          </c:yVal>
          <c:smooth val="1"/>
        </c:ser>
        <c:axId val="98514048"/>
        <c:axId val="98515968"/>
      </c:scatterChart>
      <c:valAx>
        <c:axId val="9851404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15968"/>
        <c:crosses val="autoZero"/>
        <c:crossBetween val="midCat"/>
      </c:valAx>
      <c:valAx>
        <c:axId val="98515968"/>
        <c:scaling>
          <c:orientation val="minMax"/>
        </c:scaling>
        <c:axPos val="l"/>
        <c:numFmt formatCode="General" sourceLinked="1"/>
        <c:tickLblPos val="nextTo"/>
        <c:crossAx val="98514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566885389326334"/>
          <c:y val="5.1400554097404488E-2"/>
          <c:w val="0.56783814523184606"/>
          <c:h val="0.89719889180519097"/>
        </c:manualLayout>
      </c:layout>
      <c:scatterChart>
        <c:scatterStyle val="smoothMarker"/>
        <c:ser>
          <c:idx val="0"/>
          <c:order val="0"/>
          <c:tx>
            <c:strRef>
              <c:f>AA_pho_ind!$A$3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AA_pho_ind!$B$3:$U$3</c:f>
              <c:numCache>
                <c:formatCode>General</c:formatCode>
                <c:ptCount val="20"/>
                <c:pt idx="0">
                  <c:v>-1.3652315E-2</c:v>
                </c:pt>
                <c:pt idx="1">
                  <c:v>-1.4124071E-2</c:v>
                </c:pt>
                <c:pt idx="2">
                  <c:v>-1.4354797000000001E-2</c:v>
                </c:pt>
                <c:pt idx="3">
                  <c:v>-1.4389525E-2</c:v>
                </c:pt>
                <c:pt idx="4">
                  <c:v>-1.4588689E-2</c:v>
                </c:pt>
                <c:pt idx="5">
                  <c:v>-1.3893057E-2</c:v>
                </c:pt>
                <c:pt idx="6">
                  <c:v>-1.4487316E-2</c:v>
                </c:pt>
                <c:pt idx="7">
                  <c:v>-1.4313387E-2</c:v>
                </c:pt>
                <c:pt idx="8">
                  <c:v>-1.4335123999999999E-2</c:v>
                </c:pt>
                <c:pt idx="9">
                  <c:v>-1.4173280999999999E-2</c:v>
                </c:pt>
                <c:pt idx="10">
                  <c:v>-1.4167542E-2</c:v>
                </c:pt>
                <c:pt idx="11">
                  <c:v>-1.4609893000000001E-2</c:v>
                </c:pt>
                <c:pt idx="12">
                  <c:v>-1.5217368E-2</c:v>
                </c:pt>
                <c:pt idx="13">
                  <c:v>-1.5322379000000001E-2</c:v>
                </c:pt>
                <c:pt idx="14">
                  <c:v>-1.5104611E-2</c:v>
                </c:pt>
                <c:pt idx="15">
                  <c:v>-1.5011962E-2</c:v>
                </c:pt>
                <c:pt idx="16">
                  <c:v>-1.4582403000000001E-2</c:v>
                </c:pt>
                <c:pt idx="17">
                  <c:v>-1.4607765999999999E-2</c:v>
                </c:pt>
                <c:pt idx="18">
                  <c:v>-1.473177E-2</c:v>
                </c:pt>
                <c:pt idx="19">
                  <c:v>-1.4688903E-2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AA_pho_ind!$A$4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AA_pho_ind!$B$4:$U$4</c:f>
              <c:numCache>
                <c:formatCode>General</c:formatCode>
                <c:ptCount val="20"/>
                <c:pt idx="0">
                  <c:v>-1.1528773000000001E-2</c:v>
                </c:pt>
                <c:pt idx="1">
                  <c:v>-1.1610231E-2</c:v>
                </c:pt>
                <c:pt idx="2">
                  <c:v>-1.1103768E-2</c:v>
                </c:pt>
                <c:pt idx="3">
                  <c:v>-1.0806679E-2</c:v>
                </c:pt>
                <c:pt idx="4">
                  <c:v>-1.0917789000000001E-2</c:v>
                </c:pt>
                <c:pt idx="5">
                  <c:v>-1.0509457E-2</c:v>
                </c:pt>
                <c:pt idx="6">
                  <c:v>-1.0717539999999999E-2</c:v>
                </c:pt>
                <c:pt idx="7">
                  <c:v>-1.0827883E-2</c:v>
                </c:pt>
                <c:pt idx="8">
                  <c:v>-1.069995E-2</c:v>
                </c:pt>
                <c:pt idx="9">
                  <c:v>-1.0583973999999999E-2</c:v>
                </c:pt>
                <c:pt idx="10">
                  <c:v>-1.1058211E-2</c:v>
                </c:pt>
                <c:pt idx="11">
                  <c:v>-1.1375748E-2</c:v>
                </c:pt>
                <c:pt idx="12">
                  <c:v>-1.1220252999999999E-2</c:v>
                </c:pt>
                <c:pt idx="13">
                  <c:v>-1.1328948E-2</c:v>
                </c:pt>
                <c:pt idx="14">
                  <c:v>-1.1215170999999999E-2</c:v>
                </c:pt>
                <c:pt idx="15">
                  <c:v>-1.1216357999999999E-2</c:v>
                </c:pt>
                <c:pt idx="16">
                  <c:v>-1.1087792000000001E-2</c:v>
                </c:pt>
                <c:pt idx="17">
                  <c:v>-1.1389668E-2</c:v>
                </c:pt>
                <c:pt idx="18">
                  <c:v>-1.1448085E-2</c:v>
                </c:pt>
                <c:pt idx="19">
                  <c:v>-1.1436385E-2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AA_pho_ind!$A$5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AA_pho_ind!$B$5:$U$5</c:f>
              <c:numCache>
                <c:formatCode>General</c:formatCode>
                <c:ptCount val="20"/>
                <c:pt idx="0">
                  <c:v>-1.2878232E-2</c:v>
                </c:pt>
                <c:pt idx="1">
                  <c:v>-1.3191993000000001E-2</c:v>
                </c:pt>
                <c:pt idx="2">
                  <c:v>-1.3542556000000001E-2</c:v>
                </c:pt>
                <c:pt idx="3">
                  <c:v>-1.3404301E-2</c:v>
                </c:pt>
                <c:pt idx="4">
                  <c:v>-1.3854145E-2</c:v>
                </c:pt>
                <c:pt idx="5">
                  <c:v>-1.3735547000000001E-2</c:v>
                </c:pt>
                <c:pt idx="6">
                  <c:v>-1.4108229E-2</c:v>
                </c:pt>
                <c:pt idx="7">
                  <c:v>-1.4644337E-2</c:v>
                </c:pt>
                <c:pt idx="8">
                  <c:v>-1.483924E-2</c:v>
                </c:pt>
                <c:pt idx="9">
                  <c:v>-1.4900962E-2</c:v>
                </c:pt>
                <c:pt idx="10">
                  <c:v>-1.5286741E-2</c:v>
                </c:pt>
                <c:pt idx="11">
                  <c:v>-1.6070858E-2</c:v>
                </c:pt>
                <c:pt idx="12">
                  <c:v>-1.6236244E-2</c:v>
                </c:pt>
                <c:pt idx="13">
                  <c:v>-1.6193039999999999E-2</c:v>
                </c:pt>
                <c:pt idx="14">
                  <c:v>-1.5614187999999999E-2</c:v>
                </c:pt>
                <c:pt idx="15">
                  <c:v>-1.5476835E-2</c:v>
                </c:pt>
                <c:pt idx="16">
                  <c:v>-1.5251733999999999E-2</c:v>
                </c:pt>
                <c:pt idx="17">
                  <c:v>-1.5313742999999999E-2</c:v>
                </c:pt>
                <c:pt idx="18">
                  <c:v>-1.5193488E-2</c:v>
                </c:pt>
                <c:pt idx="19">
                  <c:v>-1.514077E-2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AA_pho_ind!$A$6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AA_pho_ind!$B$6:$U$6</c:f>
              <c:numCache>
                <c:formatCode>General</c:formatCode>
                <c:ptCount val="20"/>
                <c:pt idx="0">
                  <c:v>-1.2636959999999999E-2</c:v>
                </c:pt>
                <c:pt idx="1">
                  <c:v>-1.2487366999999999E-2</c:v>
                </c:pt>
                <c:pt idx="2">
                  <c:v>-1.2693500999999999E-2</c:v>
                </c:pt>
                <c:pt idx="3">
                  <c:v>-1.1994151999999999E-2</c:v>
                </c:pt>
                <c:pt idx="4">
                  <c:v>-1.154239E-2</c:v>
                </c:pt>
                <c:pt idx="5">
                  <c:v>-1.1957911E-2</c:v>
                </c:pt>
                <c:pt idx="6">
                  <c:v>-1.2572491999999999E-2</c:v>
                </c:pt>
                <c:pt idx="7">
                  <c:v>-1.2293757000000001E-2</c:v>
                </c:pt>
                <c:pt idx="8">
                  <c:v>-1.2581510000000001E-2</c:v>
                </c:pt>
                <c:pt idx="9">
                  <c:v>-1.2693991E-2</c:v>
                </c:pt>
                <c:pt idx="10">
                  <c:v>-1.2419985999999999E-2</c:v>
                </c:pt>
                <c:pt idx="11">
                  <c:v>-1.2371896E-2</c:v>
                </c:pt>
                <c:pt idx="12">
                  <c:v>-1.2832909E-2</c:v>
                </c:pt>
                <c:pt idx="13">
                  <c:v>-1.3116081E-2</c:v>
                </c:pt>
                <c:pt idx="14">
                  <c:v>-1.2310117000000001E-2</c:v>
                </c:pt>
                <c:pt idx="15">
                  <c:v>-1.2219097E-2</c:v>
                </c:pt>
                <c:pt idx="16">
                  <c:v>-1.1690723E-2</c:v>
                </c:pt>
                <c:pt idx="17">
                  <c:v>-1.1606583E-2</c:v>
                </c:pt>
                <c:pt idx="18">
                  <c:v>-1.0843596E-2</c:v>
                </c:pt>
                <c:pt idx="19">
                  <c:v>-1.0364393E-2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AA_pho_ind!$A$7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AA_pho_ind!$B$7:$U$7</c:f>
              <c:numCache>
                <c:formatCode>General</c:formatCode>
                <c:ptCount val="20"/>
                <c:pt idx="0">
                  <c:v>-1.2528437999999999E-2</c:v>
                </c:pt>
                <c:pt idx="1">
                  <c:v>-1.2502414E-2</c:v>
                </c:pt>
                <c:pt idx="2">
                  <c:v>-1.2600889000000001E-2</c:v>
                </c:pt>
                <c:pt idx="3">
                  <c:v>-1.209501E-2</c:v>
                </c:pt>
                <c:pt idx="4">
                  <c:v>-1.1893488000000001E-2</c:v>
                </c:pt>
                <c:pt idx="5">
                  <c:v>-1.1413847E-2</c:v>
                </c:pt>
                <c:pt idx="6">
                  <c:v>-1.1900216999999999E-2</c:v>
                </c:pt>
                <c:pt idx="7">
                  <c:v>-1.159896E-2</c:v>
                </c:pt>
                <c:pt idx="8">
                  <c:v>-1.1664612E-2</c:v>
                </c:pt>
                <c:pt idx="9">
                  <c:v>-1.0579402E-2</c:v>
                </c:pt>
                <c:pt idx="10">
                  <c:v>-1.1255283E-2</c:v>
                </c:pt>
                <c:pt idx="11">
                  <c:v>-1.1977118E-2</c:v>
                </c:pt>
                <c:pt idx="12">
                  <c:v>-1.1006545E-2</c:v>
                </c:pt>
                <c:pt idx="13">
                  <c:v>-1.1226305000000001E-2</c:v>
                </c:pt>
                <c:pt idx="14">
                  <c:v>-1.1039767000000001E-2</c:v>
                </c:pt>
                <c:pt idx="15">
                  <c:v>-1.0774235E-2</c:v>
                </c:pt>
                <c:pt idx="16">
                  <c:v>-1.089706E-2</c:v>
                </c:pt>
                <c:pt idx="17">
                  <c:v>-1.0637143E-2</c:v>
                </c:pt>
                <c:pt idx="18">
                  <c:v>-1.07654E-2</c:v>
                </c:pt>
                <c:pt idx="19">
                  <c:v>-1.0766975E-2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AA_pho_ind!$A$8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AA_pho_ind!$B$8:$U$8</c:f>
              <c:numCache>
                <c:formatCode>General</c:formatCode>
                <c:ptCount val="20"/>
                <c:pt idx="0">
                  <c:v>-1.2663264E-2</c:v>
                </c:pt>
                <c:pt idx="1">
                  <c:v>-1.2874975E-2</c:v>
                </c:pt>
                <c:pt idx="2">
                  <c:v>-1.2971029E-2</c:v>
                </c:pt>
                <c:pt idx="3">
                  <c:v>-1.2230174999999999E-2</c:v>
                </c:pt>
                <c:pt idx="4">
                  <c:v>-1.2378228999999999E-2</c:v>
                </c:pt>
                <c:pt idx="5">
                  <c:v>-1.2460705000000001E-2</c:v>
                </c:pt>
                <c:pt idx="6">
                  <c:v>-1.3627765999999999E-2</c:v>
                </c:pt>
                <c:pt idx="7">
                  <c:v>-1.3056376E-2</c:v>
                </c:pt>
                <c:pt idx="8">
                  <c:v>-1.3408778999999999E-2</c:v>
                </c:pt>
                <c:pt idx="9">
                  <c:v>-1.3813593000000001E-2</c:v>
                </c:pt>
                <c:pt idx="10">
                  <c:v>-1.3293513E-2</c:v>
                </c:pt>
                <c:pt idx="11">
                  <c:v>-1.3441946999999999E-2</c:v>
                </c:pt>
                <c:pt idx="12">
                  <c:v>-1.3286941E-2</c:v>
                </c:pt>
                <c:pt idx="13">
                  <c:v>-1.2984795E-2</c:v>
                </c:pt>
                <c:pt idx="14">
                  <c:v>-1.2239547E-2</c:v>
                </c:pt>
                <c:pt idx="15">
                  <c:v>-1.1436185999999999E-2</c:v>
                </c:pt>
                <c:pt idx="16">
                  <c:v>-1.1266171E-2</c:v>
                </c:pt>
                <c:pt idx="17">
                  <c:v>-1.1526969999999999E-2</c:v>
                </c:pt>
                <c:pt idx="18">
                  <c:v>-1.1846478000000001E-2</c:v>
                </c:pt>
                <c:pt idx="19">
                  <c:v>-1.1840514999999999E-2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AA_pho_ind!$A$9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AA_pho_ind!$B$9:$U$9</c:f>
              <c:numCache>
                <c:formatCode>General</c:formatCode>
                <c:ptCount val="20"/>
                <c:pt idx="0">
                  <c:v>-1.2423316E-2</c:v>
                </c:pt>
                <c:pt idx="1">
                  <c:v>-1.2629356E-2</c:v>
                </c:pt>
                <c:pt idx="2">
                  <c:v>-1.2630433E-2</c:v>
                </c:pt>
                <c:pt idx="3">
                  <c:v>-1.2088036999999999E-2</c:v>
                </c:pt>
                <c:pt idx="4">
                  <c:v>-1.2039945E-2</c:v>
                </c:pt>
                <c:pt idx="5">
                  <c:v>-1.2374072E-2</c:v>
                </c:pt>
                <c:pt idx="6">
                  <c:v>-1.2210202999999999E-2</c:v>
                </c:pt>
                <c:pt idx="7">
                  <c:v>-1.2051133E-2</c:v>
                </c:pt>
                <c:pt idx="8">
                  <c:v>-1.2352645000000001E-2</c:v>
                </c:pt>
                <c:pt idx="9">
                  <c:v>-1.1451563999999999E-2</c:v>
                </c:pt>
                <c:pt idx="10">
                  <c:v>-1.1338028E-2</c:v>
                </c:pt>
                <c:pt idx="11">
                  <c:v>-1.2109852000000001E-2</c:v>
                </c:pt>
                <c:pt idx="12">
                  <c:v>-1.2443277000000001E-2</c:v>
                </c:pt>
                <c:pt idx="13">
                  <c:v>-1.2367271000000001E-2</c:v>
                </c:pt>
                <c:pt idx="14">
                  <c:v>-1.2681639999999999E-2</c:v>
                </c:pt>
                <c:pt idx="15">
                  <c:v>-1.2934892E-2</c:v>
                </c:pt>
                <c:pt idx="16">
                  <c:v>-1.2805524E-2</c:v>
                </c:pt>
                <c:pt idx="17">
                  <c:v>-1.2675962000000001E-2</c:v>
                </c:pt>
                <c:pt idx="18">
                  <c:v>-1.2434049000000001E-2</c:v>
                </c:pt>
                <c:pt idx="19">
                  <c:v>-1.243384E-2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AA_pho_ind!$A$10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AA_pho_ind!$B$10:$U$10</c:f>
              <c:numCache>
                <c:formatCode>General</c:formatCode>
                <c:ptCount val="20"/>
                <c:pt idx="0">
                  <c:v>-1.2197929999999999E-2</c:v>
                </c:pt>
                <c:pt idx="1">
                  <c:v>-1.2001174999999999E-2</c:v>
                </c:pt>
                <c:pt idx="2">
                  <c:v>-1.1677162E-2</c:v>
                </c:pt>
                <c:pt idx="3">
                  <c:v>-1.0857166E-2</c:v>
                </c:pt>
                <c:pt idx="4">
                  <c:v>-1.0972903000000001E-2</c:v>
                </c:pt>
                <c:pt idx="5">
                  <c:v>-1.0326752E-2</c:v>
                </c:pt>
                <c:pt idx="6">
                  <c:v>-1.0649809E-2</c:v>
                </c:pt>
                <c:pt idx="7">
                  <c:v>-1.0483605999999999E-2</c:v>
                </c:pt>
                <c:pt idx="8">
                  <c:v>-1.0677598E-2</c:v>
                </c:pt>
                <c:pt idx="9">
                  <c:v>-1.0009476999999999E-2</c:v>
                </c:pt>
                <c:pt idx="10">
                  <c:v>-1.0545825999999999E-2</c:v>
                </c:pt>
                <c:pt idx="11">
                  <c:v>-1.0512957E-2</c:v>
                </c:pt>
                <c:pt idx="12">
                  <c:v>-1.1012223999999999E-2</c:v>
                </c:pt>
                <c:pt idx="13">
                  <c:v>-1.0994657E-2</c:v>
                </c:pt>
                <c:pt idx="14">
                  <c:v>-1.0853056999999999E-2</c:v>
                </c:pt>
                <c:pt idx="15">
                  <c:v>-1.1401514E-2</c:v>
                </c:pt>
                <c:pt idx="16">
                  <c:v>-1.0989957999999999E-2</c:v>
                </c:pt>
                <c:pt idx="17">
                  <c:v>-1.1903067999999999E-2</c:v>
                </c:pt>
                <c:pt idx="18">
                  <c:v>-1.2006943000000001E-2</c:v>
                </c:pt>
                <c:pt idx="19">
                  <c:v>-1.1014384E-2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AA_pho_ind!$A$11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AA_pho_ind!$B$11:$U$11</c:f>
              <c:numCache>
                <c:formatCode>General</c:formatCode>
                <c:ptCount val="20"/>
                <c:pt idx="0">
                  <c:v>-1.2643022E-2</c:v>
                </c:pt>
                <c:pt idx="1">
                  <c:v>-1.2609776E-2</c:v>
                </c:pt>
                <c:pt idx="2">
                  <c:v>-1.2500716E-2</c:v>
                </c:pt>
                <c:pt idx="3">
                  <c:v>-1.1932561E-2</c:v>
                </c:pt>
                <c:pt idx="4">
                  <c:v>-1.2202073000000001E-2</c:v>
                </c:pt>
                <c:pt idx="5">
                  <c:v>-1.1436379999999999E-2</c:v>
                </c:pt>
                <c:pt idx="6">
                  <c:v>-1.1686129E-2</c:v>
                </c:pt>
                <c:pt idx="7">
                  <c:v>-1.1514391000000001E-2</c:v>
                </c:pt>
                <c:pt idx="8">
                  <c:v>-1.155952E-2</c:v>
                </c:pt>
                <c:pt idx="9">
                  <c:v>-1.1297570999999999E-2</c:v>
                </c:pt>
                <c:pt idx="10">
                  <c:v>-1.0863228000000001E-2</c:v>
                </c:pt>
                <c:pt idx="11">
                  <c:v>-1.1221033E-2</c:v>
                </c:pt>
                <c:pt idx="12">
                  <c:v>-1.0545139E-2</c:v>
                </c:pt>
                <c:pt idx="13">
                  <c:v>-9.9822934999999995E-3</c:v>
                </c:pt>
                <c:pt idx="14">
                  <c:v>-9.8776734000000001E-3</c:v>
                </c:pt>
                <c:pt idx="15">
                  <c:v>-1.0349267000000001E-2</c:v>
                </c:pt>
                <c:pt idx="16">
                  <c:v>-1.0547785E-2</c:v>
                </c:pt>
                <c:pt idx="17">
                  <c:v>-1.1216784E-2</c:v>
                </c:pt>
                <c:pt idx="18">
                  <c:v>-1.2069165E-2</c:v>
                </c:pt>
                <c:pt idx="19">
                  <c:v>-1.2071920999999999E-2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AA_pho_ind!$A$12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AA_pho_ind!$B$12:$U$12</c:f>
              <c:numCache>
                <c:formatCode>General</c:formatCode>
                <c:ptCount val="20"/>
                <c:pt idx="0">
                  <c:v>-8.2502514000000002E-3</c:v>
                </c:pt>
                <c:pt idx="1">
                  <c:v>-7.9125742999999991E-3</c:v>
                </c:pt>
                <c:pt idx="2">
                  <c:v>-7.7424464000000002E-3</c:v>
                </c:pt>
                <c:pt idx="3">
                  <c:v>-7.3241931000000001E-3</c:v>
                </c:pt>
                <c:pt idx="4">
                  <c:v>-7.5146164999999997E-3</c:v>
                </c:pt>
                <c:pt idx="5">
                  <c:v>-7.1957223000000004E-3</c:v>
                </c:pt>
                <c:pt idx="6">
                  <c:v>-7.2838323999999998E-3</c:v>
                </c:pt>
                <c:pt idx="7">
                  <c:v>-7.3905988000000002E-3</c:v>
                </c:pt>
                <c:pt idx="8">
                  <c:v>-7.4550611999999999E-3</c:v>
                </c:pt>
                <c:pt idx="9">
                  <c:v>-7.3411301999999996E-3</c:v>
                </c:pt>
                <c:pt idx="10">
                  <c:v>-7.9164477000000007E-3</c:v>
                </c:pt>
                <c:pt idx="11">
                  <c:v>-7.5695040000000003E-3</c:v>
                </c:pt>
                <c:pt idx="12">
                  <c:v>-7.3322732999999999E-3</c:v>
                </c:pt>
                <c:pt idx="13">
                  <c:v>-7.2346032000000001E-3</c:v>
                </c:pt>
                <c:pt idx="14">
                  <c:v>-7.2279177000000002E-3</c:v>
                </c:pt>
                <c:pt idx="15">
                  <c:v>-7.3882508999999997E-3</c:v>
                </c:pt>
                <c:pt idx="16">
                  <c:v>-7.3744641000000003E-3</c:v>
                </c:pt>
                <c:pt idx="17">
                  <c:v>-7.4986736000000002E-3</c:v>
                </c:pt>
                <c:pt idx="18">
                  <c:v>-7.4260202000000003E-3</c:v>
                </c:pt>
                <c:pt idx="19">
                  <c:v>-7.5383749999999999E-3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AA_pho_ind!$A$13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AA_pho_ind!$B$13:$U$13</c:f>
              <c:numCache>
                <c:formatCode>General</c:formatCode>
                <c:ptCount val="20"/>
                <c:pt idx="0">
                  <c:v>-8.3104362999999997E-3</c:v>
                </c:pt>
                <c:pt idx="1">
                  <c:v>-7.9513964999999992E-3</c:v>
                </c:pt>
                <c:pt idx="2">
                  <c:v>-7.6860356999999997E-3</c:v>
                </c:pt>
                <c:pt idx="3">
                  <c:v>-7.4151508E-3</c:v>
                </c:pt>
                <c:pt idx="4">
                  <c:v>-7.6414971000000002E-3</c:v>
                </c:pt>
                <c:pt idx="5">
                  <c:v>-7.4096535999999998E-3</c:v>
                </c:pt>
                <c:pt idx="6">
                  <c:v>-7.5649204999999999E-3</c:v>
                </c:pt>
                <c:pt idx="7">
                  <c:v>-7.3909316999999997E-3</c:v>
                </c:pt>
                <c:pt idx="8">
                  <c:v>-7.4918064999999999E-3</c:v>
                </c:pt>
                <c:pt idx="9">
                  <c:v>-7.1776434999999998E-3</c:v>
                </c:pt>
                <c:pt idx="10">
                  <c:v>-7.4856033999999997E-3</c:v>
                </c:pt>
                <c:pt idx="11">
                  <c:v>-7.5400694999999997E-3</c:v>
                </c:pt>
                <c:pt idx="12">
                  <c:v>-7.3155067000000001E-3</c:v>
                </c:pt>
                <c:pt idx="13">
                  <c:v>-7.2572892999999998E-3</c:v>
                </c:pt>
                <c:pt idx="14">
                  <c:v>-7.2068096999999996E-3</c:v>
                </c:pt>
                <c:pt idx="15">
                  <c:v>-7.3545253999999999E-3</c:v>
                </c:pt>
                <c:pt idx="16">
                  <c:v>-7.3586474000000004E-3</c:v>
                </c:pt>
                <c:pt idx="17">
                  <c:v>-7.0845378000000004E-3</c:v>
                </c:pt>
                <c:pt idx="18">
                  <c:v>-7.0674861999999996E-3</c:v>
                </c:pt>
                <c:pt idx="19">
                  <c:v>-7.0679039000000003E-3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AA_pho_ind!$A$14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AA_pho_ind!$B$14:$U$14</c:f>
              <c:numCache>
                <c:formatCode>General</c:formatCode>
                <c:ptCount val="20"/>
                <c:pt idx="0">
                  <c:v>-8.4168082000000005E-3</c:v>
                </c:pt>
                <c:pt idx="1">
                  <c:v>-7.9673816999999997E-3</c:v>
                </c:pt>
                <c:pt idx="2">
                  <c:v>-7.9325492999999993E-3</c:v>
                </c:pt>
                <c:pt idx="3">
                  <c:v>-7.5761153999999997E-3</c:v>
                </c:pt>
                <c:pt idx="4">
                  <c:v>-7.9316570999999995E-3</c:v>
                </c:pt>
                <c:pt idx="5">
                  <c:v>-7.7432357E-3</c:v>
                </c:pt>
                <c:pt idx="6">
                  <c:v>-7.7382246999999999E-3</c:v>
                </c:pt>
                <c:pt idx="7">
                  <c:v>-7.4949869999999998E-3</c:v>
                </c:pt>
                <c:pt idx="8">
                  <c:v>-7.6238848000000003E-3</c:v>
                </c:pt>
                <c:pt idx="9">
                  <c:v>-7.5897196999999998E-3</c:v>
                </c:pt>
                <c:pt idx="10">
                  <c:v>-7.8159226000000005E-3</c:v>
                </c:pt>
                <c:pt idx="11">
                  <c:v>-7.6657076999999997E-3</c:v>
                </c:pt>
                <c:pt idx="12">
                  <c:v>-7.5081708E-3</c:v>
                </c:pt>
                <c:pt idx="13">
                  <c:v>-7.4323610999999998E-3</c:v>
                </c:pt>
                <c:pt idx="14">
                  <c:v>-7.4473443000000004E-3</c:v>
                </c:pt>
                <c:pt idx="15">
                  <c:v>-7.6164617000000004E-3</c:v>
                </c:pt>
                <c:pt idx="16">
                  <c:v>-7.6331315000000002E-3</c:v>
                </c:pt>
                <c:pt idx="17">
                  <c:v>-7.6865479E-3</c:v>
                </c:pt>
                <c:pt idx="18">
                  <c:v>-7.5762370000000004E-3</c:v>
                </c:pt>
                <c:pt idx="19">
                  <c:v>-7.6385159000000001E-3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AA_pho_ind!$A$15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AA_pho_ind!$B$15:$U$15</c:f>
              <c:numCache>
                <c:formatCode>General</c:formatCode>
                <c:ptCount val="20"/>
                <c:pt idx="0">
                  <c:v>-8.0752922000000005E-3</c:v>
                </c:pt>
                <c:pt idx="1">
                  <c:v>-8.2383221000000006E-3</c:v>
                </c:pt>
                <c:pt idx="2">
                  <c:v>-8.0918324999999999E-3</c:v>
                </c:pt>
                <c:pt idx="3">
                  <c:v>-7.8901862999999992E-3</c:v>
                </c:pt>
                <c:pt idx="4">
                  <c:v>-7.9924026999999998E-3</c:v>
                </c:pt>
                <c:pt idx="5">
                  <c:v>-7.7221160999999998E-3</c:v>
                </c:pt>
                <c:pt idx="6">
                  <c:v>-8.0439728000000002E-3</c:v>
                </c:pt>
                <c:pt idx="7">
                  <c:v>-7.9220273000000004E-3</c:v>
                </c:pt>
                <c:pt idx="8">
                  <c:v>-7.9683028000000003E-3</c:v>
                </c:pt>
                <c:pt idx="9">
                  <c:v>-7.7062831E-3</c:v>
                </c:pt>
                <c:pt idx="10">
                  <c:v>-8.1619350000000004E-3</c:v>
                </c:pt>
                <c:pt idx="11">
                  <c:v>-8.2567651000000006E-3</c:v>
                </c:pt>
                <c:pt idx="12">
                  <c:v>-8.1725875E-3</c:v>
                </c:pt>
                <c:pt idx="13">
                  <c:v>-8.1003010000000007E-3</c:v>
                </c:pt>
                <c:pt idx="14">
                  <c:v>-7.8717796E-3</c:v>
                </c:pt>
                <c:pt idx="15">
                  <c:v>-7.8972056999999998E-3</c:v>
                </c:pt>
                <c:pt idx="16">
                  <c:v>-7.8006233000000001E-3</c:v>
                </c:pt>
                <c:pt idx="17">
                  <c:v>-7.9002333999999997E-3</c:v>
                </c:pt>
                <c:pt idx="18">
                  <c:v>-7.8040072999999996E-3</c:v>
                </c:pt>
                <c:pt idx="19">
                  <c:v>-7.8185331000000004E-3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AA_pho_ind!$A$16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AA_pho_ind!$B$16:$U$16</c:f>
              <c:numCache>
                <c:formatCode>General</c:formatCode>
                <c:ptCount val="20"/>
                <c:pt idx="0">
                  <c:v>-1.2615191E-2</c:v>
                </c:pt>
                <c:pt idx="1">
                  <c:v>-1.2376649E-2</c:v>
                </c:pt>
                <c:pt idx="2">
                  <c:v>-1.1768631999999999E-2</c:v>
                </c:pt>
                <c:pt idx="3">
                  <c:v>-1.1098385000000001E-2</c:v>
                </c:pt>
                <c:pt idx="4">
                  <c:v>-1.0588801E-2</c:v>
                </c:pt>
                <c:pt idx="5">
                  <c:v>-1.0252155000000001E-2</c:v>
                </c:pt>
                <c:pt idx="6">
                  <c:v>-1.0596912E-2</c:v>
                </c:pt>
                <c:pt idx="7">
                  <c:v>-1.022264E-2</c:v>
                </c:pt>
                <c:pt idx="8">
                  <c:v>-1.0229967E-2</c:v>
                </c:pt>
                <c:pt idx="9">
                  <c:v>-1.0184906000000001E-2</c:v>
                </c:pt>
                <c:pt idx="10">
                  <c:v>-1.0495294E-2</c:v>
                </c:pt>
                <c:pt idx="11">
                  <c:v>-1.1079662000000001E-2</c:v>
                </c:pt>
                <c:pt idx="12">
                  <c:v>-1.1218456E-2</c:v>
                </c:pt>
                <c:pt idx="13">
                  <c:v>-1.1285681000000001E-2</c:v>
                </c:pt>
                <c:pt idx="14">
                  <c:v>-1.0973412E-2</c:v>
                </c:pt>
                <c:pt idx="15">
                  <c:v>-1.0568648999999999E-2</c:v>
                </c:pt>
                <c:pt idx="16">
                  <c:v>-9.9216168999999993E-3</c:v>
                </c:pt>
                <c:pt idx="17">
                  <c:v>-1.0212066000000001E-2</c:v>
                </c:pt>
                <c:pt idx="18">
                  <c:v>-1.062951E-2</c:v>
                </c:pt>
                <c:pt idx="19">
                  <c:v>-1.0854878E-2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AA_pho_ind!$A$17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AA_pho_ind!$B$17:$U$17</c:f>
              <c:numCache>
                <c:formatCode>General</c:formatCode>
                <c:ptCount val="20"/>
                <c:pt idx="0">
                  <c:v>-1.2605668E-2</c:v>
                </c:pt>
                <c:pt idx="1">
                  <c:v>-1.2414552000000001E-2</c:v>
                </c:pt>
                <c:pt idx="2">
                  <c:v>-1.1567034E-2</c:v>
                </c:pt>
                <c:pt idx="3">
                  <c:v>-1.1069842E-2</c:v>
                </c:pt>
                <c:pt idx="4">
                  <c:v>-1.1333670000000001E-2</c:v>
                </c:pt>
                <c:pt idx="5">
                  <c:v>-1.0362296E-2</c:v>
                </c:pt>
                <c:pt idx="6">
                  <c:v>-1.0364424000000001E-2</c:v>
                </c:pt>
                <c:pt idx="7">
                  <c:v>-1.0450233999999999E-2</c:v>
                </c:pt>
                <c:pt idx="8">
                  <c:v>-1.0487431E-2</c:v>
                </c:pt>
                <c:pt idx="9">
                  <c:v>-1.0547663000000001E-2</c:v>
                </c:pt>
                <c:pt idx="10">
                  <c:v>-1.0863434999999999E-2</c:v>
                </c:pt>
                <c:pt idx="11">
                  <c:v>-1.0615237E-2</c:v>
                </c:pt>
                <c:pt idx="12">
                  <c:v>-1.0523032E-2</c:v>
                </c:pt>
                <c:pt idx="13">
                  <c:v>-1.0425202E-2</c:v>
                </c:pt>
                <c:pt idx="14">
                  <c:v>-1.0294757999999999E-2</c:v>
                </c:pt>
                <c:pt idx="15">
                  <c:v>-1.0470119999999999E-2</c:v>
                </c:pt>
                <c:pt idx="16">
                  <c:v>-1.0370025999999999E-2</c:v>
                </c:pt>
                <c:pt idx="17">
                  <c:v>-1.0926562000000001E-2</c:v>
                </c:pt>
                <c:pt idx="18">
                  <c:v>-1.1202073E-2</c:v>
                </c:pt>
                <c:pt idx="19">
                  <c:v>-1.1312598E-2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AA_pho_ind!$A$18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AA_pho_ind!$B$18:$U$18</c:f>
              <c:numCache>
                <c:formatCode>General</c:formatCode>
                <c:ptCount val="20"/>
                <c:pt idx="0">
                  <c:v>-1.3042846E-2</c:v>
                </c:pt>
                <c:pt idx="1">
                  <c:v>-1.3073384E-2</c:v>
                </c:pt>
                <c:pt idx="2">
                  <c:v>-1.2523816E-2</c:v>
                </c:pt>
                <c:pt idx="3">
                  <c:v>-1.1978216999999999E-2</c:v>
                </c:pt>
                <c:pt idx="4">
                  <c:v>-1.208475E-2</c:v>
                </c:pt>
                <c:pt idx="5">
                  <c:v>-1.1723358999999999E-2</c:v>
                </c:pt>
                <c:pt idx="6">
                  <c:v>-1.1936652000000001E-2</c:v>
                </c:pt>
                <c:pt idx="7">
                  <c:v>-1.2041398E-2</c:v>
                </c:pt>
                <c:pt idx="8">
                  <c:v>-1.2223734999999999E-2</c:v>
                </c:pt>
                <c:pt idx="9">
                  <c:v>-1.1831123000000001E-2</c:v>
                </c:pt>
                <c:pt idx="10">
                  <c:v>-1.2071081000000001E-2</c:v>
                </c:pt>
                <c:pt idx="11">
                  <c:v>-1.2296071E-2</c:v>
                </c:pt>
                <c:pt idx="12">
                  <c:v>-1.2244985E-2</c:v>
                </c:pt>
                <c:pt idx="13">
                  <c:v>-1.2120519999999999E-2</c:v>
                </c:pt>
                <c:pt idx="14">
                  <c:v>-1.1627576000000001E-2</c:v>
                </c:pt>
                <c:pt idx="15">
                  <c:v>-1.1496195000000001E-2</c:v>
                </c:pt>
                <c:pt idx="16">
                  <c:v>-1.1385662E-2</c:v>
                </c:pt>
                <c:pt idx="17">
                  <c:v>-1.1912046000000001E-2</c:v>
                </c:pt>
                <c:pt idx="18">
                  <c:v>-1.2285658E-2</c:v>
                </c:pt>
                <c:pt idx="19">
                  <c:v>-1.2083518999999999E-2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AA_pho_ind!$A$19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AA_pho_ind!$B$19:$U$19</c:f>
              <c:numCache>
                <c:formatCode>General</c:formatCode>
                <c:ptCount val="20"/>
                <c:pt idx="0">
                  <c:v>-1.2764058999999999E-2</c:v>
                </c:pt>
                <c:pt idx="1">
                  <c:v>-1.2616015E-2</c:v>
                </c:pt>
                <c:pt idx="2">
                  <c:v>-1.1674597E-2</c:v>
                </c:pt>
                <c:pt idx="3">
                  <c:v>-1.0823737E-2</c:v>
                </c:pt>
                <c:pt idx="4">
                  <c:v>-1.0457721999999999E-2</c:v>
                </c:pt>
                <c:pt idx="5">
                  <c:v>-9.6510378999999993E-3</c:v>
                </c:pt>
                <c:pt idx="6">
                  <c:v>-9.8251784000000005E-3</c:v>
                </c:pt>
                <c:pt idx="7">
                  <c:v>-9.3169398999999996E-3</c:v>
                </c:pt>
                <c:pt idx="8">
                  <c:v>-9.1819875000000006E-3</c:v>
                </c:pt>
                <c:pt idx="9">
                  <c:v>-8.7833144000000005E-3</c:v>
                </c:pt>
                <c:pt idx="10">
                  <c:v>-9.2675182999999994E-3</c:v>
                </c:pt>
                <c:pt idx="11">
                  <c:v>-9.4465408000000001E-3</c:v>
                </c:pt>
                <c:pt idx="12">
                  <c:v>-8.7863448999999996E-3</c:v>
                </c:pt>
                <c:pt idx="13">
                  <c:v>-9.1400361000000003E-3</c:v>
                </c:pt>
                <c:pt idx="14">
                  <c:v>-9.1295661E-3</c:v>
                </c:pt>
                <c:pt idx="15">
                  <c:v>-9.4145415E-3</c:v>
                </c:pt>
                <c:pt idx="16">
                  <c:v>-9.2009212999999996E-3</c:v>
                </c:pt>
                <c:pt idx="17">
                  <c:v>-9.2608146000000002E-3</c:v>
                </c:pt>
                <c:pt idx="18">
                  <c:v>-9.6707110999999998E-3</c:v>
                </c:pt>
                <c:pt idx="19">
                  <c:v>-9.7126467000000008E-3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AA_pho_ind!$A$20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AA_pho_ind!$B$20:$U$20</c:f>
              <c:numCache>
                <c:formatCode>General</c:formatCode>
                <c:ptCount val="20"/>
                <c:pt idx="0">
                  <c:v>-1.2414543E-2</c:v>
                </c:pt>
                <c:pt idx="1">
                  <c:v>-1.2383896E-2</c:v>
                </c:pt>
                <c:pt idx="2">
                  <c:v>-1.1483067E-2</c:v>
                </c:pt>
                <c:pt idx="3">
                  <c:v>-1.0812323E-2</c:v>
                </c:pt>
                <c:pt idx="4">
                  <c:v>-1.0718959E-2</c:v>
                </c:pt>
                <c:pt idx="5">
                  <c:v>-9.8005217000000002E-3</c:v>
                </c:pt>
                <c:pt idx="6">
                  <c:v>-9.8907687000000001E-3</c:v>
                </c:pt>
                <c:pt idx="7">
                  <c:v>-9.8533639999999999E-3</c:v>
                </c:pt>
                <c:pt idx="8">
                  <c:v>-9.4079356999999999E-3</c:v>
                </c:pt>
                <c:pt idx="9">
                  <c:v>-9.0945269999999998E-3</c:v>
                </c:pt>
                <c:pt idx="10">
                  <c:v>-9.7359036999999995E-3</c:v>
                </c:pt>
                <c:pt idx="11">
                  <c:v>-9.9932682000000005E-3</c:v>
                </c:pt>
                <c:pt idx="12">
                  <c:v>-9.4658368999999999E-3</c:v>
                </c:pt>
                <c:pt idx="13">
                  <c:v>-9.6501847999999994E-3</c:v>
                </c:pt>
                <c:pt idx="14">
                  <c:v>-9.6787288999999992E-3</c:v>
                </c:pt>
                <c:pt idx="15">
                  <c:v>-9.7245425000000007E-3</c:v>
                </c:pt>
                <c:pt idx="16">
                  <c:v>-9.5555213999999992E-3</c:v>
                </c:pt>
                <c:pt idx="17">
                  <c:v>-9.9310632999999992E-3</c:v>
                </c:pt>
                <c:pt idx="18">
                  <c:v>-1.0138103000000001E-2</c:v>
                </c:pt>
                <c:pt idx="19">
                  <c:v>-1.0299301E-2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AA_pho_ind!$A$21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AA_pho_ind!$B$21:$U$21</c:f>
              <c:numCache>
                <c:formatCode>General</c:formatCode>
                <c:ptCount val="20"/>
                <c:pt idx="0">
                  <c:v>-1.2463695E-2</c:v>
                </c:pt>
                <c:pt idx="1">
                  <c:v>-1.2438205000000001E-2</c:v>
                </c:pt>
                <c:pt idx="2">
                  <c:v>-1.1518230000000001E-2</c:v>
                </c:pt>
                <c:pt idx="3">
                  <c:v>-1.071751E-2</c:v>
                </c:pt>
                <c:pt idx="4">
                  <c:v>-1.0584277E-2</c:v>
                </c:pt>
                <c:pt idx="5">
                  <c:v>-9.8581966000000007E-3</c:v>
                </c:pt>
                <c:pt idx="6">
                  <c:v>-1.0166542000000001E-2</c:v>
                </c:pt>
                <c:pt idx="7">
                  <c:v>-9.7381072000000003E-3</c:v>
                </c:pt>
                <c:pt idx="8">
                  <c:v>-9.7945640000000004E-3</c:v>
                </c:pt>
                <c:pt idx="9">
                  <c:v>-9.2137800999999991E-3</c:v>
                </c:pt>
                <c:pt idx="10">
                  <c:v>-9.9079404000000006E-3</c:v>
                </c:pt>
                <c:pt idx="11">
                  <c:v>-9.9843833999999996E-3</c:v>
                </c:pt>
                <c:pt idx="12">
                  <c:v>-9.5652471999999999E-3</c:v>
                </c:pt>
                <c:pt idx="13">
                  <c:v>-9.6104080000000008E-3</c:v>
                </c:pt>
                <c:pt idx="14">
                  <c:v>-9.8780802999999997E-3</c:v>
                </c:pt>
                <c:pt idx="15">
                  <c:v>-1.0033431000000001E-2</c:v>
                </c:pt>
                <c:pt idx="16">
                  <c:v>-9.6795699000000006E-3</c:v>
                </c:pt>
                <c:pt idx="17">
                  <c:v>-9.8480367999999995E-3</c:v>
                </c:pt>
                <c:pt idx="18">
                  <c:v>-9.9250823000000005E-3</c:v>
                </c:pt>
                <c:pt idx="19">
                  <c:v>-1.0019561999999999E-2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AA_pho_ind!$A$22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AA_pho_ind!$B$22:$U$22</c:f>
              <c:numCache>
                <c:formatCode>General</c:formatCode>
                <c:ptCount val="20"/>
                <c:pt idx="0">
                  <c:v>-1.2405388E-2</c:v>
                </c:pt>
                <c:pt idx="1">
                  <c:v>-1.2356499999999999E-2</c:v>
                </c:pt>
                <c:pt idx="2">
                  <c:v>-1.128403E-2</c:v>
                </c:pt>
                <c:pt idx="3">
                  <c:v>-1.0480114E-2</c:v>
                </c:pt>
                <c:pt idx="4">
                  <c:v>-1.0393757E-2</c:v>
                </c:pt>
                <c:pt idx="5">
                  <c:v>-9.5902708999999996E-3</c:v>
                </c:pt>
                <c:pt idx="6">
                  <c:v>-9.6369507000000007E-3</c:v>
                </c:pt>
                <c:pt idx="7">
                  <c:v>-9.4608738999999997E-3</c:v>
                </c:pt>
                <c:pt idx="8">
                  <c:v>-9.2913071E-3</c:v>
                </c:pt>
                <c:pt idx="9">
                  <c:v>-8.9567312999999996E-3</c:v>
                </c:pt>
                <c:pt idx="10">
                  <c:v>-9.7689106999999994E-3</c:v>
                </c:pt>
                <c:pt idx="11">
                  <c:v>-9.8390300000000003E-3</c:v>
                </c:pt>
                <c:pt idx="12">
                  <c:v>-9.3614644999999996E-3</c:v>
                </c:pt>
                <c:pt idx="13">
                  <c:v>-9.3157551999999994E-3</c:v>
                </c:pt>
                <c:pt idx="14">
                  <c:v>-9.419363E-3</c:v>
                </c:pt>
                <c:pt idx="15">
                  <c:v>-9.3765371000000004E-3</c:v>
                </c:pt>
                <c:pt idx="16">
                  <c:v>-9.0701114000000006E-3</c:v>
                </c:pt>
                <c:pt idx="17">
                  <c:v>-9.5222080000000008E-3</c:v>
                </c:pt>
                <c:pt idx="18">
                  <c:v>-9.9129992999999993E-3</c:v>
                </c:pt>
                <c:pt idx="19">
                  <c:v>-9.9555514999999997E-3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AA_pho_ind!$A$23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AA_pho_ind!$B$23:$U$23</c:f>
              <c:numCache>
                <c:formatCode>General</c:formatCode>
                <c:ptCount val="20"/>
                <c:pt idx="0">
                  <c:v>-1.2451220000000001E-2</c:v>
                </c:pt>
                <c:pt idx="1">
                  <c:v>-1.2434855999999999E-2</c:v>
                </c:pt>
                <c:pt idx="2">
                  <c:v>-1.150268E-2</c:v>
                </c:pt>
                <c:pt idx="3">
                  <c:v>-1.0891349E-2</c:v>
                </c:pt>
                <c:pt idx="4">
                  <c:v>-1.0696509999999999E-2</c:v>
                </c:pt>
                <c:pt idx="5">
                  <c:v>-9.8057509999999997E-3</c:v>
                </c:pt>
                <c:pt idx="6">
                  <c:v>-1.0054721000000001E-2</c:v>
                </c:pt>
                <c:pt idx="7">
                  <c:v>-9.7413919999999998E-3</c:v>
                </c:pt>
                <c:pt idx="8">
                  <c:v>-9.5618768000000007E-3</c:v>
                </c:pt>
                <c:pt idx="9">
                  <c:v>-9.1988081000000006E-3</c:v>
                </c:pt>
                <c:pt idx="10">
                  <c:v>-9.8196668999999993E-3</c:v>
                </c:pt>
                <c:pt idx="11">
                  <c:v>-9.8740384E-3</c:v>
                </c:pt>
                <c:pt idx="12">
                  <c:v>-9.5406324000000004E-3</c:v>
                </c:pt>
                <c:pt idx="13">
                  <c:v>-9.3100023999999997E-3</c:v>
                </c:pt>
                <c:pt idx="14">
                  <c:v>-9.3859042999999993E-3</c:v>
                </c:pt>
                <c:pt idx="15">
                  <c:v>-1.0001029E-2</c:v>
                </c:pt>
                <c:pt idx="16">
                  <c:v>-9.8168150999999992E-3</c:v>
                </c:pt>
                <c:pt idx="17">
                  <c:v>-1.019424E-2</c:v>
                </c:pt>
                <c:pt idx="18">
                  <c:v>-1.0137344E-2</c:v>
                </c:pt>
                <c:pt idx="19">
                  <c:v>-1.0138678999999999E-2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AA_pho_ind!$A$24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AA_pho_ind!$B$24:$U$24</c:f>
              <c:numCache>
                <c:formatCode>General</c:formatCode>
                <c:ptCount val="20"/>
                <c:pt idx="0">
                  <c:v>-1.2319553E-2</c:v>
                </c:pt>
                <c:pt idx="1">
                  <c:v>-1.2243436999999999E-2</c:v>
                </c:pt>
                <c:pt idx="2">
                  <c:v>-1.1209833000000001E-2</c:v>
                </c:pt>
                <c:pt idx="3">
                  <c:v>-1.025379E-2</c:v>
                </c:pt>
                <c:pt idx="4">
                  <c:v>-1.0175478E-2</c:v>
                </c:pt>
                <c:pt idx="5">
                  <c:v>-9.3571581000000004E-3</c:v>
                </c:pt>
                <c:pt idx="6">
                  <c:v>-9.2897136000000009E-3</c:v>
                </c:pt>
                <c:pt idx="7">
                  <c:v>-9.4471591999999993E-3</c:v>
                </c:pt>
                <c:pt idx="8">
                  <c:v>-9.1001503000000001E-3</c:v>
                </c:pt>
                <c:pt idx="9">
                  <c:v>-9.0403798999999993E-3</c:v>
                </c:pt>
                <c:pt idx="10">
                  <c:v>-9.7918239999999993E-3</c:v>
                </c:pt>
                <c:pt idx="11">
                  <c:v>-1.0107858000000001E-2</c:v>
                </c:pt>
                <c:pt idx="12">
                  <c:v>-9.6547659000000008E-3</c:v>
                </c:pt>
                <c:pt idx="13">
                  <c:v>-9.4290702000000004E-3</c:v>
                </c:pt>
                <c:pt idx="14">
                  <c:v>-9.2160003000000008E-3</c:v>
                </c:pt>
                <c:pt idx="15">
                  <c:v>-9.4871065000000001E-3</c:v>
                </c:pt>
                <c:pt idx="16">
                  <c:v>-9.2086093999999997E-3</c:v>
                </c:pt>
                <c:pt idx="17">
                  <c:v>-9.3801756999999999E-3</c:v>
                </c:pt>
                <c:pt idx="18">
                  <c:v>-9.7976456999999996E-3</c:v>
                </c:pt>
                <c:pt idx="19">
                  <c:v>-9.7988611000000003E-3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AA_pho_ind!$A$25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AA_pho_ind!$B$25:$U$25</c:f>
              <c:numCache>
                <c:formatCode>General</c:formatCode>
                <c:ptCount val="20"/>
                <c:pt idx="0">
                  <c:v>-1.2304641E-2</c:v>
                </c:pt>
                <c:pt idx="1">
                  <c:v>-1.2270424E-2</c:v>
                </c:pt>
                <c:pt idx="2">
                  <c:v>-1.1303463E-2</c:v>
                </c:pt>
                <c:pt idx="3">
                  <c:v>-1.0487569E-2</c:v>
                </c:pt>
                <c:pt idx="4">
                  <c:v>-1.0347156999999999E-2</c:v>
                </c:pt>
                <c:pt idx="5">
                  <c:v>-9.4845295E-3</c:v>
                </c:pt>
                <c:pt idx="6">
                  <c:v>-9.6532450999999991E-3</c:v>
                </c:pt>
                <c:pt idx="7">
                  <c:v>-9.4562927000000005E-3</c:v>
                </c:pt>
                <c:pt idx="8">
                  <c:v>-9.1527533000000001E-3</c:v>
                </c:pt>
                <c:pt idx="9">
                  <c:v>-8.8247042000000001E-3</c:v>
                </c:pt>
                <c:pt idx="10">
                  <c:v>-9.5287757000000004E-3</c:v>
                </c:pt>
                <c:pt idx="11">
                  <c:v>-9.8860217000000007E-3</c:v>
                </c:pt>
                <c:pt idx="12">
                  <c:v>-9.1794896999999997E-3</c:v>
                </c:pt>
                <c:pt idx="13">
                  <c:v>-9.3035511999999994E-3</c:v>
                </c:pt>
                <c:pt idx="14">
                  <c:v>-9.3943896000000006E-3</c:v>
                </c:pt>
                <c:pt idx="15">
                  <c:v>-9.5216100999999994E-3</c:v>
                </c:pt>
                <c:pt idx="16">
                  <c:v>-9.3856323999999998E-3</c:v>
                </c:pt>
                <c:pt idx="17">
                  <c:v>-9.8460969000000002E-3</c:v>
                </c:pt>
                <c:pt idx="18">
                  <c:v>-1.0065523999999999E-2</c:v>
                </c:pt>
                <c:pt idx="19">
                  <c:v>-9.9779832999999998E-3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AA_pho_ind!$A$26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AA_pho_ind!$B$26:$U$26</c:f>
              <c:numCache>
                <c:formatCode>General</c:formatCode>
                <c:ptCount val="20"/>
                <c:pt idx="0">
                  <c:v>-1.2781364E-2</c:v>
                </c:pt>
                <c:pt idx="1">
                  <c:v>-1.2941329999999999E-2</c:v>
                </c:pt>
                <c:pt idx="2">
                  <c:v>-1.2299361E-2</c:v>
                </c:pt>
                <c:pt idx="3">
                  <c:v>-1.1622194000000001E-2</c:v>
                </c:pt>
                <c:pt idx="4">
                  <c:v>-1.1669628E-2</c:v>
                </c:pt>
                <c:pt idx="5">
                  <c:v>-1.0801913999999999E-2</c:v>
                </c:pt>
                <c:pt idx="6">
                  <c:v>-1.1189773E-2</c:v>
                </c:pt>
                <c:pt idx="7">
                  <c:v>-1.0544754E-2</c:v>
                </c:pt>
                <c:pt idx="8">
                  <c:v>-1.0557519E-2</c:v>
                </c:pt>
                <c:pt idx="9">
                  <c:v>-9.7028323999999999E-3</c:v>
                </c:pt>
                <c:pt idx="10">
                  <c:v>-1.0012323E-2</c:v>
                </c:pt>
                <c:pt idx="11">
                  <c:v>-1.0319306E-2</c:v>
                </c:pt>
                <c:pt idx="12">
                  <c:v>-1.0045724000000001E-2</c:v>
                </c:pt>
                <c:pt idx="13">
                  <c:v>-9.8514007000000004E-3</c:v>
                </c:pt>
                <c:pt idx="14">
                  <c:v>-9.2406430999999994E-3</c:v>
                </c:pt>
                <c:pt idx="15">
                  <c:v>-9.3840481999999999E-3</c:v>
                </c:pt>
                <c:pt idx="16">
                  <c:v>-8.9279404000000007E-3</c:v>
                </c:pt>
                <c:pt idx="17">
                  <c:v>-8.6356187000000001E-3</c:v>
                </c:pt>
                <c:pt idx="18">
                  <c:v>-9.0222266000000006E-3</c:v>
                </c:pt>
                <c:pt idx="19">
                  <c:v>-9.1318692999999996E-3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AA_pho_ind!$A$27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AA_pho_ind!$B$27:$U$27</c:f>
              <c:numCache>
                <c:formatCode>General</c:formatCode>
                <c:ptCount val="20"/>
                <c:pt idx="0">
                  <c:v>-1.2679215000000001E-2</c:v>
                </c:pt>
                <c:pt idx="1">
                  <c:v>-1.2692939E-2</c:v>
                </c:pt>
                <c:pt idx="2">
                  <c:v>-1.1871886999999999E-2</c:v>
                </c:pt>
                <c:pt idx="3">
                  <c:v>-1.1173153E-2</c:v>
                </c:pt>
                <c:pt idx="4">
                  <c:v>-1.1196230999999999E-2</c:v>
                </c:pt>
                <c:pt idx="5">
                  <c:v>-1.0568315E-2</c:v>
                </c:pt>
                <c:pt idx="6">
                  <c:v>-1.0765393E-2</c:v>
                </c:pt>
                <c:pt idx="7">
                  <c:v>-1.0415914E-2</c:v>
                </c:pt>
                <c:pt idx="8">
                  <c:v>-1.0224864E-2</c:v>
                </c:pt>
                <c:pt idx="9">
                  <c:v>-9.8568816000000007E-3</c:v>
                </c:pt>
                <c:pt idx="10">
                  <c:v>-1.0346009E-2</c:v>
                </c:pt>
                <c:pt idx="11">
                  <c:v>-1.0105269E-2</c:v>
                </c:pt>
                <c:pt idx="12">
                  <c:v>-9.4717256999999992E-3</c:v>
                </c:pt>
                <c:pt idx="13">
                  <c:v>-9.6210976999999993E-3</c:v>
                </c:pt>
                <c:pt idx="14">
                  <c:v>-9.7801024000000007E-3</c:v>
                </c:pt>
                <c:pt idx="15">
                  <c:v>-9.8834075E-3</c:v>
                </c:pt>
                <c:pt idx="16">
                  <c:v>-9.8514818000000007E-3</c:v>
                </c:pt>
                <c:pt idx="17">
                  <c:v>-9.5691019999999995E-3</c:v>
                </c:pt>
                <c:pt idx="18">
                  <c:v>-9.7772394999999998E-3</c:v>
                </c:pt>
                <c:pt idx="19">
                  <c:v>-9.7702694999999996E-3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AA_pho_ind!$A$28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AA_pho_ind!$B$28:$U$28</c:f>
              <c:numCache>
                <c:formatCode>General</c:formatCode>
                <c:ptCount val="20"/>
                <c:pt idx="0">
                  <c:v>-1.2713403E-2</c:v>
                </c:pt>
                <c:pt idx="1">
                  <c:v>-1.2755673E-2</c:v>
                </c:pt>
                <c:pt idx="2">
                  <c:v>-1.1921126000000001E-2</c:v>
                </c:pt>
                <c:pt idx="3">
                  <c:v>-1.1199189999999999E-2</c:v>
                </c:pt>
                <c:pt idx="4">
                  <c:v>-1.1072022000000001E-2</c:v>
                </c:pt>
                <c:pt idx="5">
                  <c:v>-1.0461028000000001E-2</c:v>
                </c:pt>
                <c:pt idx="6">
                  <c:v>-1.0401545E-2</c:v>
                </c:pt>
                <c:pt idx="7">
                  <c:v>-1.0474529999999999E-2</c:v>
                </c:pt>
                <c:pt idx="8">
                  <c:v>-1.0292249999999999E-2</c:v>
                </c:pt>
                <c:pt idx="9">
                  <c:v>-9.6146063999999996E-3</c:v>
                </c:pt>
                <c:pt idx="10">
                  <c:v>-9.7671318999999999E-3</c:v>
                </c:pt>
                <c:pt idx="11">
                  <c:v>-9.7273429999999994E-3</c:v>
                </c:pt>
                <c:pt idx="12">
                  <c:v>-9.1820163999999996E-3</c:v>
                </c:pt>
                <c:pt idx="13">
                  <c:v>-9.1521134999999997E-3</c:v>
                </c:pt>
                <c:pt idx="14">
                  <c:v>-9.1708107000000004E-3</c:v>
                </c:pt>
                <c:pt idx="15">
                  <c:v>-9.2327808999999993E-3</c:v>
                </c:pt>
                <c:pt idx="16">
                  <c:v>-9.2408079999999997E-3</c:v>
                </c:pt>
                <c:pt idx="17">
                  <c:v>-9.4121712999999992E-3</c:v>
                </c:pt>
                <c:pt idx="18">
                  <c:v>-9.7258733999999996E-3</c:v>
                </c:pt>
                <c:pt idx="19">
                  <c:v>-9.7244176999999998E-3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AA_pho_ind!$A$29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AA_pho_ind!$B$29:$U$29</c:f>
              <c:numCache>
                <c:formatCode>General</c:formatCode>
                <c:ptCount val="20"/>
                <c:pt idx="0">
                  <c:v>-1.2565177E-2</c:v>
                </c:pt>
                <c:pt idx="1">
                  <c:v>-1.2681679E-2</c:v>
                </c:pt>
                <c:pt idx="2">
                  <c:v>-1.2559528E-2</c:v>
                </c:pt>
                <c:pt idx="3">
                  <c:v>-1.2448005E-2</c:v>
                </c:pt>
                <c:pt idx="4">
                  <c:v>-1.3081963E-2</c:v>
                </c:pt>
                <c:pt idx="5">
                  <c:v>-1.3201864000000001E-2</c:v>
                </c:pt>
                <c:pt idx="6">
                  <c:v>-1.4200452000000001E-2</c:v>
                </c:pt>
                <c:pt idx="7">
                  <c:v>-1.4722528E-2</c:v>
                </c:pt>
                <c:pt idx="8">
                  <c:v>-1.497424E-2</c:v>
                </c:pt>
                <c:pt idx="9">
                  <c:v>-1.5754537999999998E-2</c:v>
                </c:pt>
                <c:pt idx="10">
                  <c:v>-1.4931345E-2</c:v>
                </c:pt>
                <c:pt idx="11">
                  <c:v>-1.5023833E-2</c:v>
                </c:pt>
                <c:pt idx="12">
                  <c:v>-1.5339716999999999E-2</c:v>
                </c:pt>
                <c:pt idx="13">
                  <c:v>-1.5291587000000001E-2</c:v>
                </c:pt>
                <c:pt idx="14">
                  <c:v>-1.4954281E-2</c:v>
                </c:pt>
                <c:pt idx="15">
                  <c:v>-1.4956855999999999E-2</c:v>
                </c:pt>
                <c:pt idx="16">
                  <c:v>-1.4427333000000001E-2</c:v>
                </c:pt>
                <c:pt idx="17">
                  <c:v>-1.4369231999999999E-2</c:v>
                </c:pt>
                <c:pt idx="18">
                  <c:v>-1.4662352E-2</c:v>
                </c:pt>
                <c:pt idx="19">
                  <c:v>-1.4626808E-2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AA_pho_ind!$A$30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AA_pho_ind!$B$30:$U$30</c:f>
              <c:numCache>
                <c:formatCode>General</c:formatCode>
                <c:ptCount val="20"/>
                <c:pt idx="0">
                  <c:v>-1.0929069E-2</c:v>
                </c:pt>
                <c:pt idx="1">
                  <c:v>-1.0688568000000001E-2</c:v>
                </c:pt>
                <c:pt idx="2">
                  <c:v>-9.5772155999999994E-3</c:v>
                </c:pt>
                <c:pt idx="3">
                  <c:v>-9.0434001999999993E-3</c:v>
                </c:pt>
                <c:pt idx="4">
                  <c:v>-8.7841544000000008E-3</c:v>
                </c:pt>
                <c:pt idx="5">
                  <c:v>-7.8805247000000005E-3</c:v>
                </c:pt>
                <c:pt idx="6">
                  <c:v>-7.5909584000000002E-3</c:v>
                </c:pt>
                <c:pt idx="7">
                  <c:v>-7.5452859000000004E-3</c:v>
                </c:pt>
                <c:pt idx="8">
                  <c:v>-7.3228403999999999E-3</c:v>
                </c:pt>
                <c:pt idx="9">
                  <c:v>-7.0400545000000002E-3</c:v>
                </c:pt>
                <c:pt idx="10">
                  <c:v>-7.9459986000000003E-3</c:v>
                </c:pt>
                <c:pt idx="11">
                  <c:v>-8.1884693000000008E-3</c:v>
                </c:pt>
                <c:pt idx="12">
                  <c:v>-7.5369547E-3</c:v>
                </c:pt>
                <c:pt idx="13">
                  <c:v>-7.4789039999999998E-3</c:v>
                </c:pt>
                <c:pt idx="14">
                  <c:v>-7.4736433999999996E-3</c:v>
                </c:pt>
                <c:pt idx="15">
                  <c:v>-7.5883799999999996E-3</c:v>
                </c:pt>
                <c:pt idx="16">
                  <c:v>-7.5368453E-3</c:v>
                </c:pt>
                <c:pt idx="17">
                  <c:v>-7.8015551000000004E-3</c:v>
                </c:pt>
                <c:pt idx="18">
                  <c:v>-8.1716672999999993E-3</c:v>
                </c:pt>
                <c:pt idx="19">
                  <c:v>-8.1883213000000007E-3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AA_pho_ind!$A$31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AA_pho_ind!$B$31:$U$31</c:f>
              <c:numCache>
                <c:formatCode>General</c:formatCode>
                <c:ptCount val="20"/>
                <c:pt idx="0">
                  <c:v>-1.1651528E-2</c:v>
                </c:pt>
                <c:pt idx="1">
                  <c:v>-1.2238963E-2</c:v>
                </c:pt>
                <c:pt idx="2">
                  <c:v>-1.2395428E-2</c:v>
                </c:pt>
                <c:pt idx="3">
                  <c:v>-1.2339457999999999E-2</c:v>
                </c:pt>
                <c:pt idx="4">
                  <c:v>-1.2563764999999999E-2</c:v>
                </c:pt>
                <c:pt idx="5">
                  <c:v>-1.2041665999999999E-2</c:v>
                </c:pt>
                <c:pt idx="6">
                  <c:v>-1.2523128E-2</c:v>
                </c:pt>
                <c:pt idx="7">
                  <c:v>-1.2407639999999999E-2</c:v>
                </c:pt>
                <c:pt idx="8">
                  <c:v>-1.2351365E-2</c:v>
                </c:pt>
                <c:pt idx="9">
                  <c:v>-1.2113753999999999E-2</c:v>
                </c:pt>
                <c:pt idx="10">
                  <c:v>-1.2390478E-2</c:v>
                </c:pt>
                <c:pt idx="11">
                  <c:v>-1.2519544000000001E-2</c:v>
                </c:pt>
                <c:pt idx="12">
                  <c:v>-1.2409158999999999E-2</c:v>
                </c:pt>
                <c:pt idx="13">
                  <c:v>-1.2671533E-2</c:v>
                </c:pt>
                <c:pt idx="14">
                  <c:v>-1.2522083E-2</c:v>
                </c:pt>
                <c:pt idx="15">
                  <c:v>-1.2751658000000001E-2</c:v>
                </c:pt>
                <c:pt idx="16">
                  <c:v>-1.2317781E-2</c:v>
                </c:pt>
                <c:pt idx="17">
                  <c:v>-1.2424121E-2</c:v>
                </c:pt>
                <c:pt idx="18">
                  <c:v>-1.2456276000000001E-2</c:v>
                </c:pt>
                <c:pt idx="19">
                  <c:v>-1.2807021E-2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AA_pho_ind!$A$32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AA_pho_ind!$B$32:$U$32</c:f>
              <c:numCache>
                <c:formatCode>General</c:formatCode>
                <c:ptCount val="20"/>
                <c:pt idx="0">
                  <c:v>-1.1416337E-2</c:v>
                </c:pt>
                <c:pt idx="1">
                  <c:v>-1.1313843000000001E-2</c:v>
                </c:pt>
                <c:pt idx="2">
                  <c:v>-9.9357887999999995E-3</c:v>
                </c:pt>
                <c:pt idx="3">
                  <c:v>-8.6513069000000008E-3</c:v>
                </c:pt>
                <c:pt idx="4">
                  <c:v>-8.5298577000000007E-3</c:v>
                </c:pt>
                <c:pt idx="5">
                  <c:v>-8.2180033999999999E-3</c:v>
                </c:pt>
                <c:pt idx="6">
                  <c:v>-8.0481571999999994E-3</c:v>
                </c:pt>
                <c:pt idx="7">
                  <c:v>-7.7863209999999997E-3</c:v>
                </c:pt>
                <c:pt idx="8">
                  <c:v>-7.4069705000000003E-3</c:v>
                </c:pt>
                <c:pt idx="9">
                  <c:v>-6.6193481999999998E-3</c:v>
                </c:pt>
                <c:pt idx="10">
                  <c:v>-6.6629271000000004E-3</c:v>
                </c:pt>
                <c:pt idx="11">
                  <c:v>-6.9209257999999999E-3</c:v>
                </c:pt>
                <c:pt idx="12">
                  <c:v>-6.0495719999999996E-3</c:v>
                </c:pt>
                <c:pt idx="13">
                  <c:v>-6.5970546999999996E-3</c:v>
                </c:pt>
                <c:pt idx="14">
                  <c:v>-6.3600753999999999E-3</c:v>
                </c:pt>
                <c:pt idx="15">
                  <c:v>-7.0562973000000001E-3</c:v>
                </c:pt>
                <c:pt idx="16">
                  <c:v>-7.0328865999999997E-3</c:v>
                </c:pt>
                <c:pt idx="17">
                  <c:v>-7.2954502000000003E-3</c:v>
                </c:pt>
                <c:pt idx="18">
                  <c:v>-7.6389116999999998E-3</c:v>
                </c:pt>
                <c:pt idx="19">
                  <c:v>-7.6389116999999998E-3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AA_pho_ind!$A$33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AA_pho_ind!$B$33:$U$33</c:f>
              <c:numCache>
                <c:formatCode>General</c:formatCode>
                <c:ptCount val="20"/>
                <c:pt idx="0">
                  <c:v>-1.1458451999999999E-2</c:v>
                </c:pt>
                <c:pt idx="1">
                  <c:v>-1.1012635999999999E-2</c:v>
                </c:pt>
                <c:pt idx="2">
                  <c:v>-1.0114128E-2</c:v>
                </c:pt>
                <c:pt idx="3">
                  <c:v>-9.4153145000000008E-3</c:v>
                </c:pt>
                <c:pt idx="4">
                  <c:v>-9.5699709000000004E-3</c:v>
                </c:pt>
                <c:pt idx="5">
                  <c:v>-9.2289215000000008E-3</c:v>
                </c:pt>
                <c:pt idx="6">
                  <c:v>-9.6522979000000005E-3</c:v>
                </c:pt>
                <c:pt idx="7">
                  <c:v>-9.4185788000000006E-3</c:v>
                </c:pt>
                <c:pt idx="8">
                  <c:v>-9.2220827999999998E-3</c:v>
                </c:pt>
                <c:pt idx="9">
                  <c:v>-9.4561577000000004E-3</c:v>
                </c:pt>
                <c:pt idx="10">
                  <c:v>-1.0677114E-2</c:v>
                </c:pt>
                <c:pt idx="11">
                  <c:v>-1.056179E-2</c:v>
                </c:pt>
                <c:pt idx="12">
                  <c:v>-1.0189577999999999E-2</c:v>
                </c:pt>
                <c:pt idx="13">
                  <c:v>-1.1031348E-2</c:v>
                </c:pt>
                <c:pt idx="14">
                  <c:v>-1.1503161E-2</c:v>
                </c:pt>
                <c:pt idx="15">
                  <c:v>-1.0491032000000001E-2</c:v>
                </c:pt>
                <c:pt idx="16">
                  <c:v>-1.0597064999999999E-2</c:v>
                </c:pt>
                <c:pt idx="17">
                  <c:v>-1.0869906E-2</c:v>
                </c:pt>
                <c:pt idx="18">
                  <c:v>-1.1119551E-2</c:v>
                </c:pt>
                <c:pt idx="19">
                  <c:v>-1.1117324E-2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AA_pho_ind!$A$34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AA_pho_ind!$B$34:$U$34</c:f>
              <c:numCache>
                <c:formatCode>General</c:formatCode>
                <c:ptCount val="20"/>
                <c:pt idx="0">
                  <c:v>-1.1472715E-2</c:v>
                </c:pt>
                <c:pt idx="1">
                  <c:v>-1.1016161E-2</c:v>
                </c:pt>
                <c:pt idx="2">
                  <c:v>-1.0106313E-2</c:v>
                </c:pt>
                <c:pt idx="3">
                  <c:v>-9.3739246999999994E-3</c:v>
                </c:pt>
                <c:pt idx="4">
                  <c:v>-9.7898989999999995E-3</c:v>
                </c:pt>
                <c:pt idx="5">
                  <c:v>-9.4271870000000001E-3</c:v>
                </c:pt>
                <c:pt idx="6">
                  <c:v>-9.6456519999999994E-3</c:v>
                </c:pt>
                <c:pt idx="7">
                  <c:v>-9.8145352999999998E-3</c:v>
                </c:pt>
                <c:pt idx="8">
                  <c:v>-9.5980884999999991E-3</c:v>
                </c:pt>
                <c:pt idx="9">
                  <c:v>-9.6525932000000002E-3</c:v>
                </c:pt>
                <c:pt idx="10">
                  <c:v>-9.2037357E-3</c:v>
                </c:pt>
                <c:pt idx="11">
                  <c:v>-9.6949739000000007E-3</c:v>
                </c:pt>
                <c:pt idx="12">
                  <c:v>-9.8363663999999993E-3</c:v>
                </c:pt>
                <c:pt idx="13">
                  <c:v>-9.6551720000000001E-3</c:v>
                </c:pt>
                <c:pt idx="14">
                  <c:v>-9.5303374999999996E-3</c:v>
                </c:pt>
                <c:pt idx="15">
                  <c:v>-9.8995770999999993E-3</c:v>
                </c:pt>
                <c:pt idx="16">
                  <c:v>-1.0015074000000001E-2</c:v>
                </c:pt>
                <c:pt idx="17">
                  <c:v>-9.5594786000000008E-3</c:v>
                </c:pt>
                <c:pt idx="18">
                  <c:v>-1.0150078999999999E-2</c:v>
                </c:pt>
                <c:pt idx="19">
                  <c:v>-1.0150078999999999E-2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AA_pho_ind!$A$35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AA_pho_ind!$B$35:$U$35</c:f>
              <c:numCache>
                <c:formatCode>General</c:formatCode>
                <c:ptCount val="20"/>
                <c:pt idx="0">
                  <c:v>-1.0339215000000001E-2</c:v>
                </c:pt>
                <c:pt idx="1">
                  <c:v>-1.0364563E-2</c:v>
                </c:pt>
                <c:pt idx="2">
                  <c:v>-1.0238961E-2</c:v>
                </c:pt>
                <c:pt idx="3">
                  <c:v>-9.9146142999999992E-3</c:v>
                </c:pt>
                <c:pt idx="4">
                  <c:v>-9.8608593000000001E-3</c:v>
                </c:pt>
                <c:pt idx="5">
                  <c:v>-9.3029662999999999E-3</c:v>
                </c:pt>
                <c:pt idx="6">
                  <c:v>-9.3118055000000009E-3</c:v>
                </c:pt>
                <c:pt idx="7">
                  <c:v>-9.1554513000000007E-3</c:v>
                </c:pt>
                <c:pt idx="8">
                  <c:v>-8.9662001000000002E-3</c:v>
                </c:pt>
                <c:pt idx="9">
                  <c:v>-8.3551927999999994E-3</c:v>
                </c:pt>
                <c:pt idx="10">
                  <c:v>-8.7468670999999998E-3</c:v>
                </c:pt>
                <c:pt idx="11">
                  <c:v>-8.7061207999999998E-3</c:v>
                </c:pt>
                <c:pt idx="12">
                  <c:v>-8.3420621000000004E-3</c:v>
                </c:pt>
                <c:pt idx="13">
                  <c:v>-8.1113874999999992E-3</c:v>
                </c:pt>
                <c:pt idx="14">
                  <c:v>-7.9193757999999996E-3</c:v>
                </c:pt>
                <c:pt idx="15">
                  <c:v>-7.8903510999999999E-3</c:v>
                </c:pt>
                <c:pt idx="16">
                  <c:v>-7.7311615E-3</c:v>
                </c:pt>
                <c:pt idx="17">
                  <c:v>-7.7692559E-3</c:v>
                </c:pt>
                <c:pt idx="18">
                  <c:v>-7.7281683000000002E-3</c:v>
                </c:pt>
                <c:pt idx="19">
                  <c:v>-7.5907498000000002E-3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AA_pho_ind!$A$36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AA_pho_ind!$B$36:$U$36</c:f>
              <c:numCache>
                <c:formatCode>General</c:formatCode>
                <c:ptCount val="20"/>
                <c:pt idx="0">
                  <c:v>-1.1378785000000001E-2</c:v>
                </c:pt>
                <c:pt idx="1">
                  <c:v>-1.1702786E-2</c:v>
                </c:pt>
                <c:pt idx="2">
                  <c:v>-1.1755478E-2</c:v>
                </c:pt>
                <c:pt idx="3">
                  <c:v>-1.1415783000000001E-2</c:v>
                </c:pt>
                <c:pt idx="4">
                  <c:v>-1.1538138E-2</c:v>
                </c:pt>
                <c:pt idx="5">
                  <c:v>-1.0998131E-2</c:v>
                </c:pt>
                <c:pt idx="6">
                  <c:v>-1.1111627000000001E-2</c:v>
                </c:pt>
                <c:pt idx="7">
                  <c:v>-1.0841735E-2</c:v>
                </c:pt>
                <c:pt idx="8">
                  <c:v>-1.0632279999999999E-2</c:v>
                </c:pt>
                <c:pt idx="9">
                  <c:v>-1.0278433999999999E-2</c:v>
                </c:pt>
                <c:pt idx="10">
                  <c:v>-1.0383026E-2</c:v>
                </c:pt>
                <c:pt idx="11">
                  <c:v>-1.0522244E-2</c:v>
                </c:pt>
                <c:pt idx="12">
                  <c:v>-1.0437851E-2</c:v>
                </c:pt>
                <c:pt idx="13">
                  <c:v>-1.0329372E-2</c:v>
                </c:pt>
                <c:pt idx="14">
                  <c:v>-1.0085369E-2</c:v>
                </c:pt>
                <c:pt idx="15">
                  <c:v>-1.0138724999999999E-2</c:v>
                </c:pt>
                <c:pt idx="16">
                  <c:v>-1.0053067000000001E-2</c:v>
                </c:pt>
                <c:pt idx="17">
                  <c:v>-1.0076989E-2</c:v>
                </c:pt>
                <c:pt idx="18">
                  <c:v>-9.9701359999999992E-3</c:v>
                </c:pt>
                <c:pt idx="19">
                  <c:v>-9.9913356999999994E-3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AA_pho_ind!$A$37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AA_pho_ind!$B$2:$U$2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AA_pho_ind!$B$37:$U$37</c:f>
              <c:numCache>
                <c:formatCode>General</c:formatCode>
                <c:ptCount val="20"/>
                <c:pt idx="0">
                  <c:v>-1.1336165E-2</c:v>
                </c:pt>
                <c:pt idx="1">
                  <c:v>-1.1463605999999999E-2</c:v>
                </c:pt>
                <c:pt idx="2">
                  <c:v>-1.1250519E-2</c:v>
                </c:pt>
                <c:pt idx="3">
                  <c:v>-1.0903546E-2</c:v>
                </c:pt>
                <c:pt idx="4">
                  <c:v>-1.1120065E-2</c:v>
                </c:pt>
                <c:pt idx="5">
                  <c:v>-1.087699E-2</c:v>
                </c:pt>
                <c:pt idx="6">
                  <c:v>-1.1491335E-2</c:v>
                </c:pt>
                <c:pt idx="7">
                  <c:v>-1.1575112E-2</c:v>
                </c:pt>
                <c:pt idx="8">
                  <c:v>-1.1832456E-2</c:v>
                </c:pt>
                <c:pt idx="9">
                  <c:v>-1.1908037999999999E-2</c:v>
                </c:pt>
                <c:pt idx="10">
                  <c:v>-1.2016865E-2</c:v>
                </c:pt>
                <c:pt idx="11">
                  <c:v>-1.2266304E-2</c:v>
                </c:pt>
                <c:pt idx="12">
                  <c:v>-1.2649839E-2</c:v>
                </c:pt>
                <c:pt idx="13">
                  <c:v>-1.2663755E-2</c:v>
                </c:pt>
                <c:pt idx="14">
                  <c:v>-1.2423831E-2</c:v>
                </c:pt>
                <c:pt idx="15">
                  <c:v>-1.2589144E-2</c:v>
                </c:pt>
                <c:pt idx="16">
                  <c:v>-1.2428982999999999E-2</c:v>
                </c:pt>
                <c:pt idx="17">
                  <c:v>-1.2661767000000001E-2</c:v>
                </c:pt>
                <c:pt idx="18">
                  <c:v>-1.2872031000000001E-2</c:v>
                </c:pt>
                <c:pt idx="19">
                  <c:v>-1.2961395000000001E-2</c:v>
                </c:pt>
              </c:numCache>
            </c:numRef>
          </c:yVal>
          <c:smooth val="1"/>
        </c:ser>
        <c:axId val="91847680"/>
        <c:axId val="91862144"/>
      </c:scatterChart>
      <c:valAx>
        <c:axId val="9184768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62144"/>
        <c:crosses val="autoZero"/>
        <c:crossBetween val="midCat"/>
      </c:valAx>
      <c:valAx>
        <c:axId val="91862144"/>
        <c:scaling>
          <c:orientation val="minMax"/>
        </c:scaling>
        <c:axPos val="l"/>
        <c:numFmt formatCode="General" sourceLinked="1"/>
        <c:tickLblPos val="nextTo"/>
        <c:crossAx val="91847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56961942257218"/>
          <c:y val="7.9861475648877231E-2"/>
          <c:w val="0.31075000000000003"/>
          <c:h val="0.83717191601049867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0160478353743593E-2"/>
          <c:y val="3.555650819868493E-2"/>
          <c:w val="0.6353710281191054"/>
          <c:h val="0.88421401688279755"/>
        </c:manualLayout>
      </c:layout>
      <c:scatterChart>
        <c:scatterStyle val="smoothMarker"/>
        <c:ser>
          <c:idx val="0"/>
          <c:order val="0"/>
          <c:tx>
            <c:strRef>
              <c:f>'Chg_R_posneg_A '!$A$3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'!$B$3:$U$3</c:f>
              <c:numCache>
                <c:formatCode>General</c:formatCode>
                <c:ptCount val="20"/>
                <c:pt idx="0">
                  <c:v>0.22818713242479702</c:v>
                </c:pt>
                <c:pt idx="1">
                  <c:v>0.24750487436837609</c:v>
                </c:pt>
                <c:pt idx="2">
                  <c:v>0.28444075341598768</c:v>
                </c:pt>
                <c:pt idx="3">
                  <c:v>0.32652172939951468</c:v>
                </c:pt>
                <c:pt idx="4">
                  <c:v>0.34668577752404173</c:v>
                </c:pt>
                <c:pt idx="5">
                  <c:v>0.37586193053462136</c:v>
                </c:pt>
                <c:pt idx="6">
                  <c:v>0.40337080738748943</c:v>
                </c:pt>
                <c:pt idx="7">
                  <c:v>0.42396070504435074</c:v>
                </c:pt>
                <c:pt idx="8">
                  <c:v>0.44008314965080864</c:v>
                </c:pt>
                <c:pt idx="9">
                  <c:v>0.46278116384433621</c:v>
                </c:pt>
                <c:pt idx="10">
                  <c:v>0.45512992591613549</c:v>
                </c:pt>
                <c:pt idx="11">
                  <c:v>0.45994469191133747</c:v>
                </c:pt>
                <c:pt idx="12">
                  <c:v>0.4772168230608741</c:v>
                </c:pt>
                <c:pt idx="13">
                  <c:v>0.50810618893363602</c:v>
                </c:pt>
                <c:pt idx="14">
                  <c:v>0.50945318939094275</c:v>
                </c:pt>
                <c:pt idx="15">
                  <c:v>0.50405070697675503</c:v>
                </c:pt>
                <c:pt idx="16">
                  <c:v>0.51064629261647276</c:v>
                </c:pt>
                <c:pt idx="17">
                  <c:v>0.52551473412356797</c:v>
                </c:pt>
                <c:pt idx="18">
                  <c:v>0.52382467447169134</c:v>
                </c:pt>
                <c:pt idx="19">
                  <c:v>0.57077658874634496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'Chg_R_posneg_A '!$A$4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'!$B$4:$U$4</c:f>
              <c:numCache>
                <c:formatCode>General</c:formatCode>
                <c:ptCount val="20"/>
                <c:pt idx="0">
                  <c:v>0.26064841838314379</c:v>
                </c:pt>
                <c:pt idx="1">
                  <c:v>0.26922079268831006</c:v>
                </c:pt>
                <c:pt idx="2">
                  <c:v>0.29437944492560481</c:v>
                </c:pt>
                <c:pt idx="3">
                  <c:v>0.32442776895163283</c:v>
                </c:pt>
                <c:pt idx="4">
                  <c:v>0.33065566532170354</c:v>
                </c:pt>
                <c:pt idx="5">
                  <c:v>0.34293898314210752</c:v>
                </c:pt>
                <c:pt idx="6">
                  <c:v>0.34605918718697826</c:v>
                </c:pt>
                <c:pt idx="7">
                  <c:v>0.35092449949230964</c:v>
                </c:pt>
                <c:pt idx="8">
                  <c:v>0.33918907995940967</c:v>
                </c:pt>
                <c:pt idx="9">
                  <c:v>0.33645758779561602</c:v>
                </c:pt>
                <c:pt idx="10">
                  <c:v>0.3314225516585339</c:v>
                </c:pt>
                <c:pt idx="11">
                  <c:v>0.33288578333119906</c:v>
                </c:pt>
                <c:pt idx="12">
                  <c:v>0.32278923528396847</c:v>
                </c:pt>
                <c:pt idx="13">
                  <c:v>0.32173248091817019</c:v>
                </c:pt>
                <c:pt idx="14">
                  <c:v>0.32214855686228278</c:v>
                </c:pt>
                <c:pt idx="15">
                  <c:v>0.31797003355105696</c:v>
                </c:pt>
                <c:pt idx="16">
                  <c:v>0.31142102015210349</c:v>
                </c:pt>
                <c:pt idx="17">
                  <c:v>0.31015750142438808</c:v>
                </c:pt>
                <c:pt idx="18">
                  <c:v>0.32926565686306586</c:v>
                </c:pt>
                <c:pt idx="19">
                  <c:v>0.32859809707812981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'Chg_R_posneg_A '!$A$5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'!$B$5:$U$5</c:f>
              <c:numCache>
                <c:formatCode>General</c:formatCode>
                <c:ptCount val="20"/>
                <c:pt idx="0">
                  <c:v>0.23396307742441846</c:v>
                </c:pt>
                <c:pt idx="1">
                  <c:v>0.24961005708359163</c:v>
                </c:pt>
                <c:pt idx="2">
                  <c:v>0.27393872822765997</c:v>
                </c:pt>
                <c:pt idx="3">
                  <c:v>0.2978608433377542</c:v>
                </c:pt>
                <c:pt idx="4">
                  <c:v>0.30846558161581944</c:v>
                </c:pt>
                <c:pt idx="5">
                  <c:v>0.32743861140598401</c:v>
                </c:pt>
                <c:pt idx="6">
                  <c:v>0.34233804800959478</c:v>
                </c:pt>
                <c:pt idx="7">
                  <c:v>0.35977039376451753</c:v>
                </c:pt>
                <c:pt idx="8">
                  <c:v>0.36540301706318817</c:v>
                </c:pt>
                <c:pt idx="9">
                  <c:v>0.37790798751244908</c:v>
                </c:pt>
                <c:pt idx="10">
                  <c:v>0.38367414900006197</c:v>
                </c:pt>
                <c:pt idx="11">
                  <c:v>0.38566971837635339</c:v>
                </c:pt>
                <c:pt idx="12">
                  <c:v>0.38521430731130502</c:v>
                </c:pt>
                <c:pt idx="13">
                  <c:v>0.40220286525838234</c:v>
                </c:pt>
                <c:pt idx="14">
                  <c:v>0.40184963808064755</c:v>
                </c:pt>
                <c:pt idx="15">
                  <c:v>0.41025483953884273</c:v>
                </c:pt>
                <c:pt idx="16">
                  <c:v>0.42584572170308777</c:v>
                </c:pt>
                <c:pt idx="17">
                  <c:v>0.42806935290403852</c:v>
                </c:pt>
                <c:pt idx="18">
                  <c:v>0.43342478212107394</c:v>
                </c:pt>
                <c:pt idx="19">
                  <c:v>0.45246162258695577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'Chg_R_posneg_A '!$A$6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'!$B$6:$U$6</c:f>
              <c:numCache>
                <c:formatCode>General</c:formatCode>
                <c:ptCount val="20"/>
                <c:pt idx="0">
                  <c:v>0.40841191309244257</c:v>
                </c:pt>
                <c:pt idx="1">
                  <c:v>0.50500055861213311</c:v>
                </c:pt>
                <c:pt idx="2">
                  <c:v>0.58058721267711433</c:v>
                </c:pt>
                <c:pt idx="3">
                  <c:v>0.63512129077727308</c:v>
                </c:pt>
                <c:pt idx="4">
                  <c:v>0.67955171185974761</c:v>
                </c:pt>
                <c:pt idx="5">
                  <c:v>0.73896750549097767</c:v>
                </c:pt>
                <c:pt idx="6">
                  <c:v>0.80664593303063581</c:v>
                </c:pt>
                <c:pt idx="7">
                  <c:v>0.83075187204862966</c:v>
                </c:pt>
                <c:pt idx="8">
                  <c:v>0.86617099116481822</c:v>
                </c:pt>
                <c:pt idx="9">
                  <c:v>0.89319208350978319</c:v>
                </c:pt>
                <c:pt idx="10">
                  <c:v>0.90534422614636612</c:v>
                </c:pt>
                <c:pt idx="11">
                  <c:v>0.9320963864266183</c:v>
                </c:pt>
                <c:pt idx="12">
                  <c:v>0.90846726380891452</c:v>
                </c:pt>
                <c:pt idx="13">
                  <c:v>0.94262608859833374</c:v>
                </c:pt>
                <c:pt idx="14">
                  <c:v>0.96795871324659366</c:v>
                </c:pt>
                <c:pt idx="15">
                  <c:v>0.99766056985035101</c:v>
                </c:pt>
                <c:pt idx="16">
                  <c:v>0.99720988959361057</c:v>
                </c:pt>
                <c:pt idx="17">
                  <c:v>1.0052574433002521</c:v>
                </c:pt>
                <c:pt idx="18">
                  <c:v>1.0531889697174759</c:v>
                </c:pt>
                <c:pt idx="19">
                  <c:v>1.0483904954149035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'Chg_R_posneg_A '!$A$7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'!$B$7:$U$7</c:f>
              <c:numCache>
                <c:formatCode>General</c:formatCode>
                <c:ptCount val="20"/>
                <c:pt idx="0">
                  <c:v>0.38316682909541949</c:v>
                </c:pt>
                <c:pt idx="1">
                  <c:v>0.43446636572745839</c:v>
                </c:pt>
                <c:pt idx="2">
                  <c:v>0.48048023902647413</c:v>
                </c:pt>
                <c:pt idx="3">
                  <c:v>0.52930275237996194</c:v>
                </c:pt>
                <c:pt idx="4">
                  <c:v>0.55768301692531907</c:v>
                </c:pt>
                <c:pt idx="5">
                  <c:v>0.58759754334732073</c:v>
                </c:pt>
                <c:pt idx="6">
                  <c:v>0.59289528863554586</c:v>
                </c:pt>
                <c:pt idx="7">
                  <c:v>0.6105941971795884</c:v>
                </c:pt>
                <c:pt idx="8">
                  <c:v>0.60393495214037507</c:v>
                </c:pt>
                <c:pt idx="9">
                  <c:v>0.58980521674317288</c:v>
                </c:pt>
                <c:pt idx="10">
                  <c:v>0.63616173206063242</c:v>
                </c:pt>
                <c:pt idx="11">
                  <c:v>0.61242602354446996</c:v>
                </c:pt>
                <c:pt idx="12">
                  <c:v>0.62197639661759119</c:v>
                </c:pt>
                <c:pt idx="13">
                  <c:v>0.63369711186508004</c:v>
                </c:pt>
                <c:pt idx="14">
                  <c:v>0.61728087029239131</c:v>
                </c:pt>
                <c:pt idx="15">
                  <c:v>0.58535060940085293</c:v>
                </c:pt>
                <c:pt idx="16">
                  <c:v>0.56502997248427667</c:v>
                </c:pt>
                <c:pt idx="17">
                  <c:v>0.60325559347743651</c:v>
                </c:pt>
                <c:pt idx="18">
                  <c:v>0.62868252702743976</c:v>
                </c:pt>
                <c:pt idx="19">
                  <c:v>0.63618125941904791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'Chg_R_posneg_A '!$A$8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'!$B$8:$U$8</c:f>
              <c:numCache>
                <c:formatCode>General</c:formatCode>
                <c:ptCount val="20"/>
                <c:pt idx="0">
                  <c:v>0.40267542747012325</c:v>
                </c:pt>
                <c:pt idx="1">
                  <c:v>0.47326811242501887</c:v>
                </c:pt>
                <c:pt idx="2">
                  <c:v>0.5639022010002962</c:v>
                </c:pt>
                <c:pt idx="3">
                  <c:v>0.65990575943718177</c:v>
                </c:pt>
                <c:pt idx="4">
                  <c:v>0.71798889297210766</c:v>
                </c:pt>
                <c:pt idx="5">
                  <c:v>0.76120839524954031</c:v>
                </c:pt>
                <c:pt idx="6">
                  <c:v>0.82316017167516575</c:v>
                </c:pt>
                <c:pt idx="7">
                  <c:v>0.86336355087920613</c:v>
                </c:pt>
                <c:pt idx="8">
                  <c:v>0.87537699750903031</c:v>
                </c:pt>
                <c:pt idx="9">
                  <c:v>0.91311572288465337</c:v>
                </c:pt>
                <c:pt idx="10">
                  <c:v>0.94012369686661823</c:v>
                </c:pt>
                <c:pt idx="11">
                  <c:v>0.95774794475648339</c:v>
                </c:pt>
                <c:pt idx="12">
                  <c:v>1.0352428898901653</c:v>
                </c:pt>
                <c:pt idx="13">
                  <c:v>1.0676019934456409</c:v>
                </c:pt>
                <c:pt idx="14">
                  <c:v>1.0985370649994508</c:v>
                </c:pt>
                <c:pt idx="15">
                  <c:v>1.1045541508168961</c:v>
                </c:pt>
                <c:pt idx="16">
                  <c:v>1.1499634915204984</c:v>
                </c:pt>
                <c:pt idx="17">
                  <c:v>1.1873534026809112</c:v>
                </c:pt>
                <c:pt idx="18">
                  <c:v>1.2151912903673472</c:v>
                </c:pt>
                <c:pt idx="19">
                  <c:v>1.2345228539576365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'Chg_R_posneg_A '!$A$9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'!$B$9:$U$9</c:f>
              <c:numCache>
                <c:formatCode>General</c:formatCode>
                <c:ptCount val="20"/>
                <c:pt idx="0">
                  <c:v>0.42244823675869825</c:v>
                </c:pt>
                <c:pt idx="1">
                  <c:v>0.4940814789029282</c:v>
                </c:pt>
                <c:pt idx="2">
                  <c:v>0.58533632482502118</c:v>
                </c:pt>
                <c:pt idx="3">
                  <c:v>0.66678706700687329</c:v>
                </c:pt>
                <c:pt idx="4">
                  <c:v>0.72744419282192629</c:v>
                </c:pt>
                <c:pt idx="5">
                  <c:v>0.78436337312216531</c:v>
                </c:pt>
                <c:pt idx="6">
                  <c:v>0.79610310414082053</c:v>
                </c:pt>
                <c:pt idx="7">
                  <c:v>0.80184791890632023</c:v>
                </c:pt>
                <c:pt idx="8">
                  <c:v>0.81245244596068511</c:v>
                </c:pt>
                <c:pt idx="9">
                  <c:v>0.78908564757674682</c:v>
                </c:pt>
                <c:pt idx="10">
                  <c:v>0.82502704965663776</c:v>
                </c:pt>
                <c:pt idx="11">
                  <c:v>0.86521802186897701</c:v>
                </c:pt>
                <c:pt idx="12">
                  <c:v>0.85133039503754482</c:v>
                </c:pt>
                <c:pt idx="13">
                  <c:v>0.88709416143815945</c:v>
                </c:pt>
                <c:pt idx="14">
                  <c:v>0.90647307806870792</c:v>
                </c:pt>
                <c:pt idx="15">
                  <c:v>0.93955046539441511</c:v>
                </c:pt>
                <c:pt idx="16">
                  <c:v>0.95481450049552097</c:v>
                </c:pt>
                <c:pt idx="17">
                  <c:v>0.95214982836912543</c:v>
                </c:pt>
                <c:pt idx="18">
                  <c:v>0.9782847507285557</c:v>
                </c:pt>
                <c:pt idx="19">
                  <c:v>0.96870615693106743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'Chg_R_posneg_A '!$A$10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'!$B$10:$U$10</c:f>
              <c:numCache>
                <c:formatCode>General</c:formatCode>
                <c:ptCount val="20"/>
                <c:pt idx="0">
                  <c:v>0.31379486440193421</c:v>
                </c:pt>
                <c:pt idx="1">
                  <c:v>0.36746813746349771</c:v>
                </c:pt>
                <c:pt idx="2">
                  <c:v>0.41923002121528363</c:v>
                </c:pt>
                <c:pt idx="3">
                  <c:v>0.45714288484528809</c:v>
                </c:pt>
                <c:pt idx="4">
                  <c:v>0.49374307637353443</c:v>
                </c:pt>
                <c:pt idx="5">
                  <c:v>0.52892947054838491</c:v>
                </c:pt>
                <c:pt idx="6">
                  <c:v>0.57463555973432845</c:v>
                </c:pt>
                <c:pt idx="7">
                  <c:v>0.5997380358967922</c:v>
                </c:pt>
                <c:pt idx="8">
                  <c:v>0.62337954404050444</c:v>
                </c:pt>
                <c:pt idx="9">
                  <c:v>0.63239006824698207</c:v>
                </c:pt>
                <c:pt idx="10">
                  <c:v>0.62511683621268221</c:v>
                </c:pt>
                <c:pt idx="11">
                  <c:v>0.64327328837285025</c:v>
                </c:pt>
                <c:pt idx="12">
                  <c:v>0.63762048622252143</c:v>
                </c:pt>
                <c:pt idx="13">
                  <c:v>0.65808144024349358</c:v>
                </c:pt>
                <c:pt idx="14">
                  <c:v>0.67113421727715483</c:v>
                </c:pt>
                <c:pt idx="15">
                  <c:v>0.69131622696468753</c:v>
                </c:pt>
                <c:pt idx="16">
                  <c:v>0.71024440811218092</c:v>
                </c:pt>
                <c:pt idx="17">
                  <c:v>0.73754801371617373</c:v>
                </c:pt>
                <c:pt idx="18">
                  <c:v>0.73472901006422697</c:v>
                </c:pt>
                <c:pt idx="19">
                  <c:v>0.7253782276365105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'Chg_R_posneg_A '!$A$11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'!$B$11:$U$11</c:f>
              <c:numCache>
                <c:formatCode>General</c:formatCode>
                <c:ptCount val="20"/>
                <c:pt idx="0">
                  <c:v>0.29745309458229618</c:v>
                </c:pt>
                <c:pt idx="1">
                  <c:v>0.34912050495669394</c:v>
                </c:pt>
                <c:pt idx="2">
                  <c:v>0.39571268782299762</c:v>
                </c:pt>
                <c:pt idx="3">
                  <c:v>0.44799698122949722</c:v>
                </c:pt>
                <c:pt idx="4">
                  <c:v>0.49603222856055279</c:v>
                </c:pt>
                <c:pt idx="5">
                  <c:v>0.51864558234804392</c:v>
                </c:pt>
                <c:pt idx="6">
                  <c:v>0.54922217517597138</c:v>
                </c:pt>
                <c:pt idx="7">
                  <c:v>0.58896454608501503</c:v>
                </c:pt>
                <c:pt idx="8">
                  <c:v>0.60039199120226172</c:v>
                </c:pt>
                <c:pt idx="9">
                  <c:v>0.64306622715996731</c:v>
                </c:pt>
                <c:pt idx="10">
                  <c:v>0.65695063163461542</c:v>
                </c:pt>
                <c:pt idx="11">
                  <c:v>0.69213310846099685</c:v>
                </c:pt>
                <c:pt idx="12">
                  <c:v>0.70972919671948376</c:v>
                </c:pt>
                <c:pt idx="13">
                  <c:v>0.72037514118652379</c:v>
                </c:pt>
                <c:pt idx="14">
                  <c:v>0.71409109962962469</c:v>
                </c:pt>
                <c:pt idx="15">
                  <c:v>0.75478412334225342</c:v>
                </c:pt>
                <c:pt idx="16">
                  <c:v>0.77750535152576428</c:v>
                </c:pt>
                <c:pt idx="17">
                  <c:v>0.79812935351030911</c:v>
                </c:pt>
                <c:pt idx="18">
                  <c:v>0.82697120606076668</c:v>
                </c:pt>
                <c:pt idx="19">
                  <c:v>0.80401149967919983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'Chg_R_posneg_A '!$A$12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'!$B$12:$U$12</c:f>
              <c:numCache>
                <c:formatCode>General</c:formatCode>
                <c:ptCount val="20"/>
                <c:pt idx="0">
                  <c:v>0.30406424446622493</c:v>
                </c:pt>
                <c:pt idx="1">
                  <c:v>0.33091646994687646</c:v>
                </c:pt>
                <c:pt idx="2">
                  <c:v>0.35369644680161727</c:v>
                </c:pt>
                <c:pt idx="3">
                  <c:v>0.35885936500009213</c:v>
                </c:pt>
                <c:pt idx="4">
                  <c:v>0.35433361009283226</c:v>
                </c:pt>
                <c:pt idx="5">
                  <c:v>0.35273901976929561</c:v>
                </c:pt>
                <c:pt idx="6">
                  <c:v>0.35466014954668801</c:v>
                </c:pt>
                <c:pt idx="7">
                  <c:v>0.34803517878750678</c:v>
                </c:pt>
                <c:pt idx="8">
                  <c:v>0.33163562754335096</c:v>
                </c:pt>
                <c:pt idx="9">
                  <c:v>0.34172365453622267</c:v>
                </c:pt>
                <c:pt idx="10">
                  <c:v>0.33948717218914021</c:v>
                </c:pt>
                <c:pt idx="11">
                  <c:v>0.34860969397674435</c:v>
                </c:pt>
                <c:pt idx="12">
                  <c:v>0.34658556421298015</c:v>
                </c:pt>
                <c:pt idx="13">
                  <c:v>0.33817497294195864</c:v>
                </c:pt>
                <c:pt idx="14">
                  <c:v>0.33468649986461485</c:v>
                </c:pt>
                <c:pt idx="15">
                  <c:v>0.32622839866109898</c:v>
                </c:pt>
                <c:pt idx="16">
                  <c:v>0.31580128904043298</c:v>
                </c:pt>
                <c:pt idx="17">
                  <c:v>0.33361716089433457</c:v>
                </c:pt>
                <c:pt idx="18">
                  <c:v>0.32217048384877578</c:v>
                </c:pt>
                <c:pt idx="19">
                  <c:v>0.30765771682197873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'Chg_R_posneg_A '!$A$13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'!$B$13:$U$13</c:f>
              <c:numCache>
                <c:formatCode>General</c:formatCode>
                <c:ptCount val="20"/>
                <c:pt idx="0">
                  <c:v>0.27588639709208135</c:v>
                </c:pt>
                <c:pt idx="1">
                  <c:v>0.29508179672573764</c:v>
                </c:pt>
                <c:pt idx="2">
                  <c:v>0.29925981987218131</c:v>
                </c:pt>
                <c:pt idx="3">
                  <c:v>0.32340034859551425</c:v>
                </c:pt>
                <c:pt idx="4">
                  <c:v>0.32667520977904102</c:v>
                </c:pt>
                <c:pt idx="5">
                  <c:v>0.33383028807750703</c:v>
                </c:pt>
                <c:pt idx="6">
                  <c:v>0.33925635982051128</c:v>
                </c:pt>
                <c:pt idx="7">
                  <c:v>0.34514966280477261</c:v>
                </c:pt>
                <c:pt idx="8">
                  <c:v>0.34216749134564106</c:v>
                </c:pt>
                <c:pt idx="9">
                  <c:v>0.33819122757171771</c:v>
                </c:pt>
                <c:pt idx="10">
                  <c:v>0.33096139145064374</c:v>
                </c:pt>
                <c:pt idx="11">
                  <c:v>0.33830551163450989</c:v>
                </c:pt>
                <c:pt idx="12">
                  <c:v>0.33877650150593519</c:v>
                </c:pt>
                <c:pt idx="13">
                  <c:v>0.34541461944486929</c:v>
                </c:pt>
                <c:pt idx="14">
                  <c:v>0.34651475702028761</c:v>
                </c:pt>
                <c:pt idx="15">
                  <c:v>0.34721641708672135</c:v>
                </c:pt>
                <c:pt idx="16">
                  <c:v>0.35028382729011376</c:v>
                </c:pt>
                <c:pt idx="17">
                  <c:v>0.34282851146471183</c:v>
                </c:pt>
                <c:pt idx="18">
                  <c:v>0.3401203629074292</c:v>
                </c:pt>
                <c:pt idx="19">
                  <c:v>0.35083523724822901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'Chg_R_posneg_A '!$A$14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'!$B$14:$U$14</c:f>
              <c:numCache>
                <c:formatCode>General</c:formatCode>
                <c:ptCount val="20"/>
                <c:pt idx="0">
                  <c:v>0.30303160346994457</c:v>
                </c:pt>
                <c:pt idx="1">
                  <c:v>0.35646194583815444</c:v>
                </c:pt>
                <c:pt idx="2">
                  <c:v>0.39946837448946532</c:v>
                </c:pt>
                <c:pt idx="3">
                  <c:v>0.43439310333821474</c:v>
                </c:pt>
                <c:pt idx="4">
                  <c:v>0.4359374487872828</c:v>
                </c:pt>
                <c:pt idx="5">
                  <c:v>0.46267238398862287</c:v>
                </c:pt>
                <c:pt idx="6">
                  <c:v>0.46432588642590328</c:v>
                </c:pt>
                <c:pt idx="7">
                  <c:v>0.4740140972176044</c:v>
                </c:pt>
                <c:pt idx="8">
                  <c:v>0.46857345980738208</c:v>
                </c:pt>
                <c:pt idx="9">
                  <c:v>0.4634361613101986</c:v>
                </c:pt>
                <c:pt idx="10">
                  <c:v>0.46471311252631586</c:v>
                </c:pt>
                <c:pt idx="11">
                  <c:v>0.4819420489520222</c:v>
                </c:pt>
                <c:pt idx="12">
                  <c:v>0.49919643775841016</c:v>
                </c:pt>
                <c:pt idx="13">
                  <c:v>0.50517558855044575</c:v>
                </c:pt>
                <c:pt idx="14">
                  <c:v>0.519310935566765</c:v>
                </c:pt>
                <c:pt idx="15">
                  <c:v>0.4948075881748949</c:v>
                </c:pt>
                <c:pt idx="16">
                  <c:v>0.49001339997873022</c:v>
                </c:pt>
                <c:pt idx="17">
                  <c:v>0.47359093667996272</c:v>
                </c:pt>
                <c:pt idx="18">
                  <c:v>0.46907325346519863</c:v>
                </c:pt>
                <c:pt idx="19">
                  <c:v>0.490294405601715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'Chg_R_posneg_A '!$A$15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'!$B$15:$U$15</c:f>
              <c:numCache>
                <c:formatCode>General</c:formatCode>
                <c:ptCount val="20"/>
                <c:pt idx="0">
                  <c:v>0.36789320118482272</c:v>
                </c:pt>
                <c:pt idx="1">
                  <c:v>0.40434508803234803</c:v>
                </c:pt>
                <c:pt idx="2">
                  <c:v>0.45122802855085492</c:v>
                </c:pt>
                <c:pt idx="3">
                  <c:v>0.49100212576598157</c:v>
                </c:pt>
                <c:pt idx="4">
                  <c:v>0.51126092045644778</c:v>
                </c:pt>
                <c:pt idx="5">
                  <c:v>0.53312000579619179</c:v>
                </c:pt>
                <c:pt idx="6">
                  <c:v>0.54635031096171971</c:v>
                </c:pt>
                <c:pt idx="7">
                  <c:v>0.55735889156705676</c:v>
                </c:pt>
                <c:pt idx="8">
                  <c:v>0.5720716360926682</c:v>
                </c:pt>
                <c:pt idx="9">
                  <c:v>0.56672972194904092</c:v>
                </c:pt>
                <c:pt idx="10">
                  <c:v>0.57950433291572134</c:v>
                </c:pt>
                <c:pt idx="11">
                  <c:v>0.59320814368147901</c:v>
                </c:pt>
                <c:pt idx="12">
                  <c:v>0.59871577864657455</c:v>
                </c:pt>
                <c:pt idx="13">
                  <c:v>0.57529450441363672</c:v>
                </c:pt>
                <c:pt idx="14">
                  <c:v>0.59506036320722122</c:v>
                </c:pt>
                <c:pt idx="15">
                  <c:v>0.58374626996178525</c:v>
                </c:pt>
                <c:pt idx="16">
                  <c:v>0.57554504700197495</c:v>
                </c:pt>
                <c:pt idx="17">
                  <c:v>0.58428011638690502</c:v>
                </c:pt>
                <c:pt idx="18">
                  <c:v>0.59957351719381902</c:v>
                </c:pt>
                <c:pt idx="19">
                  <c:v>0.63296161449024568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'Chg_R_posneg_A '!$A$16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'!$B$16:$U$16</c:f>
              <c:numCache>
                <c:formatCode>General</c:formatCode>
                <c:ptCount val="20"/>
                <c:pt idx="0">
                  <c:v>0.18262283408351296</c:v>
                </c:pt>
                <c:pt idx="1">
                  <c:v>0.20802896416436131</c:v>
                </c:pt>
                <c:pt idx="2">
                  <c:v>0.25608832213942051</c:v>
                </c:pt>
                <c:pt idx="3">
                  <c:v>0.29004865392512952</c:v>
                </c:pt>
                <c:pt idx="4">
                  <c:v>0.30291305544463132</c:v>
                </c:pt>
                <c:pt idx="5">
                  <c:v>0.31984062456458812</c:v>
                </c:pt>
                <c:pt idx="6">
                  <c:v>0.3404187799841486</c:v>
                </c:pt>
                <c:pt idx="7">
                  <c:v>0.34548308665484356</c:v>
                </c:pt>
                <c:pt idx="8">
                  <c:v>0.3525959576279008</c:v>
                </c:pt>
                <c:pt idx="9">
                  <c:v>0.35807462071380969</c:v>
                </c:pt>
                <c:pt idx="10">
                  <c:v>0.36648766089773832</c:v>
                </c:pt>
                <c:pt idx="11">
                  <c:v>0.38293526096819963</c:v>
                </c:pt>
                <c:pt idx="12">
                  <c:v>0.38014843289998362</c:v>
                </c:pt>
                <c:pt idx="13">
                  <c:v>0.37666847658370994</c:v>
                </c:pt>
                <c:pt idx="14">
                  <c:v>0.37050943564142441</c:v>
                </c:pt>
                <c:pt idx="15">
                  <c:v>0.38274323118119608</c:v>
                </c:pt>
                <c:pt idx="16">
                  <c:v>0.38814768882332085</c:v>
                </c:pt>
                <c:pt idx="17">
                  <c:v>0.38304167971942288</c:v>
                </c:pt>
                <c:pt idx="18">
                  <c:v>0.38978715151662896</c:v>
                </c:pt>
                <c:pt idx="19">
                  <c:v>0.38290499892775309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'Chg_R_posneg_A '!$A$17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'!$B$17:$U$17</c:f>
              <c:numCache>
                <c:formatCode>General</c:formatCode>
                <c:ptCount val="20"/>
                <c:pt idx="0">
                  <c:v>0.17800087033881798</c:v>
                </c:pt>
                <c:pt idx="1">
                  <c:v>0.20658733317082253</c:v>
                </c:pt>
                <c:pt idx="2">
                  <c:v>0.25126536778495523</c:v>
                </c:pt>
                <c:pt idx="3">
                  <c:v>0.27457259465301459</c:v>
                </c:pt>
                <c:pt idx="4">
                  <c:v>0.30073260065319968</c:v>
                </c:pt>
                <c:pt idx="5">
                  <c:v>0.30521379619127542</c:v>
                </c:pt>
                <c:pt idx="6">
                  <c:v>0.30746446522928805</c:v>
                </c:pt>
                <c:pt idx="7">
                  <c:v>0.32068497501750515</c:v>
                </c:pt>
                <c:pt idx="8">
                  <c:v>0.32308010429257489</c:v>
                </c:pt>
                <c:pt idx="9">
                  <c:v>0.32277139356962459</c:v>
                </c:pt>
                <c:pt idx="10">
                  <c:v>0.31876364153301795</c:v>
                </c:pt>
                <c:pt idx="11">
                  <c:v>0.31684445395947963</c:v>
                </c:pt>
                <c:pt idx="12">
                  <c:v>0.32221473211731716</c:v>
                </c:pt>
                <c:pt idx="13">
                  <c:v>0.33815235068978855</c:v>
                </c:pt>
                <c:pt idx="14">
                  <c:v>0.33331286131238802</c:v>
                </c:pt>
                <c:pt idx="15">
                  <c:v>0.33475227910813232</c:v>
                </c:pt>
                <c:pt idx="16">
                  <c:v>0.34176457474699279</c:v>
                </c:pt>
                <c:pt idx="17">
                  <c:v>0.3385162803758</c:v>
                </c:pt>
                <c:pt idx="18">
                  <c:v>0.3387557698008995</c:v>
                </c:pt>
                <c:pt idx="19">
                  <c:v>0.34222417484290524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'Chg_R_posneg_A '!$A$18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'!$B$18:$U$18</c:f>
              <c:numCache>
                <c:formatCode>General</c:formatCode>
                <c:ptCount val="20"/>
                <c:pt idx="0">
                  <c:v>0.21524663419790843</c:v>
                </c:pt>
                <c:pt idx="1">
                  <c:v>0.26118048122594267</c:v>
                </c:pt>
                <c:pt idx="2">
                  <c:v>0.32346139184117845</c:v>
                </c:pt>
                <c:pt idx="3">
                  <c:v>0.36601931442581059</c:v>
                </c:pt>
                <c:pt idx="4">
                  <c:v>0.4019463406439987</c:v>
                </c:pt>
                <c:pt idx="5">
                  <c:v>0.41685239476511055</c:v>
                </c:pt>
                <c:pt idx="6">
                  <c:v>0.43539143626231619</c:v>
                </c:pt>
                <c:pt idx="7">
                  <c:v>0.434186208024399</c:v>
                </c:pt>
                <c:pt idx="8">
                  <c:v>0.45320783661288527</c:v>
                </c:pt>
                <c:pt idx="9">
                  <c:v>0.46195079773270092</c:v>
                </c:pt>
                <c:pt idx="10">
                  <c:v>0.46145756434321417</c:v>
                </c:pt>
                <c:pt idx="11">
                  <c:v>0.45950520446738369</c:v>
                </c:pt>
                <c:pt idx="12">
                  <c:v>0.48244353509881932</c:v>
                </c:pt>
                <c:pt idx="13">
                  <c:v>0.47807116316200843</c:v>
                </c:pt>
                <c:pt idx="14">
                  <c:v>0.46640691824746111</c:v>
                </c:pt>
                <c:pt idx="15">
                  <c:v>0.48174933934064029</c:v>
                </c:pt>
                <c:pt idx="16">
                  <c:v>0.48301843068699551</c:v>
                </c:pt>
                <c:pt idx="17">
                  <c:v>0.48471675925197472</c:v>
                </c:pt>
                <c:pt idx="18">
                  <c:v>0.49018314154941145</c:v>
                </c:pt>
                <c:pt idx="19">
                  <c:v>0.49078114262218248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'Chg_R_posneg_A '!$A$19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'!$B$19:$U$19</c:f>
              <c:numCache>
                <c:formatCode>General</c:formatCode>
                <c:ptCount val="20"/>
                <c:pt idx="0">
                  <c:v>0.21503732937690564</c:v>
                </c:pt>
                <c:pt idx="1">
                  <c:v>0.23056311029020629</c:v>
                </c:pt>
                <c:pt idx="2">
                  <c:v>0.26127511840351414</c:v>
                </c:pt>
                <c:pt idx="3">
                  <c:v>0.28072425657684935</c:v>
                </c:pt>
                <c:pt idx="4">
                  <c:v>0.2963373734019592</c:v>
                </c:pt>
                <c:pt idx="5">
                  <c:v>0.30893790059138243</c:v>
                </c:pt>
                <c:pt idx="6">
                  <c:v>0.31902108974264309</c:v>
                </c:pt>
                <c:pt idx="7">
                  <c:v>0.32554169565421176</c:v>
                </c:pt>
                <c:pt idx="8">
                  <c:v>0.32874928899393729</c:v>
                </c:pt>
                <c:pt idx="9">
                  <c:v>0.33066408813886755</c:v>
                </c:pt>
                <c:pt idx="10">
                  <c:v>0.33067896348807602</c:v>
                </c:pt>
                <c:pt idx="11">
                  <c:v>0.33451824718720485</c:v>
                </c:pt>
                <c:pt idx="12">
                  <c:v>0.33258044667681669</c:v>
                </c:pt>
                <c:pt idx="13">
                  <c:v>0.33994143707751423</c:v>
                </c:pt>
                <c:pt idx="14">
                  <c:v>0.33696236702269261</c:v>
                </c:pt>
                <c:pt idx="15">
                  <c:v>0.34088944282436578</c:v>
                </c:pt>
                <c:pt idx="16">
                  <c:v>0.33888688623791419</c:v>
                </c:pt>
                <c:pt idx="17">
                  <c:v>0.34512871588099298</c:v>
                </c:pt>
                <c:pt idx="18">
                  <c:v>0.33960927006098585</c:v>
                </c:pt>
                <c:pt idx="19">
                  <c:v>0.36009320702170633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'Chg_R_posneg_A '!$A$20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'!$B$20:$U$20</c:f>
              <c:numCache>
                <c:formatCode>General</c:formatCode>
                <c:ptCount val="20"/>
                <c:pt idx="0">
                  <c:v>0.21479990637968135</c:v>
                </c:pt>
                <c:pt idx="1">
                  <c:v>0.2361004737500533</c:v>
                </c:pt>
                <c:pt idx="2">
                  <c:v>0.26938741738734212</c:v>
                </c:pt>
                <c:pt idx="3">
                  <c:v>0.28852718303199704</c:v>
                </c:pt>
                <c:pt idx="4">
                  <c:v>0.31004927509156938</c:v>
                </c:pt>
                <c:pt idx="5">
                  <c:v>0.32453653839798741</c:v>
                </c:pt>
                <c:pt idx="6">
                  <c:v>0.33301357444357277</c:v>
                </c:pt>
                <c:pt idx="7">
                  <c:v>0.34534728686110494</c:v>
                </c:pt>
                <c:pt idx="8">
                  <c:v>0.35405781026333505</c:v>
                </c:pt>
                <c:pt idx="9">
                  <c:v>0.36033077631509031</c:v>
                </c:pt>
                <c:pt idx="10">
                  <c:v>0.36154133793854393</c:v>
                </c:pt>
                <c:pt idx="11">
                  <c:v>0.36923784165368967</c:v>
                </c:pt>
                <c:pt idx="12">
                  <c:v>0.36752348963972969</c:v>
                </c:pt>
                <c:pt idx="13">
                  <c:v>0.36349033554528792</c:v>
                </c:pt>
                <c:pt idx="14">
                  <c:v>0.36249595319051647</c:v>
                </c:pt>
                <c:pt idx="15">
                  <c:v>0.36117063665183374</c:v>
                </c:pt>
                <c:pt idx="16">
                  <c:v>0.36000001539974269</c:v>
                </c:pt>
                <c:pt idx="17">
                  <c:v>0.36095958345187246</c:v>
                </c:pt>
                <c:pt idx="18">
                  <c:v>0.37398345477118328</c:v>
                </c:pt>
                <c:pt idx="19">
                  <c:v>0.38419463112023317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'Chg_R_posneg_A '!$A$21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'!$B$21:$U$21</c:f>
              <c:numCache>
                <c:formatCode>General</c:formatCode>
                <c:ptCount val="20"/>
                <c:pt idx="0">
                  <c:v>0.21462310410713381</c:v>
                </c:pt>
                <c:pt idx="1">
                  <c:v>0.2338790951774406</c:v>
                </c:pt>
                <c:pt idx="2">
                  <c:v>0.26729779430369649</c:v>
                </c:pt>
                <c:pt idx="3">
                  <c:v>0.28798437057374432</c:v>
                </c:pt>
                <c:pt idx="4">
                  <c:v>0.30571649842924337</c:v>
                </c:pt>
                <c:pt idx="5">
                  <c:v>0.32422303558107451</c:v>
                </c:pt>
                <c:pt idx="6">
                  <c:v>0.32884940735935453</c:v>
                </c:pt>
                <c:pt idx="7">
                  <c:v>0.33665864258040568</c:v>
                </c:pt>
                <c:pt idx="8">
                  <c:v>0.34167440852981884</c:v>
                </c:pt>
                <c:pt idx="9">
                  <c:v>0.34868541097658223</c:v>
                </c:pt>
                <c:pt idx="10">
                  <c:v>0.35244169318546459</c:v>
                </c:pt>
                <c:pt idx="11">
                  <c:v>0.35694618065359057</c:v>
                </c:pt>
                <c:pt idx="12">
                  <c:v>0.35811138469849385</c:v>
                </c:pt>
                <c:pt idx="13">
                  <c:v>0.35625588553814624</c:v>
                </c:pt>
                <c:pt idx="14">
                  <c:v>0.357554876753992</c:v>
                </c:pt>
                <c:pt idx="15">
                  <c:v>0.35972930977328432</c:v>
                </c:pt>
                <c:pt idx="16">
                  <c:v>0.36224086570152375</c:v>
                </c:pt>
                <c:pt idx="17">
                  <c:v>0.36162043011525019</c:v>
                </c:pt>
                <c:pt idx="18">
                  <c:v>0.37265292763599944</c:v>
                </c:pt>
                <c:pt idx="19">
                  <c:v>0.38439706570995591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'Chg_R_posneg_A '!$A$22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'!$B$22:$U$22</c:f>
              <c:numCache>
                <c:formatCode>General</c:formatCode>
                <c:ptCount val="20"/>
                <c:pt idx="0">
                  <c:v>0.20326362386767091</c:v>
                </c:pt>
                <c:pt idx="1">
                  <c:v>0.22008683161070719</c:v>
                </c:pt>
                <c:pt idx="2">
                  <c:v>0.25286811923498242</c:v>
                </c:pt>
                <c:pt idx="3">
                  <c:v>0.27308161847289614</c:v>
                </c:pt>
                <c:pt idx="4">
                  <c:v>0.29256159687758099</c:v>
                </c:pt>
                <c:pt idx="5">
                  <c:v>0.30760928280659078</c:v>
                </c:pt>
                <c:pt idx="6">
                  <c:v>0.31315263052227543</c:v>
                </c:pt>
                <c:pt idx="7">
                  <c:v>0.31962235901484243</c:v>
                </c:pt>
                <c:pt idx="8">
                  <c:v>0.32768665487056814</c:v>
                </c:pt>
                <c:pt idx="9">
                  <c:v>0.33096254518899909</c:v>
                </c:pt>
                <c:pt idx="10">
                  <c:v>0.34013238135441487</c:v>
                </c:pt>
                <c:pt idx="11">
                  <c:v>0.33905395591278198</c:v>
                </c:pt>
                <c:pt idx="12">
                  <c:v>0.34379932845648725</c:v>
                </c:pt>
                <c:pt idx="13">
                  <c:v>0.34987163045324421</c:v>
                </c:pt>
                <c:pt idx="14">
                  <c:v>0.3603057094960721</c:v>
                </c:pt>
                <c:pt idx="15">
                  <c:v>0.3621638348349096</c:v>
                </c:pt>
                <c:pt idx="16">
                  <c:v>0.36765298999457069</c:v>
                </c:pt>
                <c:pt idx="17">
                  <c:v>0.36038371294692179</c:v>
                </c:pt>
                <c:pt idx="18">
                  <c:v>0.36741740943843992</c:v>
                </c:pt>
                <c:pt idx="19">
                  <c:v>0.3731200734151035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'Chg_R_posneg_A '!$A$23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'!$B$23:$U$23</c:f>
              <c:numCache>
                <c:formatCode>General</c:formatCode>
                <c:ptCount val="20"/>
                <c:pt idx="0">
                  <c:v>0.21381507964393812</c:v>
                </c:pt>
                <c:pt idx="1">
                  <c:v>0.2347294048417409</c:v>
                </c:pt>
                <c:pt idx="2">
                  <c:v>0.26973122701931251</c:v>
                </c:pt>
                <c:pt idx="3">
                  <c:v>0.28882622667707958</c:v>
                </c:pt>
                <c:pt idx="4">
                  <c:v>0.30590435664060284</c:v>
                </c:pt>
                <c:pt idx="5">
                  <c:v>0.31996741054486488</c:v>
                </c:pt>
                <c:pt idx="6">
                  <c:v>0.32714007944417195</c:v>
                </c:pt>
                <c:pt idx="7">
                  <c:v>0.33479577865785609</c:v>
                </c:pt>
                <c:pt idx="8">
                  <c:v>0.3456744856028483</c:v>
                </c:pt>
                <c:pt idx="9">
                  <c:v>0.35558271710056116</c:v>
                </c:pt>
                <c:pt idx="10">
                  <c:v>0.36040058157375204</c:v>
                </c:pt>
                <c:pt idx="11">
                  <c:v>0.36275886193665663</c:v>
                </c:pt>
                <c:pt idx="12">
                  <c:v>0.3623876612826013</c:v>
                </c:pt>
                <c:pt idx="13">
                  <c:v>0.36415429617231615</c:v>
                </c:pt>
                <c:pt idx="14">
                  <c:v>0.36596121266777404</c:v>
                </c:pt>
                <c:pt idx="15">
                  <c:v>0.36165365467115984</c:v>
                </c:pt>
                <c:pt idx="16">
                  <c:v>0.36296878177314917</c:v>
                </c:pt>
                <c:pt idx="17">
                  <c:v>0.36337108137354951</c:v>
                </c:pt>
                <c:pt idx="18">
                  <c:v>0.3808948557611842</c:v>
                </c:pt>
                <c:pt idx="19">
                  <c:v>0.39213542878338142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'Chg_R_posneg_A '!$A$24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'!$B$24:$U$24</c:f>
              <c:numCache>
                <c:formatCode>General</c:formatCode>
                <c:ptCount val="20"/>
                <c:pt idx="0">
                  <c:v>0.20484592754471107</c:v>
                </c:pt>
                <c:pt idx="1">
                  <c:v>0.22172020990656596</c:v>
                </c:pt>
                <c:pt idx="2">
                  <c:v>0.25106071441662264</c:v>
                </c:pt>
                <c:pt idx="3">
                  <c:v>0.26153903633412612</c:v>
                </c:pt>
                <c:pt idx="4">
                  <c:v>0.27663340214826404</c:v>
                </c:pt>
                <c:pt idx="5">
                  <c:v>0.29706672012930246</c:v>
                </c:pt>
                <c:pt idx="6">
                  <c:v>0.30670151436504656</c:v>
                </c:pt>
                <c:pt idx="7">
                  <c:v>0.32451149208425895</c:v>
                </c:pt>
                <c:pt idx="8">
                  <c:v>0.32371032667444383</c:v>
                </c:pt>
                <c:pt idx="9">
                  <c:v>0.32966622617839064</c:v>
                </c:pt>
                <c:pt idx="10">
                  <c:v>0.33551497210342873</c:v>
                </c:pt>
                <c:pt idx="11">
                  <c:v>0.33865153771969875</c:v>
                </c:pt>
                <c:pt idx="12">
                  <c:v>0.3367017557090628</c:v>
                </c:pt>
                <c:pt idx="13">
                  <c:v>0.3420423951697163</c:v>
                </c:pt>
                <c:pt idx="14">
                  <c:v>0.33970632292792907</c:v>
                </c:pt>
                <c:pt idx="15">
                  <c:v>0.33607337657258013</c:v>
                </c:pt>
                <c:pt idx="16">
                  <c:v>0.33815689618577005</c:v>
                </c:pt>
                <c:pt idx="17">
                  <c:v>0.34012245204488589</c:v>
                </c:pt>
                <c:pt idx="18">
                  <c:v>0.3463598679600503</c:v>
                </c:pt>
                <c:pt idx="19">
                  <c:v>0.34956393535181191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'Chg_R_posneg_A '!$A$25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'!$B$25:$U$25</c:f>
              <c:numCache>
                <c:formatCode>General</c:formatCode>
                <c:ptCount val="20"/>
                <c:pt idx="0">
                  <c:v>0.21481436608068175</c:v>
                </c:pt>
                <c:pt idx="1">
                  <c:v>0.23315433771067226</c:v>
                </c:pt>
                <c:pt idx="2">
                  <c:v>0.26791485872025622</c:v>
                </c:pt>
                <c:pt idx="3">
                  <c:v>0.2875199038516158</c:v>
                </c:pt>
                <c:pt idx="4">
                  <c:v>0.31027665547330652</c:v>
                </c:pt>
                <c:pt idx="5">
                  <c:v>0.32258213152701676</c:v>
                </c:pt>
                <c:pt idx="6">
                  <c:v>0.32970294985805382</c:v>
                </c:pt>
                <c:pt idx="7">
                  <c:v>0.33533356589426194</c:v>
                </c:pt>
                <c:pt idx="8">
                  <c:v>0.34225436194065545</c:v>
                </c:pt>
                <c:pt idx="9">
                  <c:v>0.35636206877780913</c:v>
                </c:pt>
                <c:pt idx="10">
                  <c:v>0.36509703813123406</c:v>
                </c:pt>
                <c:pt idx="11">
                  <c:v>0.36768661650854007</c:v>
                </c:pt>
                <c:pt idx="12">
                  <c:v>0.36766984140197045</c:v>
                </c:pt>
                <c:pt idx="13">
                  <c:v>0.36430428742151105</c:v>
                </c:pt>
                <c:pt idx="14">
                  <c:v>0.36440536809743551</c:v>
                </c:pt>
                <c:pt idx="15">
                  <c:v>0.36192764982228282</c:v>
                </c:pt>
                <c:pt idx="16">
                  <c:v>0.37352323048176778</c:v>
                </c:pt>
                <c:pt idx="17">
                  <c:v>0.37203919725978912</c:v>
                </c:pt>
                <c:pt idx="18">
                  <c:v>0.38868594513285476</c:v>
                </c:pt>
                <c:pt idx="19">
                  <c:v>0.40371724739647585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'Chg_R_posneg_A '!$A$26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'!$B$26:$U$26</c:f>
              <c:numCache>
                <c:formatCode>General</c:formatCode>
                <c:ptCount val="20"/>
                <c:pt idx="0">
                  <c:v>0.18816987322564438</c:v>
                </c:pt>
                <c:pt idx="1">
                  <c:v>0.22344144283853359</c:v>
                </c:pt>
                <c:pt idx="2">
                  <c:v>0.28120452659043765</c:v>
                </c:pt>
                <c:pt idx="3">
                  <c:v>0.32006446453666487</c:v>
                </c:pt>
                <c:pt idx="4">
                  <c:v>0.35769396069481396</c:v>
                </c:pt>
                <c:pt idx="5">
                  <c:v>0.39422147807862812</c:v>
                </c:pt>
                <c:pt idx="6">
                  <c:v>0.41163896303034364</c:v>
                </c:pt>
                <c:pt idx="7">
                  <c:v>0.42989450741012364</c:v>
                </c:pt>
                <c:pt idx="8">
                  <c:v>0.45932153580330842</c:v>
                </c:pt>
                <c:pt idx="9">
                  <c:v>0.46155352440967728</c:v>
                </c:pt>
                <c:pt idx="10">
                  <c:v>0.45988651976368755</c:v>
                </c:pt>
                <c:pt idx="11">
                  <c:v>0.48281650024453232</c:v>
                </c:pt>
                <c:pt idx="12">
                  <c:v>0.48676781845244227</c:v>
                </c:pt>
                <c:pt idx="13">
                  <c:v>0.49157836501313557</c:v>
                </c:pt>
                <c:pt idx="14">
                  <c:v>0.50119221518893964</c:v>
                </c:pt>
                <c:pt idx="15">
                  <c:v>0.50892470162517212</c:v>
                </c:pt>
                <c:pt idx="16">
                  <c:v>0.51218354155924228</c:v>
                </c:pt>
                <c:pt idx="17">
                  <c:v>0.51679569302901163</c:v>
                </c:pt>
                <c:pt idx="18">
                  <c:v>0.52618686264270276</c:v>
                </c:pt>
                <c:pt idx="19">
                  <c:v>0.52131907627690355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'Chg_R_posneg_A '!$A$27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'!$B$27:$U$27</c:f>
              <c:numCache>
                <c:formatCode>General</c:formatCode>
                <c:ptCount val="20"/>
                <c:pt idx="0">
                  <c:v>0.20968517516325721</c:v>
                </c:pt>
                <c:pt idx="1">
                  <c:v>0.22591539501763513</c:v>
                </c:pt>
                <c:pt idx="2">
                  <c:v>0.25174449148857214</c:v>
                </c:pt>
                <c:pt idx="3">
                  <c:v>0.26116767169572258</c:v>
                </c:pt>
                <c:pt idx="4">
                  <c:v>0.27557036216341929</c:v>
                </c:pt>
                <c:pt idx="5">
                  <c:v>0.28500140555495657</c:v>
                </c:pt>
                <c:pt idx="6">
                  <c:v>0.29873909262223081</c:v>
                </c:pt>
                <c:pt idx="7">
                  <c:v>0.30550431723814808</c:v>
                </c:pt>
                <c:pt idx="8">
                  <c:v>0.31138301072048014</c:v>
                </c:pt>
                <c:pt idx="9">
                  <c:v>0.31649039580405225</c:v>
                </c:pt>
                <c:pt idx="10">
                  <c:v>0.31403846010682634</c:v>
                </c:pt>
                <c:pt idx="11">
                  <c:v>0.32478688192320238</c:v>
                </c:pt>
                <c:pt idx="12">
                  <c:v>0.33600437439283815</c:v>
                </c:pt>
                <c:pt idx="13">
                  <c:v>0.33676384103558854</c:v>
                </c:pt>
                <c:pt idx="14">
                  <c:v>0.33434511452411569</c:v>
                </c:pt>
                <c:pt idx="15">
                  <c:v>0.32975082213400259</c:v>
                </c:pt>
                <c:pt idx="16">
                  <c:v>0.3330157371172226</c:v>
                </c:pt>
                <c:pt idx="17">
                  <c:v>0.33064480167353899</c:v>
                </c:pt>
                <c:pt idx="18">
                  <c:v>0.33503660547844083</c:v>
                </c:pt>
                <c:pt idx="19">
                  <c:v>0.34989019521546338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'Chg_R_posneg_A '!$A$28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'!$B$28:$U$28</c:f>
              <c:numCache>
                <c:formatCode>General</c:formatCode>
                <c:ptCount val="20"/>
                <c:pt idx="0">
                  <c:v>0.20840042138686088</c:v>
                </c:pt>
                <c:pt idx="1">
                  <c:v>0.22682682911164806</c:v>
                </c:pt>
                <c:pt idx="2">
                  <c:v>0.26010375495038363</c:v>
                </c:pt>
                <c:pt idx="3">
                  <c:v>0.27682238191499997</c:v>
                </c:pt>
                <c:pt idx="4">
                  <c:v>0.29071011066272867</c:v>
                </c:pt>
                <c:pt idx="5">
                  <c:v>0.30910113691740621</c:v>
                </c:pt>
                <c:pt idx="6">
                  <c:v>0.31944570974119824</c:v>
                </c:pt>
                <c:pt idx="7">
                  <c:v>0.32928238779259345</c:v>
                </c:pt>
                <c:pt idx="8">
                  <c:v>0.34429399109063802</c:v>
                </c:pt>
                <c:pt idx="9">
                  <c:v>0.35977613940131803</c:v>
                </c:pt>
                <c:pt idx="10">
                  <c:v>0.36110025703837278</c:v>
                </c:pt>
                <c:pt idx="11">
                  <c:v>0.36394298017077104</c:v>
                </c:pt>
                <c:pt idx="12">
                  <c:v>0.36164524951678284</c:v>
                </c:pt>
                <c:pt idx="13">
                  <c:v>0.36653315355329952</c:v>
                </c:pt>
                <c:pt idx="14">
                  <c:v>0.37096272168542332</c:v>
                </c:pt>
                <c:pt idx="15">
                  <c:v>0.3605067023298455</c:v>
                </c:pt>
                <c:pt idx="16">
                  <c:v>0.36232225659696221</c:v>
                </c:pt>
                <c:pt idx="17">
                  <c:v>0.36566831181674869</c:v>
                </c:pt>
                <c:pt idx="18">
                  <c:v>0.37145379337522055</c:v>
                </c:pt>
                <c:pt idx="19">
                  <c:v>0.37147369314572365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'Chg_R_posneg_A '!$A$29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'!$B$29:$U$29</c:f>
              <c:numCache>
                <c:formatCode>General</c:formatCode>
                <c:ptCount val="20"/>
                <c:pt idx="0">
                  <c:v>0.2143185716754484</c:v>
                </c:pt>
                <c:pt idx="1">
                  <c:v>0.22835529457183204</c:v>
                </c:pt>
                <c:pt idx="2">
                  <c:v>0.26023703463295056</c:v>
                </c:pt>
                <c:pt idx="3">
                  <c:v>0.26931812640672204</c:v>
                </c:pt>
                <c:pt idx="4">
                  <c:v>0.28501185479048058</c:v>
                </c:pt>
                <c:pt idx="5">
                  <c:v>0.29486846319755156</c:v>
                </c:pt>
                <c:pt idx="6">
                  <c:v>0.29870139875130636</c:v>
                </c:pt>
                <c:pt idx="7">
                  <c:v>0.3040988394614732</c:v>
                </c:pt>
                <c:pt idx="8">
                  <c:v>0.30773659455319674</c:v>
                </c:pt>
                <c:pt idx="9">
                  <c:v>0.30569675221382148</c:v>
                </c:pt>
                <c:pt idx="10">
                  <c:v>0.30577433848690155</c:v>
                </c:pt>
                <c:pt idx="11">
                  <c:v>0.30127271300604758</c:v>
                </c:pt>
                <c:pt idx="12">
                  <c:v>0.29569824029927783</c:v>
                </c:pt>
                <c:pt idx="13">
                  <c:v>0.29127310378892918</c:v>
                </c:pt>
                <c:pt idx="14">
                  <c:v>0.28624841607140855</c:v>
                </c:pt>
                <c:pt idx="15">
                  <c:v>0.28787994280700729</c:v>
                </c:pt>
                <c:pt idx="16">
                  <c:v>0.29433347800911941</c:v>
                </c:pt>
                <c:pt idx="17">
                  <c:v>0.29833225720197226</c:v>
                </c:pt>
                <c:pt idx="18">
                  <c:v>0.31297457410882901</c:v>
                </c:pt>
                <c:pt idx="19">
                  <c:v>0.32852573929201523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'Chg_R_posneg_A '!$A$30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'!$B$30:$U$30</c:f>
              <c:numCache>
                <c:formatCode>General</c:formatCode>
                <c:ptCount val="20"/>
                <c:pt idx="0">
                  <c:v>0.19450094452517194</c:v>
                </c:pt>
                <c:pt idx="1">
                  <c:v>0.19478193770615604</c:v>
                </c:pt>
                <c:pt idx="2">
                  <c:v>0.19457634786613198</c:v>
                </c:pt>
                <c:pt idx="3">
                  <c:v>0.19086061501202764</c:v>
                </c:pt>
                <c:pt idx="4">
                  <c:v>0.18928927546776686</c:v>
                </c:pt>
                <c:pt idx="5">
                  <c:v>0.18659208398332913</c:v>
                </c:pt>
                <c:pt idx="6">
                  <c:v>0.1850115218542355</c:v>
                </c:pt>
                <c:pt idx="7">
                  <c:v>0.18163304238774899</c:v>
                </c:pt>
                <c:pt idx="8">
                  <c:v>0.1848179744365174</c:v>
                </c:pt>
                <c:pt idx="9">
                  <c:v>0.1883145220635381</c:v>
                </c:pt>
                <c:pt idx="10">
                  <c:v>0.19013820710437732</c:v>
                </c:pt>
                <c:pt idx="11">
                  <c:v>0.17991425440099776</c:v>
                </c:pt>
                <c:pt idx="12">
                  <c:v>0.17705437740143315</c:v>
                </c:pt>
                <c:pt idx="13">
                  <c:v>0.16952593185522238</c:v>
                </c:pt>
                <c:pt idx="14">
                  <c:v>0.1714417594993084</c:v>
                </c:pt>
                <c:pt idx="15">
                  <c:v>0.17226664815567846</c:v>
                </c:pt>
                <c:pt idx="16">
                  <c:v>0.17072512352125718</c:v>
                </c:pt>
                <c:pt idx="17">
                  <c:v>0.17049377674127542</c:v>
                </c:pt>
                <c:pt idx="18">
                  <c:v>0.17214149032995316</c:v>
                </c:pt>
                <c:pt idx="19">
                  <c:v>0.17469666501173337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'Chg_R_posneg_A '!$A$31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'!$B$31:$U$31</c:f>
              <c:numCache>
                <c:formatCode>General</c:formatCode>
                <c:ptCount val="20"/>
                <c:pt idx="0">
                  <c:v>0.2171167970154276</c:v>
                </c:pt>
                <c:pt idx="1">
                  <c:v>0.21516883215608673</c:v>
                </c:pt>
                <c:pt idx="2">
                  <c:v>0.21269865384521894</c:v>
                </c:pt>
                <c:pt idx="3">
                  <c:v>0.21310394828226459</c:v>
                </c:pt>
                <c:pt idx="4">
                  <c:v>0.21699902709371038</c:v>
                </c:pt>
                <c:pt idx="5">
                  <c:v>0.22935934363525881</c:v>
                </c:pt>
                <c:pt idx="6">
                  <c:v>0.24417035781678434</c:v>
                </c:pt>
                <c:pt idx="7">
                  <c:v>0.25296950279491232</c:v>
                </c:pt>
                <c:pt idx="8">
                  <c:v>0.25794502115554829</c:v>
                </c:pt>
                <c:pt idx="9">
                  <c:v>0.26518703367017871</c:v>
                </c:pt>
                <c:pt idx="10">
                  <c:v>0.27664371009356309</c:v>
                </c:pt>
                <c:pt idx="11">
                  <c:v>0.28766631555262134</c:v>
                </c:pt>
                <c:pt idx="12">
                  <c:v>0.29051997623091852</c:v>
                </c:pt>
                <c:pt idx="13">
                  <c:v>0.2950952239421058</c:v>
                </c:pt>
                <c:pt idx="14">
                  <c:v>0.3010261461355187</c:v>
                </c:pt>
                <c:pt idx="15">
                  <c:v>0.29921521587336952</c:v>
                </c:pt>
                <c:pt idx="16">
                  <c:v>0.30333569153194395</c:v>
                </c:pt>
                <c:pt idx="17">
                  <c:v>0.30397911854829579</c:v>
                </c:pt>
                <c:pt idx="18">
                  <c:v>0.30944449164954241</c:v>
                </c:pt>
                <c:pt idx="19">
                  <c:v>0.31614394080125141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'Chg_R_posneg_A '!$A$32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'!$B$32:$U$32</c:f>
              <c:numCache>
                <c:formatCode>General</c:formatCode>
                <c:ptCount val="20"/>
                <c:pt idx="0">
                  <c:v>0.19567320416250245</c:v>
                </c:pt>
                <c:pt idx="1">
                  <c:v>0.2203511639679826</c:v>
                </c:pt>
                <c:pt idx="2">
                  <c:v>0.25624904488578359</c:v>
                </c:pt>
                <c:pt idx="3">
                  <c:v>0.27913441997054306</c:v>
                </c:pt>
                <c:pt idx="4">
                  <c:v>0.31107930870323353</c:v>
                </c:pt>
                <c:pt idx="5">
                  <c:v>0.3129060627798616</c:v>
                </c:pt>
                <c:pt idx="6">
                  <c:v>0.32884921899904368</c:v>
                </c:pt>
                <c:pt idx="7">
                  <c:v>0.35207797146878789</c:v>
                </c:pt>
                <c:pt idx="8">
                  <c:v>0.35487523247399738</c:v>
                </c:pt>
                <c:pt idx="9">
                  <c:v>0.3597757847729367</c:v>
                </c:pt>
                <c:pt idx="10">
                  <c:v>0.37690176088221983</c:v>
                </c:pt>
                <c:pt idx="11">
                  <c:v>0.39394841879912068</c:v>
                </c:pt>
                <c:pt idx="12">
                  <c:v>0.40229184132222151</c:v>
                </c:pt>
                <c:pt idx="13">
                  <c:v>0.41586434352238716</c:v>
                </c:pt>
                <c:pt idx="14">
                  <c:v>0.42672710450089735</c:v>
                </c:pt>
                <c:pt idx="15">
                  <c:v>0.44602916855382169</c:v>
                </c:pt>
                <c:pt idx="16">
                  <c:v>0.46943849375695951</c:v>
                </c:pt>
                <c:pt idx="17">
                  <c:v>0.45771787296898081</c:v>
                </c:pt>
                <c:pt idx="18">
                  <c:v>0.44880763423145592</c:v>
                </c:pt>
                <c:pt idx="19">
                  <c:v>0.46811794926846328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'Chg_R_posneg_A '!$A$33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'!$B$33:$U$33</c:f>
              <c:numCache>
                <c:formatCode>General</c:formatCode>
                <c:ptCount val="20"/>
                <c:pt idx="0">
                  <c:v>0.19261582945209618</c:v>
                </c:pt>
                <c:pt idx="1">
                  <c:v>0.21571195444666921</c:v>
                </c:pt>
                <c:pt idx="2">
                  <c:v>0.23943965925583474</c:v>
                </c:pt>
                <c:pt idx="3">
                  <c:v>0.26472866370165743</c:v>
                </c:pt>
                <c:pt idx="4">
                  <c:v>0.26668962938403223</c:v>
                </c:pt>
                <c:pt idx="5">
                  <c:v>0.2809553671497953</c:v>
                </c:pt>
                <c:pt idx="6">
                  <c:v>0.28848240355675747</c:v>
                </c:pt>
                <c:pt idx="7">
                  <c:v>0.30842758001727266</c:v>
                </c:pt>
                <c:pt idx="8">
                  <c:v>0.31998290226741233</c:v>
                </c:pt>
                <c:pt idx="9">
                  <c:v>0.33494634953012065</c:v>
                </c:pt>
                <c:pt idx="10">
                  <c:v>0.3540142052023551</c:v>
                </c:pt>
                <c:pt idx="11">
                  <c:v>0.35699683184888514</c:v>
                </c:pt>
                <c:pt idx="12">
                  <c:v>0.36956493193716616</c:v>
                </c:pt>
                <c:pt idx="13">
                  <c:v>0.38284068430691376</c:v>
                </c:pt>
                <c:pt idx="14">
                  <c:v>0.39313173258123663</c:v>
                </c:pt>
                <c:pt idx="15">
                  <c:v>0.3902652293447707</c:v>
                </c:pt>
                <c:pt idx="16">
                  <c:v>0.39936007939996521</c:v>
                </c:pt>
                <c:pt idx="17">
                  <c:v>0.41318782219297806</c:v>
                </c:pt>
                <c:pt idx="18">
                  <c:v>0.41574753226382788</c:v>
                </c:pt>
                <c:pt idx="19">
                  <c:v>0.4281631803517536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'Chg_R_posneg_A '!$A$34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'!$B$34:$U$34</c:f>
              <c:numCache>
                <c:formatCode>General</c:formatCode>
                <c:ptCount val="20"/>
                <c:pt idx="0">
                  <c:v>0.19097542193834174</c:v>
                </c:pt>
                <c:pt idx="1">
                  <c:v>0.21815694066410929</c:v>
                </c:pt>
                <c:pt idx="2">
                  <c:v>0.24432164377218904</c:v>
                </c:pt>
                <c:pt idx="3">
                  <c:v>0.2591446132275842</c:v>
                </c:pt>
                <c:pt idx="4">
                  <c:v>0.26943075156023771</c:v>
                </c:pt>
                <c:pt idx="5">
                  <c:v>0.2827441486440242</c:v>
                </c:pt>
                <c:pt idx="6">
                  <c:v>0.29379311524732343</c:v>
                </c:pt>
                <c:pt idx="7">
                  <c:v>0.29541423100181413</c:v>
                </c:pt>
                <c:pt idx="8">
                  <c:v>0.30414544189082671</c:v>
                </c:pt>
                <c:pt idx="9">
                  <c:v>0.3282228134233347</c:v>
                </c:pt>
                <c:pt idx="10">
                  <c:v>0.34656934182198684</c:v>
                </c:pt>
                <c:pt idx="11">
                  <c:v>0.34747043654573662</c:v>
                </c:pt>
                <c:pt idx="12">
                  <c:v>0.36247758979732642</c:v>
                </c:pt>
                <c:pt idx="13">
                  <c:v>0.37760985494048471</c:v>
                </c:pt>
                <c:pt idx="14">
                  <c:v>0.39267902818246103</c:v>
                </c:pt>
                <c:pt idx="15">
                  <c:v>0.40110955455394487</c:v>
                </c:pt>
                <c:pt idx="16">
                  <c:v>0.40310873069869252</c:v>
                </c:pt>
                <c:pt idx="17">
                  <c:v>0.39956116563766325</c:v>
                </c:pt>
                <c:pt idx="18">
                  <c:v>0.39547764313460559</c:v>
                </c:pt>
                <c:pt idx="19">
                  <c:v>0.40421704942251552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'Chg_R_posneg_A '!$A$35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'!$B$35:$U$35</c:f>
              <c:numCache>
                <c:formatCode>General</c:formatCode>
                <c:ptCount val="20"/>
                <c:pt idx="0">
                  <c:v>0.28940889992747487</c:v>
                </c:pt>
                <c:pt idx="1">
                  <c:v>0.30457607951130478</c:v>
                </c:pt>
                <c:pt idx="2">
                  <c:v>0.33473259562770658</c:v>
                </c:pt>
                <c:pt idx="3">
                  <c:v>0.36394643591111886</c:v>
                </c:pt>
                <c:pt idx="4">
                  <c:v>0.38720237306794542</c:v>
                </c:pt>
                <c:pt idx="5">
                  <c:v>0.40715426364351892</c:v>
                </c:pt>
                <c:pt idx="6">
                  <c:v>0.44125713164206953</c:v>
                </c:pt>
                <c:pt idx="7">
                  <c:v>0.46322499515156368</c:v>
                </c:pt>
                <c:pt idx="8">
                  <c:v>0.48654536977085289</c:v>
                </c:pt>
                <c:pt idx="9">
                  <c:v>0.50797041984151847</c:v>
                </c:pt>
                <c:pt idx="10">
                  <c:v>0.52036935522374705</c:v>
                </c:pt>
                <c:pt idx="11">
                  <c:v>0.52315420680373614</c:v>
                </c:pt>
                <c:pt idx="12">
                  <c:v>0.52756836188649658</c:v>
                </c:pt>
                <c:pt idx="13">
                  <c:v>0.53031475634259972</c:v>
                </c:pt>
                <c:pt idx="14">
                  <c:v>0.54505240148167033</c:v>
                </c:pt>
                <c:pt idx="15">
                  <c:v>0.54846985008809768</c:v>
                </c:pt>
                <c:pt idx="16">
                  <c:v>0.54038792240971822</c:v>
                </c:pt>
                <c:pt idx="17">
                  <c:v>0.54823678818306054</c:v>
                </c:pt>
                <c:pt idx="18">
                  <c:v>0.56143975135099522</c:v>
                </c:pt>
                <c:pt idx="19">
                  <c:v>0.60611072138198252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'Chg_R_posneg_A '!$A$36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'!$B$36:$U$36</c:f>
              <c:numCache>
                <c:formatCode>General</c:formatCode>
                <c:ptCount val="20"/>
                <c:pt idx="0">
                  <c:v>0.28902969155599723</c:v>
                </c:pt>
                <c:pt idx="1">
                  <c:v>0.30219457573531761</c:v>
                </c:pt>
                <c:pt idx="2">
                  <c:v>0.32511583931211385</c:v>
                </c:pt>
                <c:pt idx="3">
                  <c:v>0.34425578129050022</c:v>
                </c:pt>
                <c:pt idx="4">
                  <c:v>0.36051380699672003</c:v>
                </c:pt>
                <c:pt idx="5">
                  <c:v>0.38060492310111893</c:v>
                </c:pt>
                <c:pt idx="6">
                  <c:v>0.39810639045523744</c:v>
                </c:pt>
                <c:pt idx="7">
                  <c:v>0.41393017982497649</c:v>
                </c:pt>
                <c:pt idx="8">
                  <c:v>0.41426439980317059</c:v>
                </c:pt>
                <c:pt idx="9">
                  <c:v>0.42611319995350166</c:v>
                </c:pt>
                <c:pt idx="10">
                  <c:v>0.43093529545406539</c:v>
                </c:pt>
                <c:pt idx="11">
                  <c:v>0.43726401302224083</c:v>
                </c:pt>
                <c:pt idx="12">
                  <c:v>0.44548246916968348</c:v>
                </c:pt>
                <c:pt idx="13">
                  <c:v>0.44642763865241342</c:v>
                </c:pt>
                <c:pt idx="14">
                  <c:v>0.44075561468822327</c:v>
                </c:pt>
                <c:pt idx="15">
                  <c:v>0.44484357040152422</c:v>
                </c:pt>
                <c:pt idx="16">
                  <c:v>0.41645924404142748</c:v>
                </c:pt>
                <c:pt idx="17">
                  <c:v>0.42053605756390106</c:v>
                </c:pt>
                <c:pt idx="18">
                  <c:v>0.44518689509070297</c:v>
                </c:pt>
                <c:pt idx="19">
                  <c:v>0.4497372278358362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'Chg_R_posneg_A '!$A$37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'Chg_R_posneg_A '!$B$2:$U$2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'Chg_R_posneg_A '!$B$37:$U$37</c:f>
              <c:numCache>
                <c:formatCode>General</c:formatCode>
                <c:ptCount val="20"/>
                <c:pt idx="0">
                  <c:v>0.32950183404224181</c:v>
                </c:pt>
                <c:pt idx="1">
                  <c:v>0.35576802817364972</c:v>
                </c:pt>
                <c:pt idx="2">
                  <c:v>0.4001218365067461</c:v>
                </c:pt>
                <c:pt idx="3">
                  <c:v>0.44608346814066474</c:v>
                </c:pt>
                <c:pt idx="4">
                  <c:v>0.48343650379245912</c:v>
                </c:pt>
                <c:pt idx="5">
                  <c:v>0.51868844599530062</c:v>
                </c:pt>
                <c:pt idx="6">
                  <c:v>0.54875190978641919</c:v>
                </c:pt>
                <c:pt idx="7">
                  <c:v>0.56539506213054869</c:v>
                </c:pt>
                <c:pt idx="8">
                  <c:v>0.57940333654297582</c:v>
                </c:pt>
                <c:pt idx="9">
                  <c:v>0.60902835202917305</c:v>
                </c:pt>
                <c:pt idx="10">
                  <c:v>0.61759481291531382</c:v>
                </c:pt>
                <c:pt idx="11">
                  <c:v>0.6314467588128283</c:v>
                </c:pt>
                <c:pt idx="12">
                  <c:v>0.64315397117080908</c:v>
                </c:pt>
                <c:pt idx="13">
                  <c:v>0.64641371209374376</c:v>
                </c:pt>
                <c:pt idx="14">
                  <c:v>0.66368836147123245</c:v>
                </c:pt>
                <c:pt idx="15">
                  <c:v>0.67557909474146483</c:v>
                </c:pt>
                <c:pt idx="16">
                  <c:v>0.66750915258617638</c:v>
                </c:pt>
                <c:pt idx="17">
                  <c:v>0.67113850184455903</c:v>
                </c:pt>
                <c:pt idx="18">
                  <c:v>0.74908772191829953</c:v>
                </c:pt>
                <c:pt idx="19">
                  <c:v>0.77296054075963061</c:v>
                </c:pt>
              </c:numCache>
            </c:numRef>
          </c:yVal>
          <c:smooth val="1"/>
        </c:ser>
        <c:axId val="74159232"/>
        <c:axId val="74160768"/>
      </c:scatterChart>
      <c:valAx>
        <c:axId val="74159232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160768"/>
        <c:crosses val="autoZero"/>
        <c:crossBetween val="midCat"/>
      </c:valAx>
      <c:valAx>
        <c:axId val="74160768"/>
        <c:scaling>
          <c:orientation val="minMax"/>
        </c:scaling>
        <c:axPos val="l"/>
        <c:numFmt formatCode="General" sourceLinked="1"/>
        <c:tickLblPos val="nextTo"/>
        <c:crossAx val="741592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817927439133568"/>
          <c:y val="7.6658996488529405E-2"/>
          <c:w val="0.24721311475409835"/>
          <c:h val="0.8686747823455615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T_A!$B$3:$U$3</c:f>
              <c:numCache>
                <c:formatCode>General</c:formatCode>
                <c:ptCount val="20"/>
                <c:pt idx="0">
                  <c:v>2073.7089999999998</c:v>
                </c:pt>
                <c:pt idx="1">
                  <c:v>1403.7829999999999</c:v>
                </c:pt>
                <c:pt idx="2">
                  <c:v>882.81140000000005</c:v>
                </c:pt>
                <c:pt idx="3">
                  <c:v>622.33100000000002</c:v>
                </c:pt>
                <c:pt idx="4">
                  <c:v>467.52609999999999</c:v>
                </c:pt>
                <c:pt idx="5">
                  <c:v>376.99619999999999</c:v>
                </c:pt>
                <c:pt idx="6">
                  <c:v>317.31889999999999</c:v>
                </c:pt>
                <c:pt idx="7">
                  <c:v>273.1164</c:v>
                </c:pt>
                <c:pt idx="8">
                  <c:v>240.4939</c:v>
                </c:pt>
                <c:pt idx="9">
                  <c:v>213.76779999999999</c:v>
                </c:pt>
                <c:pt idx="10">
                  <c:v>191.56469999999999</c:v>
                </c:pt>
                <c:pt idx="11">
                  <c:v>175.6431</c:v>
                </c:pt>
                <c:pt idx="12">
                  <c:v>162.3519</c:v>
                </c:pt>
                <c:pt idx="13">
                  <c:v>149.3039</c:v>
                </c:pt>
                <c:pt idx="14">
                  <c:v>138.601</c:v>
                </c:pt>
                <c:pt idx="15">
                  <c:v>129.03980000000001</c:v>
                </c:pt>
                <c:pt idx="16">
                  <c:v>120.8909</c:v>
                </c:pt>
                <c:pt idx="17">
                  <c:v>115.18389999999999</c:v>
                </c:pt>
                <c:pt idx="18">
                  <c:v>112.4079</c:v>
                </c:pt>
                <c:pt idx="19">
                  <c:v>110.26690000000001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T_A!$B$21:$U$21</c:f>
              <c:numCache>
                <c:formatCode>General</c:formatCode>
                <c:ptCount val="20"/>
                <c:pt idx="0">
                  <c:v>8619.8349999999991</c:v>
                </c:pt>
                <c:pt idx="1">
                  <c:v>5576.5959999999995</c:v>
                </c:pt>
                <c:pt idx="2">
                  <c:v>3255.5369999999998</c:v>
                </c:pt>
                <c:pt idx="3">
                  <c:v>2155.1320000000001</c:v>
                </c:pt>
                <c:pt idx="4">
                  <c:v>1583.14</c:v>
                </c:pt>
                <c:pt idx="5">
                  <c:v>1244.5550000000001</c:v>
                </c:pt>
                <c:pt idx="6">
                  <c:v>1007.421</c:v>
                </c:pt>
                <c:pt idx="7">
                  <c:v>852.7876</c:v>
                </c:pt>
                <c:pt idx="8">
                  <c:v>739.55849999999998</c:v>
                </c:pt>
                <c:pt idx="9">
                  <c:v>652.65329999999994</c:v>
                </c:pt>
                <c:pt idx="10">
                  <c:v>580.79819999999995</c:v>
                </c:pt>
                <c:pt idx="11">
                  <c:v>523.85889999999995</c:v>
                </c:pt>
                <c:pt idx="12">
                  <c:v>476.66160000000002</c:v>
                </c:pt>
                <c:pt idx="13">
                  <c:v>441.57749999999999</c:v>
                </c:pt>
                <c:pt idx="14">
                  <c:v>411.71910000000003</c:v>
                </c:pt>
                <c:pt idx="15">
                  <c:v>383.10899999999998</c:v>
                </c:pt>
                <c:pt idx="16">
                  <c:v>360.20929999999998</c:v>
                </c:pt>
                <c:pt idx="17">
                  <c:v>341.22629999999998</c:v>
                </c:pt>
                <c:pt idx="18">
                  <c:v>316.64580000000001</c:v>
                </c:pt>
                <c:pt idx="19">
                  <c:v>300.36689999999999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T_A!$B$37:$U$37</c:f>
              <c:numCache>
                <c:formatCode>General</c:formatCode>
                <c:ptCount val="20"/>
                <c:pt idx="0">
                  <c:v>20895</c:v>
                </c:pt>
                <c:pt idx="1">
                  <c:v>14004.78</c:v>
                </c:pt>
                <c:pt idx="2">
                  <c:v>8545.5540000000001</c:v>
                </c:pt>
                <c:pt idx="3">
                  <c:v>5836.4979999999996</c:v>
                </c:pt>
                <c:pt idx="4">
                  <c:v>4318.433</c:v>
                </c:pt>
                <c:pt idx="5">
                  <c:v>3357.7379999999998</c:v>
                </c:pt>
                <c:pt idx="6">
                  <c:v>2701.5050000000001</c:v>
                </c:pt>
                <c:pt idx="7">
                  <c:v>2258.6179999999999</c:v>
                </c:pt>
                <c:pt idx="8">
                  <c:v>1914.1990000000001</c:v>
                </c:pt>
                <c:pt idx="9">
                  <c:v>1652.01</c:v>
                </c:pt>
                <c:pt idx="10">
                  <c:v>1458.383</c:v>
                </c:pt>
                <c:pt idx="11">
                  <c:v>1290.0619999999999</c:v>
                </c:pt>
                <c:pt idx="12">
                  <c:v>1149.6500000000001</c:v>
                </c:pt>
                <c:pt idx="13">
                  <c:v>1042.115</c:v>
                </c:pt>
                <c:pt idx="14">
                  <c:v>954.12990000000002</c:v>
                </c:pt>
                <c:pt idx="15">
                  <c:v>876.77419999999995</c:v>
                </c:pt>
                <c:pt idx="16">
                  <c:v>805.22820000000002</c:v>
                </c:pt>
                <c:pt idx="17">
                  <c:v>743.49180000000001</c:v>
                </c:pt>
                <c:pt idx="18">
                  <c:v>714.42650000000003</c:v>
                </c:pt>
                <c:pt idx="19">
                  <c:v>671.89009999999996</c:v>
                </c:pt>
              </c:numCache>
            </c:numRef>
          </c:yVal>
          <c:smooth val="1"/>
        </c:ser>
        <c:axId val="99230848"/>
        <c:axId val="99232768"/>
      </c:scatterChart>
      <c:valAx>
        <c:axId val="9923084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232768"/>
        <c:crosses val="autoZero"/>
        <c:crossBetween val="midCat"/>
      </c:valAx>
      <c:valAx>
        <c:axId val="99232768"/>
        <c:scaling>
          <c:orientation val="minMax"/>
        </c:scaling>
        <c:axPos val="l"/>
        <c:numFmt formatCode="General" sourceLinked="1"/>
        <c:tickLblPos val="nextTo"/>
        <c:crossAx val="992308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750174978127723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T_A!$A$3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T_A!$B$3:$U$3</c:f>
              <c:numCache>
                <c:formatCode>General</c:formatCode>
                <c:ptCount val="20"/>
                <c:pt idx="0">
                  <c:v>2073.7089999999998</c:v>
                </c:pt>
                <c:pt idx="1">
                  <c:v>1403.7829999999999</c:v>
                </c:pt>
                <c:pt idx="2">
                  <c:v>882.81140000000005</c:v>
                </c:pt>
                <c:pt idx="3">
                  <c:v>622.33100000000002</c:v>
                </c:pt>
                <c:pt idx="4">
                  <c:v>467.52609999999999</c:v>
                </c:pt>
                <c:pt idx="5">
                  <c:v>376.99619999999999</c:v>
                </c:pt>
                <c:pt idx="6">
                  <c:v>317.31889999999999</c:v>
                </c:pt>
                <c:pt idx="7">
                  <c:v>273.1164</c:v>
                </c:pt>
                <c:pt idx="8">
                  <c:v>240.4939</c:v>
                </c:pt>
                <c:pt idx="9">
                  <c:v>213.76779999999999</c:v>
                </c:pt>
                <c:pt idx="10">
                  <c:v>191.56469999999999</c:v>
                </c:pt>
                <c:pt idx="11">
                  <c:v>175.6431</c:v>
                </c:pt>
                <c:pt idx="12">
                  <c:v>162.3519</c:v>
                </c:pt>
                <c:pt idx="13">
                  <c:v>149.3039</c:v>
                </c:pt>
                <c:pt idx="14">
                  <c:v>138.601</c:v>
                </c:pt>
                <c:pt idx="15">
                  <c:v>129.03980000000001</c:v>
                </c:pt>
                <c:pt idx="16">
                  <c:v>120.8909</c:v>
                </c:pt>
                <c:pt idx="17">
                  <c:v>115.18389999999999</c:v>
                </c:pt>
                <c:pt idx="18">
                  <c:v>112.4079</c:v>
                </c:pt>
                <c:pt idx="19">
                  <c:v>110.26690000000001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T_A!$A$4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T_A!$B$4:$U$4</c:f>
              <c:numCache>
                <c:formatCode>General</c:formatCode>
                <c:ptCount val="20"/>
                <c:pt idx="0">
                  <c:v>2732.0859999999998</c:v>
                </c:pt>
                <c:pt idx="1">
                  <c:v>1811.431</c:v>
                </c:pt>
                <c:pt idx="2">
                  <c:v>1081.8789999999999</c:v>
                </c:pt>
                <c:pt idx="3">
                  <c:v>740.6164</c:v>
                </c:pt>
                <c:pt idx="4">
                  <c:v>553.61410000000001</c:v>
                </c:pt>
                <c:pt idx="5">
                  <c:v>438.97190000000001</c:v>
                </c:pt>
                <c:pt idx="6">
                  <c:v>371.53859999999997</c:v>
                </c:pt>
                <c:pt idx="7">
                  <c:v>316.91570000000002</c:v>
                </c:pt>
                <c:pt idx="8">
                  <c:v>275.02789999999999</c:v>
                </c:pt>
                <c:pt idx="9">
                  <c:v>244.24270000000001</c:v>
                </c:pt>
                <c:pt idx="10">
                  <c:v>220.16399999999999</c:v>
                </c:pt>
                <c:pt idx="11">
                  <c:v>194.64400000000001</c:v>
                </c:pt>
                <c:pt idx="12">
                  <c:v>178.63589999999999</c:v>
                </c:pt>
                <c:pt idx="13">
                  <c:v>167.3997</c:v>
                </c:pt>
                <c:pt idx="14">
                  <c:v>154.77180000000001</c:v>
                </c:pt>
                <c:pt idx="15">
                  <c:v>144.71690000000001</c:v>
                </c:pt>
                <c:pt idx="16">
                  <c:v>134.51900000000001</c:v>
                </c:pt>
                <c:pt idx="17">
                  <c:v>126.81780000000001</c:v>
                </c:pt>
                <c:pt idx="18">
                  <c:v>121.89490000000001</c:v>
                </c:pt>
                <c:pt idx="19">
                  <c:v>117.0959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T_A!$A$5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T_A!$B$5:$U$5</c:f>
              <c:numCache>
                <c:formatCode>General</c:formatCode>
                <c:ptCount val="20"/>
                <c:pt idx="0">
                  <c:v>4634.8620000000001</c:v>
                </c:pt>
                <c:pt idx="1">
                  <c:v>3084.4119999999998</c:v>
                </c:pt>
                <c:pt idx="2">
                  <c:v>1932.2260000000001</c:v>
                </c:pt>
                <c:pt idx="3">
                  <c:v>1356.3130000000001</c:v>
                </c:pt>
                <c:pt idx="4">
                  <c:v>1028.8040000000001</c:v>
                </c:pt>
                <c:pt idx="5">
                  <c:v>819.43960000000004</c:v>
                </c:pt>
                <c:pt idx="6">
                  <c:v>673.32119999999998</c:v>
                </c:pt>
                <c:pt idx="7">
                  <c:v>574.56920000000002</c:v>
                </c:pt>
                <c:pt idx="8">
                  <c:v>506.9846</c:v>
                </c:pt>
                <c:pt idx="9">
                  <c:v>443.84179999999998</c:v>
                </c:pt>
                <c:pt idx="10">
                  <c:v>403.87169999999998</c:v>
                </c:pt>
                <c:pt idx="11">
                  <c:v>365.41480000000001</c:v>
                </c:pt>
                <c:pt idx="12">
                  <c:v>333.98090000000002</c:v>
                </c:pt>
                <c:pt idx="13">
                  <c:v>311.79450000000003</c:v>
                </c:pt>
                <c:pt idx="14">
                  <c:v>289.88409999999999</c:v>
                </c:pt>
                <c:pt idx="15">
                  <c:v>267.74090000000001</c:v>
                </c:pt>
                <c:pt idx="16">
                  <c:v>251.8767</c:v>
                </c:pt>
                <c:pt idx="17">
                  <c:v>237.27789999999999</c:v>
                </c:pt>
                <c:pt idx="18">
                  <c:v>229.1627</c:v>
                </c:pt>
                <c:pt idx="19">
                  <c:v>220.73179999999999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T_A!$A$6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T_A!$B$6:$U$6</c:f>
              <c:numCache>
                <c:formatCode>General</c:formatCode>
                <c:ptCount val="20"/>
                <c:pt idx="0">
                  <c:v>1615.779</c:v>
                </c:pt>
                <c:pt idx="1">
                  <c:v>921.40899999999999</c:v>
                </c:pt>
                <c:pt idx="2">
                  <c:v>537.24220000000003</c:v>
                </c:pt>
                <c:pt idx="3">
                  <c:v>370.28339999999997</c:v>
                </c:pt>
                <c:pt idx="4">
                  <c:v>273.11200000000002</c:v>
                </c:pt>
                <c:pt idx="5">
                  <c:v>218.83690000000001</c:v>
                </c:pt>
                <c:pt idx="6">
                  <c:v>180.5104</c:v>
                </c:pt>
                <c:pt idx="7">
                  <c:v>152.03309999999999</c:v>
                </c:pt>
                <c:pt idx="8">
                  <c:v>132.64009999999999</c:v>
                </c:pt>
                <c:pt idx="9">
                  <c:v>117.9783</c:v>
                </c:pt>
                <c:pt idx="10">
                  <c:v>105.41719999999999</c:v>
                </c:pt>
                <c:pt idx="11">
                  <c:v>95.803139999999999</c:v>
                </c:pt>
                <c:pt idx="12">
                  <c:v>89.488110000000006</c:v>
                </c:pt>
                <c:pt idx="13">
                  <c:v>82.311089999999993</c:v>
                </c:pt>
                <c:pt idx="14">
                  <c:v>76.837100000000007</c:v>
                </c:pt>
                <c:pt idx="15">
                  <c:v>70.88306</c:v>
                </c:pt>
                <c:pt idx="16">
                  <c:v>68.017020000000002</c:v>
                </c:pt>
                <c:pt idx="17">
                  <c:v>64.455039999999997</c:v>
                </c:pt>
                <c:pt idx="18">
                  <c:v>60.682000000000002</c:v>
                </c:pt>
                <c:pt idx="19">
                  <c:v>58.034970000000001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T_A!$A$7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T_A!$B$7:$U$7</c:f>
              <c:numCache>
                <c:formatCode>General</c:formatCode>
                <c:ptCount val="20"/>
                <c:pt idx="0">
                  <c:v>1561.171</c:v>
                </c:pt>
                <c:pt idx="1">
                  <c:v>885.73159999999996</c:v>
                </c:pt>
                <c:pt idx="2">
                  <c:v>517.40329999999994</c:v>
                </c:pt>
                <c:pt idx="3">
                  <c:v>357.31970000000001</c:v>
                </c:pt>
                <c:pt idx="4">
                  <c:v>270.51190000000003</c:v>
                </c:pt>
                <c:pt idx="5">
                  <c:v>217.24199999999999</c:v>
                </c:pt>
                <c:pt idx="6">
                  <c:v>179.73859999999999</c:v>
                </c:pt>
                <c:pt idx="7">
                  <c:v>153.54589999999999</c:v>
                </c:pt>
                <c:pt idx="8">
                  <c:v>136.31209999999999</c:v>
                </c:pt>
                <c:pt idx="9">
                  <c:v>120.0433</c:v>
                </c:pt>
                <c:pt idx="10">
                  <c:v>107.00530000000001</c:v>
                </c:pt>
                <c:pt idx="11">
                  <c:v>95.741200000000006</c:v>
                </c:pt>
                <c:pt idx="12">
                  <c:v>85.470160000000007</c:v>
                </c:pt>
                <c:pt idx="13">
                  <c:v>78.308109999999999</c:v>
                </c:pt>
                <c:pt idx="14">
                  <c:v>72.079089999999994</c:v>
                </c:pt>
                <c:pt idx="15">
                  <c:v>68.029079999999993</c:v>
                </c:pt>
                <c:pt idx="16">
                  <c:v>63.703049999999998</c:v>
                </c:pt>
                <c:pt idx="17">
                  <c:v>59.189019999999999</c:v>
                </c:pt>
                <c:pt idx="18">
                  <c:v>57.056019999999997</c:v>
                </c:pt>
                <c:pt idx="19">
                  <c:v>55.369990000000001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T_A!$A$8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T_A!$B$8:$U$8</c:f>
              <c:numCache>
                <c:formatCode>General</c:formatCode>
                <c:ptCount val="20"/>
                <c:pt idx="0">
                  <c:v>1620.0619999999999</c:v>
                </c:pt>
                <c:pt idx="1">
                  <c:v>939.78549999999996</c:v>
                </c:pt>
                <c:pt idx="2">
                  <c:v>538.44849999999997</c:v>
                </c:pt>
                <c:pt idx="3">
                  <c:v>379.39530000000002</c:v>
                </c:pt>
                <c:pt idx="4">
                  <c:v>283.76949999999999</c:v>
                </c:pt>
                <c:pt idx="5">
                  <c:v>224.59809999999999</c:v>
                </c:pt>
                <c:pt idx="6">
                  <c:v>186.01669999999999</c:v>
                </c:pt>
                <c:pt idx="7">
                  <c:v>156.6662</c:v>
                </c:pt>
                <c:pt idx="8">
                  <c:v>139.16800000000001</c:v>
                </c:pt>
                <c:pt idx="9">
                  <c:v>120.2013</c:v>
                </c:pt>
                <c:pt idx="10">
                  <c:v>107.9003</c:v>
                </c:pt>
                <c:pt idx="11">
                  <c:v>100.8242</c:v>
                </c:pt>
                <c:pt idx="12">
                  <c:v>92.630170000000007</c:v>
                </c:pt>
                <c:pt idx="13">
                  <c:v>85.179180000000002</c:v>
                </c:pt>
                <c:pt idx="14">
                  <c:v>78.926150000000007</c:v>
                </c:pt>
                <c:pt idx="15">
                  <c:v>74.175120000000007</c:v>
                </c:pt>
                <c:pt idx="16">
                  <c:v>70.579099999999997</c:v>
                </c:pt>
                <c:pt idx="17">
                  <c:v>66.034049999999993</c:v>
                </c:pt>
                <c:pt idx="18">
                  <c:v>62.73198</c:v>
                </c:pt>
                <c:pt idx="19">
                  <c:v>60.130940000000002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T_A!$A$9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T_A!$B$9:$U$9</c:f>
              <c:numCache>
                <c:formatCode>General</c:formatCode>
                <c:ptCount val="20"/>
                <c:pt idx="0">
                  <c:v>1590.52</c:v>
                </c:pt>
                <c:pt idx="1">
                  <c:v>906.90589999999997</c:v>
                </c:pt>
                <c:pt idx="2">
                  <c:v>519.98519999999996</c:v>
                </c:pt>
                <c:pt idx="3">
                  <c:v>367.31959999999998</c:v>
                </c:pt>
                <c:pt idx="4">
                  <c:v>274.76170000000002</c:v>
                </c:pt>
                <c:pt idx="5">
                  <c:v>213.70609999999999</c:v>
                </c:pt>
                <c:pt idx="6">
                  <c:v>179.66560000000001</c:v>
                </c:pt>
                <c:pt idx="7">
                  <c:v>155.65799999999999</c:v>
                </c:pt>
                <c:pt idx="8">
                  <c:v>136.494</c:v>
                </c:pt>
                <c:pt idx="9">
                  <c:v>119.9512</c:v>
                </c:pt>
                <c:pt idx="10">
                  <c:v>107.8503</c:v>
                </c:pt>
                <c:pt idx="11">
                  <c:v>97.743210000000005</c:v>
                </c:pt>
                <c:pt idx="12">
                  <c:v>90.730180000000004</c:v>
                </c:pt>
                <c:pt idx="13">
                  <c:v>85.157169999999994</c:v>
                </c:pt>
                <c:pt idx="14">
                  <c:v>80.070149999999998</c:v>
                </c:pt>
                <c:pt idx="15">
                  <c:v>74.599109999999996</c:v>
                </c:pt>
                <c:pt idx="16">
                  <c:v>69.609080000000006</c:v>
                </c:pt>
                <c:pt idx="17">
                  <c:v>65.805019999999999</c:v>
                </c:pt>
                <c:pt idx="18">
                  <c:v>62.038989999999998</c:v>
                </c:pt>
                <c:pt idx="19">
                  <c:v>59.889960000000002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T_A!$A$10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T_A!$B$10:$U$10</c:f>
              <c:numCache>
                <c:formatCode>General</c:formatCode>
                <c:ptCount val="20"/>
                <c:pt idx="0">
                  <c:v>2150.7220000000002</c:v>
                </c:pt>
                <c:pt idx="1">
                  <c:v>1195.4290000000001</c:v>
                </c:pt>
                <c:pt idx="2">
                  <c:v>669.90139999999997</c:v>
                </c:pt>
                <c:pt idx="3">
                  <c:v>450.85559999999998</c:v>
                </c:pt>
                <c:pt idx="4">
                  <c:v>330.3621</c:v>
                </c:pt>
                <c:pt idx="5">
                  <c:v>258.4119</c:v>
                </c:pt>
                <c:pt idx="6">
                  <c:v>209.1754</c:v>
                </c:pt>
                <c:pt idx="7">
                  <c:v>178.43770000000001</c:v>
                </c:pt>
                <c:pt idx="8">
                  <c:v>156.786</c:v>
                </c:pt>
                <c:pt idx="9">
                  <c:v>140.095</c:v>
                </c:pt>
                <c:pt idx="10">
                  <c:v>126.0363</c:v>
                </c:pt>
                <c:pt idx="11">
                  <c:v>114.0583</c:v>
                </c:pt>
                <c:pt idx="12">
                  <c:v>104.16930000000001</c:v>
                </c:pt>
                <c:pt idx="13">
                  <c:v>94.887249999999995</c:v>
                </c:pt>
                <c:pt idx="14">
                  <c:v>88.393230000000003</c:v>
                </c:pt>
                <c:pt idx="15">
                  <c:v>83.891210000000001</c:v>
                </c:pt>
                <c:pt idx="16">
                  <c:v>79.092119999999994</c:v>
                </c:pt>
                <c:pt idx="17">
                  <c:v>74.553089999999997</c:v>
                </c:pt>
                <c:pt idx="18">
                  <c:v>70.770009999999999</c:v>
                </c:pt>
                <c:pt idx="19">
                  <c:v>65.151960000000003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T_A!$A$11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T_A!$B$11:$U$11</c:f>
              <c:numCache>
                <c:formatCode>General</c:formatCode>
                <c:ptCount val="20"/>
                <c:pt idx="0">
                  <c:v>2152.7020000000002</c:v>
                </c:pt>
                <c:pt idx="1">
                  <c:v>1205.415</c:v>
                </c:pt>
                <c:pt idx="2">
                  <c:v>679.68190000000004</c:v>
                </c:pt>
                <c:pt idx="3">
                  <c:v>453.18650000000002</c:v>
                </c:pt>
                <c:pt idx="4">
                  <c:v>339.56950000000001</c:v>
                </c:pt>
                <c:pt idx="5">
                  <c:v>268.6909</c:v>
                </c:pt>
                <c:pt idx="6">
                  <c:v>219.89779999999999</c:v>
                </c:pt>
                <c:pt idx="7">
                  <c:v>187.87569999999999</c:v>
                </c:pt>
                <c:pt idx="8">
                  <c:v>161.39009999999999</c:v>
                </c:pt>
                <c:pt idx="9">
                  <c:v>140.21600000000001</c:v>
                </c:pt>
                <c:pt idx="10">
                  <c:v>125.0123</c:v>
                </c:pt>
                <c:pt idx="11">
                  <c:v>111.09739999999999</c:v>
                </c:pt>
                <c:pt idx="12">
                  <c:v>100.7563</c:v>
                </c:pt>
                <c:pt idx="13">
                  <c:v>92.348219999999998</c:v>
                </c:pt>
                <c:pt idx="14">
                  <c:v>87.057249999999996</c:v>
                </c:pt>
                <c:pt idx="15">
                  <c:v>80.41319</c:v>
                </c:pt>
                <c:pt idx="16">
                  <c:v>76.303030000000007</c:v>
                </c:pt>
                <c:pt idx="17">
                  <c:v>72.479010000000002</c:v>
                </c:pt>
                <c:pt idx="18">
                  <c:v>68.969970000000004</c:v>
                </c:pt>
                <c:pt idx="19">
                  <c:v>66.834919999999997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T_A!$A$12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T_A!$B$12:$U$12</c:f>
              <c:numCache>
                <c:formatCode>General</c:formatCode>
                <c:ptCount val="20"/>
                <c:pt idx="0">
                  <c:v>1599.2619999999999</c:v>
                </c:pt>
                <c:pt idx="1">
                  <c:v>938.94380000000001</c:v>
                </c:pt>
                <c:pt idx="2">
                  <c:v>547.76739999999995</c:v>
                </c:pt>
                <c:pt idx="3">
                  <c:v>376.02460000000002</c:v>
                </c:pt>
                <c:pt idx="4">
                  <c:v>277.7901</c:v>
                </c:pt>
                <c:pt idx="5">
                  <c:v>216.2</c:v>
                </c:pt>
                <c:pt idx="6">
                  <c:v>180.06379999999999</c:v>
                </c:pt>
                <c:pt idx="7">
                  <c:v>153.73769999999999</c:v>
                </c:pt>
                <c:pt idx="8">
                  <c:v>132.8441</c:v>
                </c:pt>
                <c:pt idx="9">
                  <c:v>122.0033</c:v>
                </c:pt>
                <c:pt idx="10">
                  <c:v>109.1833</c:v>
                </c:pt>
                <c:pt idx="11">
                  <c:v>102.31529999999999</c:v>
                </c:pt>
                <c:pt idx="12">
                  <c:v>93.418210000000002</c:v>
                </c:pt>
                <c:pt idx="13">
                  <c:v>85.781139999999994</c:v>
                </c:pt>
                <c:pt idx="14">
                  <c:v>77.931129999999996</c:v>
                </c:pt>
                <c:pt idx="15">
                  <c:v>72.737110000000001</c:v>
                </c:pt>
                <c:pt idx="16">
                  <c:v>69.573040000000006</c:v>
                </c:pt>
                <c:pt idx="17">
                  <c:v>65.766009999999994</c:v>
                </c:pt>
                <c:pt idx="18">
                  <c:v>61.789009999999998</c:v>
                </c:pt>
                <c:pt idx="19">
                  <c:v>58.04298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T_A!$A$13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T_A!$B$13:$U$13</c:f>
              <c:numCache>
                <c:formatCode>General</c:formatCode>
                <c:ptCount val="20"/>
                <c:pt idx="0">
                  <c:v>1551.4580000000001</c:v>
                </c:pt>
                <c:pt idx="1">
                  <c:v>909.06989999999996</c:v>
                </c:pt>
                <c:pt idx="2">
                  <c:v>540.07920000000001</c:v>
                </c:pt>
                <c:pt idx="3">
                  <c:v>370.67770000000002</c:v>
                </c:pt>
                <c:pt idx="4">
                  <c:v>282.01029999999997</c:v>
                </c:pt>
                <c:pt idx="5">
                  <c:v>220.2499</c:v>
                </c:pt>
                <c:pt idx="6">
                  <c:v>183.01580000000001</c:v>
                </c:pt>
                <c:pt idx="7">
                  <c:v>155.5797</c:v>
                </c:pt>
                <c:pt idx="8">
                  <c:v>133.64510000000001</c:v>
                </c:pt>
                <c:pt idx="9">
                  <c:v>117.60720000000001</c:v>
                </c:pt>
                <c:pt idx="10">
                  <c:v>106.8312</c:v>
                </c:pt>
                <c:pt idx="11">
                  <c:v>97.430250000000001</c:v>
                </c:pt>
                <c:pt idx="12">
                  <c:v>90.678190000000001</c:v>
                </c:pt>
                <c:pt idx="13">
                  <c:v>83.748140000000006</c:v>
                </c:pt>
                <c:pt idx="14">
                  <c:v>77.057130000000001</c:v>
                </c:pt>
                <c:pt idx="15">
                  <c:v>73.232100000000003</c:v>
                </c:pt>
                <c:pt idx="16">
                  <c:v>68.188059999999993</c:v>
                </c:pt>
                <c:pt idx="17">
                  <c:v>64.629000000000005</c:v>
                </c:pt>
                <c:pt idx="18">
                  <c:v>60.42201</c:v>
                </c:pt>
                <c:pt idx="19">
                  <c:v>58.066989999999997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T_A!$A$14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T_A!$B$14:$U$14</c:f>
              <c:numCache>
                <c:formatCode>General</c:formatCode>
                <c:ptCount val="20"/>
                <c:pt idx="0">
                  <c:v>1572.8140000000001</c:v>
                </c:pt>
                <c:pt idx="1">
                  <c:v>932.58399999999995</c:v>
                </c:pt>
                <c:pt idx="2">
                  <c:v>545.59789999999998</c:v>
                </c:pt>
                <c:pt idx="3">
                  <c:v>377.49669999999998</c:v>
                </c:pt>
                <c:pt idx="4">
                  <c:v>280.38709999999998</c:v>
                </c:pt>
                <c:pt idx="5">
                  <c:v>223.80179999999999</c:v>
                </c:pt>
                <c:pt idx="6">
                  <c:v>185.30250000000001</c:v>
                </c:pt>
                <c:pt idx="7">
                  <c:v>155.1678</c:v>
                </c:pt>
                <c:pt idx="8">
                  <c:v>135.79900000000001</c:v>
                </c:pt>
                <c:pt idx="9">
                  <c:v>119.8952</c:v>
                </c:pt>
                <c:pt idx="10">
                  <c:v>109.66930000000001</c:v>
                </c:pt>
                <c:pt idx="11">
                  <c:v>100.94119999999999</c:v>
                </c:pt>
                <c:pt idx="12">
                  <c:v>94.124189999999999</c:v>
                </c:pt>
                <c:pt idx="13">
                  <c:v>86.966160000000002</c:v>
                </c:pt>
                <c:pt idx="14">
                  <c:v>79.817139999999995</c:v>
                </c:pt>
                <c:pt idx="15">
                  <c:v>75.28013</c:v>
                </c:pt>
                <c:pt idx="16">
                  <c:v>70.053089999999997</c:v>
                </c:pt>
                <c:pt idx="17">
                  <c:v>65.090029999999999</c:v>
                </c:pt>
                <c:pt idx="18">
                  <c:v>61.77599</c:v>
                </c:pt>
                <c:pt idx="19">
                  <c:v>59.882989999999999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T_A!$A$15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T_A!$B$15:$U$15</c:f>
              <c:numCache>
                <c:formatCode>General</c:formatCode>
                <c:ptCount val="20"/>
                <c:pt idx="0">
                  <c:v>3951.7429999999999</c:v>
                </c:pt>
                <c:pt idx="1">
                  <c:v>2745.13</c:v>
                </c:pt>
                <c:pt idx="2">
                  <c:v>1749.3689999999999</c:v>
                </c:pt>
                <c:pt idx="3">
                  <c:v>1224.143</c:v>
                </c:pt>
                <c:pt idx="4">
                  <c:v>939.81389999999999</c:v>
                </c:pt>
                <c:pt idx="5">
                  <c:v>753.30520000000001</c:v>
                </c:pt>
                <c:pt idx="6">
                  <c:v>623.91380000000004</c:v>
                </c:pt>
                <c:pt idx="7">
                  <c:v>540.34379999999999</c:v>
                </c:pt>
                <c:pt idx="8">
                  <c:v>469.40940000000001</c:v>
                </c:pt>
                <c:pt idx="9">
                  <c:v>418.50479999999999</c:v>
                </c:pt>
                <c:pt idx="10">
                  <c:v>379.60919999999999</c:v>
                </c:pt>
                <c:pt idx="11">
                  <c:v>348.52289999999999</c:v>
                </c:pt>
                <c:pt idx="12">
                  <c:v>320.1857</c:v>
                </c:pt>
                <c:pt idx="13">
                  <c:v>295.6506</c:v>
                </c:pt>
                <c:pt idx="14">
                  <c:v>274.64179999999999</c:v>
                </c:pt>
                <c:pt idx="15">
                  <c:v>257.19670000000002</c:v>
                </c:pt>
                <c:pt idx="16">
                  <c:v>236.45570000000001</c:v>
                </c:pt>
                <c:pt idx="17">
                  <c:v>223.62100000000001</c:v>
                </c:pt>
                <c:pt idx="18">
                  <c:v>215.24760000000001</c:v>
                </c:pt>
                <c:pt idx="19">
                  <c:v>206.8518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T_A!$A$16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T_A!$B$16:$U$16</c:f>
              <c:numCache>
                <c:formatCode>General</c:formatCode>
                <c:ptCount val="20"/>
                <c:pt idx="0">
                  <c:v>3839.7510000000002</c:v>
                </c:pt>
                <c:pt idx="1">
                  <c:v>2154.1410000000001</c:v>
                </c:pt>
                <c:pt idx="2">
                  <c:v>1188.134</c:v>
                </c:pt>
                <c:pt idx="3">
                  <c:v>806.68730000000005</c:v>
                </c:pt>
                <c:pt idx="4">
                  <c:v>602.63530000000003</c:v>
                </c:pt>
                <c:pt idx="5">
                  <c:v>471.74</c:v>
                </c:pt>
                <c:pt idx="6">
                  <c:v>385.77</c:v>
                </c:pt>
                <c:pt idx="7">
                  <c:v>329.26350000000002</c:v>
                </c:pt>
                <c:pt idx="8">
                  <c:v>290.18169999999998</c:v>
                </c:pt>
                <c:pt idx="9">
                  <c:v>254.36519999999999</c:v>
                </c:pt>
                <c:pt idx="10">
                  <c:v>225.6026</c:v>
                </c:pt>
                <c:pt idx="11">
                  <c:v>207.0198</c:v>
                </c:pt>
                <c:pt idx="12">
                  <c:v>191.50370000000001</c:v>
                </c:pt>
                <c:pt idx="13">
                  <c:v>176.21109999999999</c:v>
                </c:pt>
                <c:pt idx="14">
                  <c:v>161.69749999999999</c:v>
                </c:pt>
                <c:pt idx="15">
                  <c:v>151.04050000000001</c:v>
                </c:pt>
                <c:pt idx="16">
                  <c:v>141.70529999999999</c:v>
                </c:pt>
                <c:pt idx="17">
                  <c:v>133.59540000000001</c:v>
                </c:pt>
                <c:pt idx="18">
                  <c:v>127.7021</c:v>
                </c:pt>
                <c:pt idx="19">
                  <c:v>122.5239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T_A!$A$17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T_A!$B$17:$U$17</c:f>
              <c:numCache>
                <c:formatCode>General</c:formatCode>
                <c:ptCount val="20"/>
                <c:pt idx="0">
                  <c:v>4028.04</c:v>
                </c:pt>
                <c:pt idx="1">
                  <c:v>2222.4580000000001</c:v>
                </c:pt>
                <c:pt idx="2">
                  <c:v>1200.9649999999999</c:v>
                </c:pt>
                <c:pt idx="3">
                  <c:v>803.35109999999997</c:v>
                </c:pt>
                <c:pt idx="4">
                  <c:v>600.06650000000002</c:v>
                </c:pt>
                <c:pt idx="5">
                  <c:v>473.4221</c:v>
                </c:pt>
                <c:pt idx="6">
                  <c:v>389.81310000000002</c:v>
                </c:pt>
                <c:pt idx="7">
                  <c:v>333.46870000000001</c:v>
                </c:pt>
                <c:pt idx="8">
                  <c:v>285.69349999999997</c:v>
                </c:pt>
                <c:pt idx="9">
                  <c:v>257.73700000000002</c:v>
                </c:pt>
                <c:pt idx="10">
                  <c:v>228.20750000000001</c:v>
                </c:pt>
                <c:pt idx="11">
                  <c:v>205.4409</c:v>
                </c:pt>
                <c:pt idx="12">
                  <c:v>191.82679999999999</c:v>
                </c:pt>
                <c:pt idx="13">
                  <c:v>178.13509999999999</c:v>
                </c:pt>
                <c:pt idx="14">
                  <c:v>165.64340000000001</c:v>
                </c:pt>
                <c:pt idx="15">
                  <c:v>154.6986</c:v>
                </c:pt>
                <c:pt idx="16">
                  <c:v>145.65430000000001</c:v>
                </c:pt>
                <c:pt idx="17">
                  <c:v>137.28530000000001</c:v>
                </c:pt>
                <c:pt idx="18">
                  <c:v>130.6841</c:v>
                </c:pt>
                <c:pt idx="19">
                  <c:v>124.0979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T_A!$A$18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T_A!$B$18:$U$18</c:f>
              <c:numCache>
                <c:formatCode>General</c:formatCode>
                <c:ptCount val="20"/>
                <c:pt idx="0">
                  <c:v>4023.5650000000001</c:v>
                </c:pt>
                <c:pt idx="1">
                  <c:v>2229.3490000000002</c:v>
                </c:pt>
                <c:pt idx="2">
                  <c:v>1224.4649999999999</c:v>
                </c:pt>
                <c:pt idx="3">
                  <c:v>824.95060000000001</c:v>
                </c:pt>
                <c:pt idx="4">
                  <c:v>603.40959999999995</c:v>
                </c:pt>
                <c:pt idx="5">
                  <c:v>474.44040000000001</c:v>
                </c:pt>
                <c:pt idx="6">
                  <c:v>393.42700000000002</c:v>
                </c:pt>
                <c:pt idx="7">
                  <c:v>337.6354</c:v>
                </c:pt>
                <c:pt idx="8">
                  <c:v>291.38979999999998</c:v>
                </c:pt>
                <c:pt idx="9">
                  <c:v>261.73509999999999</c:v>
                </c:pt>
                <c:pt idx="10">
                  <c:v>232.0171</c:v>
                </c:pt>
                <c:pt idx="11">
                  <c:v>211.3759</c:v>
                </c:pt>
                <c:pt idx="12">
                  <c:v>195.40979999999999</c:v>
                </c:pt>
                <c:pt idx="13">
                  <c:v>176.81610000000001</c:v>
                </c:pt>
                <c:pt idx="14">
                  <c:v>163.38040000000001</c:v>
                </c:pt>
                <c:pt idx="15">
                  <c:v>153.91460000000001</c:v>
                </c:pt>
                <c:pt idx="16">
                  <c:v>144.75919999999999</c:v>
                </c:pt>
                <c:pt idx="17">
                  <c:v>136.4442</c:v>
                </c:pt>
                <c:pt idx="18">
                  <c:v>130.9991</c:v>
                </c:pt>
                <c:pt idx="19">
                  <c:v>124.43089999999999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T_A!$A$19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T_A!$B$19:$U$19</c:f>
              <c:numCache>
                <c:formatCode>General</c:formatCode>
                <c:ptCount val="20"/>
                <c:pt idx="0">
                  <c:v>8479.1479999999992</c:v>
                </c:pt>
                <c:pt idx="1">
                  <c:v>5456.8879999999999</c:v>
                </c:pt>
                <c:pt idx="2">
                  <c:v>3202.0740000000001</c:v>
                </c:pt>
                <c:pt idx="3">
                  <c:v>2172.6770000000001</c:v>
                </c:pt>
                <c:pt idx="4">
                  <c:v>1600.606</c:v>
                </c:pt>
                <c:pt idx="5">
                  <c:v>1261.3130000000001</c:v>
                </c:pt>
                <c:pt idx="6">
                  <c:v>1027.1790000000001</c:v>
                </c:pt>
                <c:pt idx="7">
                  <c:v>865.40459999999996</c:v>
                </c:pt>
                <c:pt idx="8">
                  <c:v>747.2953</c:v>
                </c:pt>
                <c:pt idx="9">
                  <c:v>650.77639999999997</c:v>
                </c:pt>
                <c:pt idx="10">
                  <c:v>580.0231</c:v>
                </c:pt>
                <c:pt idx="11">
                  <c:v>521.56849999999997</c:v>
                </c:pt>
                <c:pt idx="12">
                  <c:v>469.7475</c:v>
                </c:pt>
                <c:pt idx="13">
                  <c:v>430.83730000000003</c:v>
                </c:pt>
                <c:pt idx="14">
                  <c:v>401.76150000000001</c:v>
                </c:pt>
                <c:pt idx="15">
                  <c:v>375.25659999999999</c:v>
                </c:pt>
                <c:pt idx="16">
                  <c:v>350.24979999999999</c:v>
                </c:pt>
                <c:pt idx="17">
                  <c:v>326.56880000000001</c:v>
                </c:pt>
                <c:pt idx="18">
                  <c:v>304.57929999999999</c:v>
                </c:pt>
                <c:pt idx="19">
                  <c:v>294.87860000000001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T_A!$A$20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T_A!$B$20:$U$20</c:f>
              <c:numCache>
                <c:formatCode>General</c:formatCode>
                <c:ptCount val="20"/>
                <c:pt idx="0">
                  <c:v>8584.5640000000003</c:v>
                </c:pt>
                <c:pt idx="1">
                  <c:v>5564.6679999999997</c:v>
                </c:pt>
                <c:pt idx="2">
                  <c:v>3237.1089999999999</c:v>
                </c:pt>
                <c:pt idx="3">
                  <c:v>2155.6309999999999</c:v>
                </c:pt>
                <c:pt idx="4">
                  <c:v>1584.8119999999999</c:v>
                </c:pt>
                <c:pt idx="5">
                  <c:v>1238.5050000000001</c:v>
                </c:pt>
                <c:pt idx="6">
                  <c:v>1011.49</c:v>
                </c:pt>
                <c:pt idx="7">
                  <c:v>852.3374</c:v>
                </c:pt>
                <c:pt idx="8">
                  <c:v>734.41079999999999</c:v>
                </c:pt>
                <c:pt idx="9">
                  <c:v>650.2079</c:v>
                </c:pt>
                <c:pt idx="10">
                  <c:v>582.94770000000005</c:v>
                </c:pt>
                <c:pt idx="11">
                  <c:v>522.72490000000005</c:v>
                </c:pt>
                <c:pt idx="12">
                  <c:v>475.87520000000001</c:v>
                </c:pt>
                <c:pt idx="13">
                  <c:v>438.25259999999997</c:v>
                </c:pt>
                <c:pt idx="14">
                  <c:v>401.07490000000001</c:v>
                </c:pt>
                <c:pt idx="15">
                  <c:v>374.40899999999999</c:v>
                </c:pt>
                <c:pt idx="16">
                  <c:v>353.25299999999999</c:v>
                </c:pt>
                <c:pt idx="17">
                  <c:v>332.47399999999999</c:v>
                </c:pt>
                <c:pt idx="18">
                  <c:v>312.31240000000003</c:v>
                </c:pt>
                <c:pt idx="19">
                  <c:v>299.97680000000003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T_A!$A$21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T_A!$B$21:$U$21</c:f>
              <c:numCache>
                <c:formatCode>General</c:formatCode>
                <c:ptCount val="20"/>
                <c:pt idx="0">
                  <c:v>8619.8349999999991</c:v>
                </c:pt>
                <c:pt idx="1">
                  <c:v>5576.5959999999995</c:v>
                </c:pt>
                <c:pt idx="2">
                  <c:v>3255.5369999999998</c:v>
                </c:pt>
                <c:pt idx="3">
                  <c:v>2155.1320000000001</c:v>
                </c:pt>
                <c:pt idx="4">
                  <c:v>1583.14</c:v>
                </c:pt>
                <c:pt idx="5">
                  <c:v>1244.5550000000001</c:v>
                </c:pt>
                <c:pt idx="6">
                  <c:v>1007.421</c:v>
                </c:pt>
                <c:pt idx="7">
                  <c:v>852.7876</c:v>
                </c:pt>
                <c:pt idx="8">
                  <c:v>739.55849999999998</c:v>
                </c:pt>
                <c:pt idx="9">
                  <c:v>652.65329999999994</c:v>
                </c:pt>
                <c:pt idx="10">
                  <c:v>580.79819999999995</c:v>
                </c:pt>
                <c:pt idx="11">
                  <c:v>523.85889999999995</c:v>
                </c:pt>
                <c:pt idx="12">
                  <c:v>476.66160000000002</c:v>
                </c:pt>
                <c:pt idx="13">
                  <c:v>441.57749999999999</c:v>
                </c:pt>
                <c:pt idx="14">
                  <c:v>411.71910000000003</c:v>
                </c:pt>
                <c:pt idx="15">
                  <c:v>383.10899999999998</c:v>
                </c:pt>
                <c:pt idx="16">
                  <c:v>360.20929999999998</c:v>
                </c:pt>
                <c:pt idx="17">
                  <c:v>341.22629999999998</c:v>
                </c:pt>
                <c:pt idx="18">
                  <c:v>316.64580000000001</c:v>
                </c:pt>
                <c:pt idx="19">
                  <c:v>300.36689999999999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T_A!$A$22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T_A!$B$22:$U$22</c:f>
              <c:numCache>
                <c:formatCode>General</c:formatCode>
                <c:ptCount val="20"/>
                <c:pt idx="0">
                  <c:v>8416.6460000000006</c:v>
                </c:pt>
                <c:pt idx="1">
                  <c:v>5464.5439999999999</c:v>
                </c:pt>
                <c:pt idx="2">
                  <c:v>3236.7359999999999</c:v>
                </c:pt>
                <c:pt idx="3">
                  <c:v>2163.86</c:v>
                </c:pt>
                <c:pt idx="4">
                  <c:v>1591.5989999999999</c:v>
                </c:pt>
                <c:pt idx="5">
                  <c:v>1256.5830000000001</c:v>
                </c:pt>
                <c:pt idx="6">
                  <c:v>1028.845</c:v>
                </c:pt>
                <c:pt idx="7">
                  <c:v>863.22709999999995</c:v>
                </c:pt>
                <c:pt idx="8">
                  <c:v>743.67409999999995</c:v>
                </c:pt>
                <c:pt idx="9">
                  <c:v>648.11670000000004</c:v>
                </c:pt>
                <c:pt idx="10">
                  <c:v>573.34090000000003</c:v>
                </c:pt>
                <c:pt idx="11">
                  <c:v>523.0865</c:v>
                </c:pt>
                <c:pt idx="12">
                  <c:v>476.73289999999997</c:v>
                </c:pt>
                <c:pt idx="13">
                  <c:v>438.7072</c:v>
                </c:pt>
                <c:pt idx="14">
                  <c:v>408.56900000000002</c:v>
                </c:pt>
                <c:pt idx="15">
                  <c:v>382.97089999999997</c:v>
                </c:pt>
                <c:pt idx="16">
                  <c:v>356.19009999999997</c:v>
                </c:pt>
                <c:pt idx="17">
                  <c:v>335.06099999999998</c:v>
                </c:pt>
                <c:pt idx="18">
                  <c:v>316.50850000000003</c:v>
                </c:pt>
                <c:pt idx="19">
                  <c:v>300.7527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T_A!$A$23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T_A!$B$23:$U$23</c:f>
              <c:numCache>
                <c:formatCode>General</c:formatCode>
                <c:ptCount val="20"/>
                <c:pt idx="0">
                  <c:v>8594.7849999999999</c:v>
                </c:pt>
                <c:pt idx="1">
                  <c:v>5589.5720000000001</c:v>
                </c:pt>
                <c:pt idx="2">
                  <c:v>3250.8789999999999</c:v>
                </c:pt>
                <c:pt idx="3">
                  <c:v>2155.2849999999999</c:v>
                </c:pt>
                <c:pt idx="4">
                  <c:v>1588.46</c:v>
                </c:pt>
                <c:pt idx="5">
                  <c:v>1243.442</c:v>
                </c:pt>
                <c:pt idx="6">
                  <c:v>1010.104</c:v>
                </c:pt>
                <c:pt idx="7">
                  <c:v>856.55629999999996</c:v>
                </c:pt>
                <c:pt idx="8">
                  <c:v>739.50519999999995</c:v>
                </c:pt>
                <c:pt idx="9">
                  <c:v>649.24869999999999</c:v>
                </c:pt>
                <c:pt idx="10">
                  <c:v>582.54790000000003</c:v>
                </c:pt>
                <c:pt idx="11">
                  <c:v>523.58550000000002</c:v>
                </c:pt>
                <c:pt idx="12">
                  <c:v>476.68619999999999</c:v>
                </c:pt>
                <c:pt idx="13">
                  <c:v>436.04450000000003</c:v>
                </c:pt>
                <c:pt idx="14">
                  <c:v>405.3229</c:v>
                </c:pt>
                <c:pt idx="15">
                  <c:v>376.15010000000001</c:v>
                </c:pt>
                <c:pt idx="16">
                  <c:v>349.87830000000002</c:v>
                </c:pt>
                <c:pt idx="17">
                  <c:v>331.9821</c:v>
                </c:pt>
                <c:pt idx="18">
                  <c:v>310.22570000000002</c:v>
                </c:pt>
                <c:pt idx="19">
                  <c:v>298.00599999999997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T_A!$A$24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T_A!$B$24:$U$24</c:f>
              <c:numCache>
                <c:formatCode>General</c:formatCode>
                <c:ptCount val="20"/>
                <c:pt idx="0">
                  <c:v>8416.3770000000004</c:v>
                </c:pt>
                <c:pt idx="1">
                  <c:v>5488.326</c:v>
                </c:pt>
                <c:pt idx="2">
                  <c:v>3208.3139999999999</c:v>
                </c:pt>
                <c:pt idx="3">
                  <c:v>2177.8809999999999</c:v>
                </c:pt>
                <c:pt idx="4">
                  <c:v>1608.4280000000001</c:v>
                </c:pt>
                <c:pt idx="5">
                  <c:v>1255.117</c:v>
                </c:pt>
                <c:pt idx="6">
                  <c:v>1017.7809999999999</c:v>
                </c:pt>
                <c:pt idx="7">
                  <c:v>861.74260000000004</c:v>
                </c:pt>
                <c:pt idx="8">
                  <c:v>745.37940000000003</c:v>
                </c:pt>
                <c:pt idx="9">
                  <c:v>655.54039999999998</c:v>
                </c:pt>
                <c:pt idx="10">
                  <c:v>582.69529999999997</c:v>
                </c:pt>
                <c:pt idx="11">
                  <c:v>527.19079999999997</c:v>
                </c:pt>
                <c:pt idx="12">
                  <c:v>482.09930000000003</c:v>
                </c:pt>
                <c:pt idx="13">
                  <c:v>444.29860000000002</c:v>
                </c:pt>
                <c:pt idx="14">
                  <c:v>412.74669999999998</c:v>
                </c:pt>
                <c:pt idx="15">
                  <c:v>385.99709999999999</c:v>
                </c:pt>
                <c:pt idx="16">
                  <c:v>359.358</c:v>
                </c:pt>
                <c:pt idx="17">
                  <c:v>339.04669999999999</c:v>
                </c:pt>
                <c:pt idx="18">
                  <c:v>318.9504</c:v>
                </c:pt>
                <c:pt idx="19">
                  <c:v>304.99990000000003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T_A!$A$25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T_A!$B$25:$U$25</c:f>
              <c:numCache>
                <c:formatCode>General</c:formatCode>
                <c:ptCount val="20"/>
                <c:pt idx="0">
                  <c:v>8582.6049999999996</c:v>
                </c:pt>
                <c:pt idx="1">
                  <c:v>5580.8360000000002</c:v>
                </c:pt>
                <c:pt idx="2">
                  <c:v>3256.0740000000001</c:v>
                </c:pt>
                <c:pt idx="3">
                  <c:v>2153.2759999999998</c:v>
                </c:pt>
                <c:pt idx="4">
                  <c:v>1593.9380000000001</c:v>
                </c:pt>
                <c:pt idx="5">
                  <c:v>1245.7380000000001</c:v>
                </c:pt>
                <c:pt idx="6">
                  <c:v>1011.285</c:v>
                </c:pt>
                <c:pt idx="7">
                  <c:v>853.62630000000001</c:v>
                </c:pt>
                <c:pt idx="8">
                  <c:v>739.49900000000002</c:v>
                </c:pt>
                <c:pt idx="9">
                  <c:v>647.83969999999999</c:v>
                </c:pt>
                <c:pt idx="10">
                  <c:v>574.16330000000005</c:v>
                </c:pt>
                <c:pt idx="11">
                  <c:v>518.97159999999997</c:v>
                </c:pt>
                <c:pt idx="12">
                  <c:v>473.1884</c:v>
                </c:pt>
                <c:pt idx="13">
                  <c:v>438.26839999999999</c:v>
                </c:pt>
                <c:pt idx="14">
                  <c:v>404.65839999999997</c:v>
                </c:pt>
                <c:pt idx="15">
                  <c:v>377.5401</c:v>
                </c:pt>
                <c:pt idx="16">
                  <c:v>353.50470000000001</c:v>
                </c:pt>
                <c:pt idx="17">
                  <c:v>332.589</c:v>
                </c:pt>
                <c:pt idx="18">
                  <c:v>311.02449999999999</c:v>
                </c:pt>
                <c:pt idx="19">
                  <c:v>296.99680000000001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T_A!$A$26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T_A!$B$26:$U$26</c:f>
              <c:numCache>
                <c:formatCode>General</c:formatCode>
                <c:ptCount val="20"/>
                <c:pt idx="0">
                  <c:v>7381.0940000000001</c:v>
                </c:pt>
                <c:pt idx="1">
                  <c:v>3944.6610000000001</c:v>
                </c:pt>
                <c:pt idx="2">
                  <c:v>2108.5340000000001</c:v>
                </c:pt>
                <c:pt idx="3">
                  <c:v>1346.992</c:v>
                </c:pt>
                <c:pt idx="4">
                  <c:v>948.97709999999995</c:v>
                </c:pt>
                <c:pt idx="5">
                  <c:v>727.78629999999998</c:v>
                </c:pt>
                <c:pt idx="6">
                  <c:v>587.53610000000003</c:v>
                </c:pt>
                <c:pt idx="7">
                  <c:v>486.25119999999998</c:v>
                </c:pt>
                <c:pt idx="8">
                  <c:v>412.15789999999998</c:v>
                </c:pt>
                <c:pt idx="9">
                  <c:v>362.74360000000001</c:v>
                </c:pt>
                <c:pt idx="10">
                  <c:v>318.45089999999999</c:v>
                </c:pt>
                <c:pt idx="11">
                  <c:v>289.24549999999999</c:v>
                </c:pt>
                <c:pt idx="12">
                  <c:v>266.99970000000002</c:v>
                </c:pt>
                <c:pt idx="13">
                  <c:v>241.2996</c:v>
                </c:pt>
                <c:pt idx="14">
                  <c:v>223.82849999999999</c:v>
                </c:pt>
                <c:pt idx="15">
                  <c:v>207.49420000000001</c:v>
                </c:pt>
                <c:pt idx="16">
                  <c:v>191.79509999999999</c:v>
                </c:pt>
                <c:pt idx="17">
                  <c:v>178.70609999999999</c:v>
                </c:pt>
                <c:pt idx="18">
                  <c:v>168.33709999999999</c:v>
                </c:pt>
                <c:pt idx="19">
                  <c:v>159.6611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T_A!$A$27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T_A!$B$27:$U$27</c:f>
              <c:numCache>
                <c:formatCode>General</c:formatCode>
                <c:ptCount val="20"/>
                <c:pt idx="0">
                  <c:v>8382.0550000000003</c:v>
                </c:pt>
                <c:pt idx="1">
                  <c:v>5450.8220000000001</c:v>
                </c:pt>
                <c:pt idx="2">
                  <c:v>3180.7959999999998</c:v>
                </c:pt>
                <c:pt idx="3">
                  <c:v>2149.9839999999999</c:v>
                </c:pt>
                <c:pt idx="4">
                  <c:v>1579.5830000000001</c:v>
                </c:pt>
                <c:pt idx="5">
                  <c:v>1238.3320000000001</c:v>
                </c:pt>
                <c:pt idx="6">
                  <c:v>1011.587</c:v>
                </c:pt>
                <c:pt idx="7">
                  <c:v>849.30579999999998</c:v>
                </c:pt>
                <c:pt idx="8">
                  <c:v>741.64200000000005</c:v>
                </c:pt>
                <c:pt idx="9">
                  <c:v>647.70860000000005</c:v>
                </c:pt>
                <c:pt idx="10">
                  <c:v>582.48599999999999</c:v>
                </c:pt>
                <c:pt idx="11">
                  <c:v>520.2799</c:v>
                </c:pt>
                <c:pt idx="12">
                  <c:v>472.53710000000001</c:v>
                </c:pt>
                <c:pt idx="13">
                  <c:v>435.74090000000001</c:v>
                </c:pt>
                <c:pt idx="14">
                  <c:v>402.9402</c:v>
                </c:pt>
                <c:pt idx="15">
                  <c:v>382.52409999999998</c:v>
                </c:pt>
                <c:pt idx="16">
                  <c:v>355.92290000000003</c:v>
                </c:pt>
                <c:pt idx="17">
                  <c:v>332.4187</c:v>
                </c:pt>
                <c:pt idx="18">
                  <c:v>314.32569999999998</c:v>
                </c:pt>
                <c:pt idx="19">
                  <c:v>301.80689999999998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T_A!$A$28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T_A!$B$28:$U$28</c:f>
              <c:numCache>
                <c:formatCode>General</c:formatCode>
                <c:ptCount val="20"/>
                <c:pt idx="0">
                  <c:v>8422.7890000000007</c:v>
                </c:pt>
                <c:pt idx="1">
                  <c:v>5482.0950000000003</c:v>
                </c:pt>
                <c:pt idx="2">
                  <c:v>3218.3939999999998</c:v>
                </c:pt>
                <c:pt idx="3">
                  <c:v>2158.2530000000002</c:v>
                </c:pt>
                <c:pt idx="4">
                  <c:v>1603.374</c:v>
                </c:pt>
                <c:pt idx="5">
                  <c:v>1253.1849999999999</c:v>
                </c:pt>
                <c:pt idx="6">
                  <c:v>1018.172</c:v>
                </c:pt>
                <c:pt idx="7">
                  <c:v>862.80849999999998</c:v>
                </c:pt>
                <c:pt idx="8">
                  <c:v>752.91470000000004</c:v>
                </c:pt>
                <c:pt idx="9">
                  <c:v>657.61479999999995</c:v>
                </c:pt>
                <c:pt idx="10">
                  <c:v>586.24429999999995</c:v>
                </c:pt>
                <c:pt idx="11">
                  <c:v>525.8768</c:v>
                </c:pt>
                <c:pt idx="12">
                  <c:v>480.72879999999998</c:v>
                </c:pt>
                <c:pt idx="13">
                  <c:v>441.06920000000002</c:v>
                </c:pt>
                <c:pt idx="14">
                  <c:v>407.42840000000001</c:v>
                </c:pt>
                <c:pt idx="15">
                  <c:v>377.82530000000003</c:v>
                </c:pt>
                <c:pt idx="16">
                  <c:v>354.87779999999998</c:v>
                </c:pt>
                <c:pt idx="17">
                  <c:v>335.00799999999998</c:v>
                </c:pt>
                <c:pt idx="18">
                  <c:v>317.39760000000001</c:v>
                </c:pt>
                <c:pt idx="19">
                  <c:v>300.51990000000001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T_A!$A$29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T_A!$B$29:$U$29</c:f>
              <c:numCache>
                <c:formatCode>General</c:formatCode>
                <c:ptCount val="20"/>
                <c:pt idx="0">
                  <c:v>9225.598</c:v>
                </c:pt>
                <c:pt idx="1">
                  <c:v>6045.1589999999997</c:v>
                </c:pt>
                <c:pt idx="2">
                  <c:v>3603.3960000000002</c:v>
                </c:pt>
                <c:pt idx="3">
                  <c:v>2472.933</c:v>
                </c:pt>
                <c:pt idx="4">
                  <c:v>1817.7950000000001</c:v>
                </c:pt>
                <c:pt idx="5">
                  <c:v>1427.068</c:v>
                </c:pt>
                <c:pt idx="6">
                  <c:v>1163.192</c:v>
                </c:pt>
                <c:pt idx="7">
                  <c:v>972.92989999999998</c:v>
                </c:pt>
                <c:pt idx="8">
                  <c:v>832.93520000000001</c:v>
                </c:pt>
                <c:pt idx="9">
                  <c:v>739.06560000000002</c:v>
                </c:pt>
                <c:pt idx="10">
                  <c:v>656.76790000000005</c:v>
                </c:pt>
                <c:pt idx="11">
                  <c:v>595.35580000000004</c:v>
                </c:pt>
                <c:pt idx="12">
                  <c:v>540.44830000000002</c:v>
                </c:pt>
                <c:pt idx="13">
                  <c:v>497.21899999999999</c:v>
                </c:pt>
                <c:pt idx="14">
                  <c:v>458.815</c:v>
                </c:pt>
                <c:pt idx="15">
                  <c:v>428.47480000000002</c:v>
                </c:pt>
                <c:pt idx="16">
                  <c:v>401.69510000000002</c:v>
                </c:pt>
                <c:pt idx="17">
                  <c:v>381.65069999999997</c:v>
                </c:pt>
                <c:pt idx="18">
                  <c:v>359.17239999999998</c:v>
                </c:pt>
                <c:pt idx="19">
                  <c:v>342.32420000000002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T_A!$A$30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T_A!$B$30:$U$30</c:f>
              <c:numCache>
                <c:formatCode>General</c:formatCode>
                <c:ptCount val="20"/>
                <c:pt idx="0">
                  <c:v>8701.6910000000007</c:v>
                </c:pt>
                <c:pt idx="1">
                  <c:v>5366.4709999999995</c:v>
                </c:pt>
                <c:pt idx="2">
                  <c:v>2946.7629999999999</c:v>
                </c:pt>
                <c:pt idx="3">
                  <c:v>1973.771</c:v>
                </c:pt>
                <c:pt idx="4">
                  <c:v>1438.414</c:v>
                </c:pt>
                <c:pt idx="5">
                  <c:v>1097.9860000000001</c:v>
                </c:pt>
                <c:pt idx="6">
                  <c:v>889.84720000000004</c:v>
                </c:pt>
                <c:pt idx="7">
                  <c:v>738.33010000000002</c:v>
                </c:pt>
                <c:pt idx="8">
                  <c:v>623.51800000000003</c:v>
                </c:pt>
                <c:pt idx="9">
                  <c:v>542.09690000000001</c:v>
                </c:pt>
                <c:pt idx="10">
                  <c:v>477.71910000000003</c:v>
                </c:pt>
                <c:pt idx="11">
                  <c:v>425.1481</c:v>
                </c:pt>
                <c:pt idx="12">
                  <c:v>382.49810000000002</c:v>
                </c:pt>
                <c:pt idx="13">
                  <c:v>348.32089999999999</c:v>
                </c:pt>
                <c:pt idx="14">
                  <c:v>317.7432</c:v>
                </c:pt>
                <c:pt idx="15">
                  <c:v>297.22019999999998</c:v>
                </c:pt>
                <c:pt idx="16">
                  <c:v>276.66079999999999</c:v>
                </c:pt>
                <c:pt idx="17">
                  <c:v>257.37389999999999</c:v>
                </c:pt>
                <c:pt idx="18">
                  <c:v>243.91820000000001</c:v>
                </c:pt>
                <c:pt idx="19">
                  <c:v>230.21680000000001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T_A!$A$31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T_A!$B$31:$U$31</c:f>
              <c:numCache>
                <c:formatCode>General</c:formatCode>
                <c:ptCount val="20"/>
                <c:pt idx="0">
                  <c:v>8731.1299999999992</c:v>
                </c:pt>
                <c:pt idx="1">
                  <c:v>5242.9179999999997</c:v>
                </c:pt>
                <c:pt idx="2">
                  <c:v>2993.3690000000001</c:v>
                </c:pt>
                <c:pt idx="3">
                  <c:v>1989.463</c:v>
                </c:pt>
                <c:pt idx="4">
                  <c:v>1442.2760000000001</c:v>
                </c:pt>
                <c:pt idx="5">
                  <c:v>1096.1320000000001</c:v>
                </c:pt>
                <c:pt idx="6">
                  <c:v>880.08489999999995</c:v>
                </c:pt>
                <c:pt idx="7">
                  <c:v>727.17349999999999</c:v>
                </c:pt>
                <c:pt idx="8">
                  <c:v>614.68269999999995</c:v>
                </c:pt>
                <c:pt idx="9">
                  <c:v>534.57669999999996</c:v>
                </c:pt>
                <c:pt idx="10">
                  <c:v>467.98770000000002</c:v>
                </c:pt>
                <c:pt idx="11">
                  <c:v>416.61329999999998</c:v>
                </c:pt>
                <c:pt idx="12">
                  <c:v>374.41129999999998</c:v>
                </c:pt>
                <c:pt idx="13">
                  <c:v>343.80009999999999</c:v>
                </c:pt>
                <c:pt idx="14">
                  <c:v>313.71069999999997</c:v>
                </c:pt>
                <c:pt idx="15">
                  <c:v>286.91609999999997</c:v>
                </c:pt>
                <c:pt idx="16">
                  <c:v>266.02460000000002</c:v>
                </c:pt>
                <c:pt idx="17">
                  <c:v>248.8629</c:v>
                </c:pt>
                <c:pt idx="18">
                  <c:v>234.24440000000001</c:v>
                </c:pt>
                <c:pt idx="19">
                  <c:v>222.46889999999999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T_A!$A$32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T_A!$B$32:$U$32</c:f>
              <c:numCache>
                <c:formatCode>General</c:formatCode>
                <c:ptCount val="20"/>
                <c:pt idx="0">
                  <c:v>7915.5379999999996</c:v>
                </c:pt>
                <c:pt idx="1">
                  <c:v>4158.3720000000003</c:v>
                </c:pt>
                <c:pt idx="2">
                  <c:v>2055.134</c:v>
                </c:pt>
                <c:pt idx="3">
                  <c:v>1275.787</c:v>
                </c:pt>
                <c:pt idx="4">
                  <c:v>897.5326</c:v>
                </c:pt>
                <c:pt idx="5">
                  <c:v>681.93589999999995</c:v>
                </c:pt>
                <c:pt idx="6">
                  <c:v>546.08699999999999</c:v>
                </c:pt>
                <c:pt idx="7">
                  <c:v>440.1345</c:v>
                </c:pt>
                <c:pt idx="8">
                  <c:v>365.85629999999998</c:v>
                </c:pt>
                <c:pt idx="9">
                  <c:v>311.52589999999998</c:v>
                </c:pt>
                <c:pt idx="10">
                  <c:v>272.48910000000001</c:v>
                </c:pt>
                <c:pt idx="11">
                  <c:v>242.5428</c:v>
                </c:pt>
                <c:pt idx="12">
                  <c:v>220.45949999999999</c:v>
                </c:pt>
                <c:pt idx="13">
                  <c:v>202.88489999999999</c:v>
                </c:pt>
                <c:pt idx="14">
                  <c:v>181.8014</c:v>
                </c:pt>
                <c:pt idx="15">
                  <c:v>168.5745</c:v>
                </c:pt>
                <c:pt idx="16">
                  <c:v>155.9812</c:v>
                </c:pt>
                <c:pt idx="17">
                  <c:v>143.61019999999999</c:v>
                </c:pt>
                <c:pt idx="18">
                  <c:v>134.2612</c:v>
                </c:pt>
                <c:pt idx="19">
                  <c:v>125.13500000000001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T_A!$A$33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T_A!$B$33:$U$33</c:f>
              <c:numCache>
                <c:formatCode>General</c:formatCode>
                <c:ptCount val="20"/>
                <c:pt idx="0">
                  <c:v>7718.3289999999997</c:v>
                </c:pt>
                <c:pt idx="1">
                  <c:v>3938.681</c:v>
                </c:pt>
                <c:pt idx="2">
                  <c:v>1962.4749999999999</c:v>
                </c:pt>
                <c:pt idx="3">
                  <c:v>1226.241</c:v>
                </c:pt>
                <c:pt idx="4">
                  <c:v>884.81269999999995</c:v>
                </c:pt>
                <c:pt idx="5">
                  <c:v>672.03549999999996</c:v>
                </c:pt>
                <c:pt idx="6">
                  <c:v>527.51319999999998</c:v>
                </c:pt>
                <c:pt idx="7">
                  <c:v>428.90429999999998</c:v>
                </c:pt>
                <c:pt idx="8">
                  <c:v>363.15809999999999</c:v>
                </c:pt>
                <c:pt idx="9">
                  <c:v>312.57130000000001</c:v>
                </c:pt>
                <c:pt idx="10">
                  <c:v>272.8766</c:v>
                </c:pt>
                <c:pt idx="11">
                  <c:v>238.36199999999999</c:v>
                </c:pt>
                <c:pt idx="12">
                  <c:v>216.9453</c:v>
                </c:pt>
                <c:pt idx="13">
                  <c:v>194.1327</c:v>
                </c:pt>
                <c:pt idx="14">
                  <c:v>175.0575</c:v>
                </c:pt>
                <c:pt idx="15">
                  <c:v>162.52549999999999</c:v>
                </c:pt>
                <c:pt idx="16">
                  <c:v>150.58109999999999</c:v>
                </c:pt>
                <c:pt idx="17">
                  <c:v>139.68819999999999</c:v>
                </c:pt>
                <c:pt idx="18">
                  <c:v>130.9853</c:v>
                </c:pt>
                <c:pt idx="19">
                  <c:v>123.5091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T_A!$A$34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T_A!$B$34:$U$34</c:f>
              <c:numCache>
                <c:formatCode>General</c:formatCode>
                <c:ptCount val="20"/>
                <c:pt idx="0">
                  <c:v>7674.57</c:v>
                </c:pt>
                <c:pt idx="1">
                  <c:v>3898.6030000000001</c:v>
                </c:pt>
                <c:pt idx="2">
                  <c:v>1956.4259999999999</c:v>
                </c:pt>
                <c:pt idx="3">
                  <c:v>1239.6769999999999</c:v>
                </c:pt>
                <c:pt idx="4">
                  <c:v>878.86659999999995</c:v>
                </c:pt>
                <c:pt idx="5">
                  <c:v>664.22029999999995</c:v>
                </c:pt>
                <c:pt idx="6">
                  <c:v>529.35630000000003</c:v>
                </c:pt>
                <c:pt idx="7">
                  <c:v>431.86369999999999</c:v>
                </c:pt>
                <c:pt idx="8">
                  <c:v>362.00920000000002</c:v>
                </c:pt>
                <c:pt idx="9">
                  <c:v>309.63839999999999</c:v>
                </c:pt>
                <c:pt idx="10">
                  <c:v>268.70069999999998</c:v>
                </c:pt>
                <c:pt idx="11">
                  <c:v>237.648</c:v>
                </c:pt>
                <c:pt idx="12">
                  <c:v>215.44929999999999</c:v>
                </c:pt>
                <c:pt idx="13">
                  <c:v>194.23869999999999</c:v>
                </c:pt>
                <c:pt idx="14">
                  <c:v>180.00450000000001</c:v>
                </c:pt>
                <c:pt idx="15">
                  <c:v>165.62450000000001</c:v>
                </c:pt>
                <c:pt idx="16">
                  <c:v>151.78720000000001</c:v>
                </c:pt>
                <c:pt idx="17">
                  <c:v>141.15719999999999</c:v>
                </c:pt>
                <c:pt idx="18">
                  <c:v>132.2022</c:v>
                </c:pt>
                <c:pt idx="19">
                  <c:v>125.20010000000001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T_A!$A$35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T_A!$B$35:$U$35</c:f>
              <c:numCache>
                <c:formatCode>General</c:formatCode>
                <c:ptCount val="20"/>
                <c:pt idx="0">
                  <c:v>19093.8</c:v>
                </c:pt>
                <c:pt idx="1">
                  <c:v>12497.15</c:v>
                </c:pt>
                <c:pt idx="2">
                  <c:v>7512.5709999999999</c:v>
                </c:pt>
                <c:pt idx="3">
                  <c:v>5117.0540000000001</c:v>
                </c:pt>
                <c:pt idx="4">
                  <c:v>3770.2370000000001</c:v>
                </c:pt>
                <c:pt idx="5">
                  <c:v>2908.7579999999998</c:v>
                </c:pt>
                <c:pt idx="6">
                  <c:v>2320.5439999999999</c:v>
                </c:pt>
                <c:pt idx="7">
                  <c:v>1901.287</c:v>
                </c:pt>
                <c:pt idx="8">
                  <c:v>1574.991</c:v>
                </c:pt>
                <c:pt idx="9">
                  <c:v>1337.413</c:v>
                </c:pt>
                <c:pt idx="10">
                  <c:v>1169.309</c:v>
                </c:pt>
                <c:pt idx="11">
                  <c:v>1041.2260000000001</c:v>
                </c:pt>
                <c:pt idx="12">
                  <c:v>926.00419999999997</c:v>
                </c:pt>
                <c:pt idx="13">
                  <c:v>831.67750000000001</c:v>
                </c:pt>
                <c:pt idx="14">
                  <c:v>758.55550000000005</c:v>
                </c:pt>
                <c:pt idx="15">
                  <c:v>700.60749999999996</c:v>
                </c:pt>
                <c:pt idx="16">
                  <c:v>637.41719999999998</c:v>
                </c:pt>
                <c:pt idx="17">
                  <c:v>589.81299999999999</c:v>
                </c:pt>
                <c:pt idx="18">
                  <c:v>549.80150000000003</c:v>
                </c:pt>
                <c:pt idx="19">
                  <c:v>524.52390000000003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T_A!$A$36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T_A!$B$36:$U$36</c:f>
              <c:numCache>
                <c:formatCode>General</c:formatCode>
                <c:ptCount val="20"/>
                <c:pt idx="0">
                  <c:v>19947.099999999999</c:v>
                </c:pt>
                <c:pt idx="1">
                  <c:v>13047.42</c:v>
                </c:pt>
                <c:pt idx="2">
                  <c:v>7852.951</c:v>
                </c:pt>
                <c:pt idx="3">
                  <c:v>5352.21</c:v>
                </c:pt>
                <c:pt idx="4">
                  <c:v>3952.22</c:v>
                </c:pt>
                <c:pt idx="5">
                  <c:v>3054.8789999999999</c:v>
                </c:pt>
                <c:pt idx="6">
                  <c:v>2454.8710000000001</c:v>
                </c:pt>
                <c:pt idx="7">
                  <c:v>2017.194</c:v>
                </c:pt>
                <c:pt idx="8">
                  <c:v>1701.4680000000001</c:v>
                </c:pt>
                <c:pt idx="9">
                  <c:v>1459.9280000000001</c:v>
                </c:pt>
                <c:pt idx="10">
                  <c:v>1280.4680000000001</c:v>
                </c:pt>
                <c:pt idx="11">
                  <c:v>1135.4939999999999</c:v>
                </c:pt>
                <c:pt idx="12">
                  <c:v>1015.4930000000001</c:v>
                </c:pt>
                <c:pt idx="13">
                  <c:v>916.55880000000002</c:v>
                </c:pt>
                <c:pt idx="14">
                  <c:v>834.68679999999995</c:v>
                </c:pt>
                <c:pt idx="15">
                  <c:v>770.41729999999995</c:v>
                </c:pt>
                <c:pt idx="16">
                  <c:v>698.02170000000001</c:v>
                </c:pt>
                <c:pt idx="17">
                  <c:v>646.21619999999996</c:v>
                </c:pt>
                <c:pt idx="18">
                  <c:v>608.84939999999995</c:v>
                </c:pt>
                <c:pt idx="19">
                  <c:v>569.00630000000001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T_A!$A$37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T_A!$B$2:$U$2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T_A!$B$37:$U$37</c:f>
              <c:numCache>
                <c:formatCode>General</c:formatCode>
                <c:ptCount val="20"/>
                <c:pt idx="0">
                  <c:v>20895</c:v>
                </c:pt>
                <c:pt idx="1">
                  <c:v>14004.78</c:v>
                </c:pt>
                <c:pt idx="2">
                  <c:v>8545.5540000000001</c:v>
                </c:pt>
                <c:pt idx="3">
                  <c:v>5836.4979999999996</c:v>
                </c:pt>
                <c:pt idx="4">
                  <c:v>4318.433</c:v>
                </c:pt>
                <c:pt idx="5">
                  <c:v>3357.7379999999998</c:v>
                </c:pt>
                <c:pt idx="6">
                  <c:v>2701.5050000000001</c:v>
                </c:pt>
                <c:pt idx="7">
                  <c:v>2258.6179999999999</c:v>
                </c:pt>
                <c:pt idx="8">
                  <c:v>1914.1990000000001</c:v>
                </c:pt>
                <c:pt idx="9">
                  <c:v>1652.01</c:v>
                </c:pt>
                <c:pt idx="10">
                  <c:v>1458.383</c:v>
                </c:pt>
                <c:pt idx="11">
                  <c:v>1290.0619999999999</c:v>
                </c:pt>
                <c:pt idx="12">
                  <c:v>1149.6500000000001</c:v>
                </c:pt>
                <c:pt idx="13">
                  <c:v>1042.115</c:v>
                </c:pt>
                <c:pt idx="14">
                  <c:v>954.12990000000002</c:v>
                </c:pt>
                <c:pt idx="15">
                  <c:v>876.77419999999995</c:v>
                </c:pt>
                <c:pt idx="16">
                  <c:v>805.22820000000002</c:v>
                </c:pt>
                <c:pt idx="17">
                  <c:v>743.49180000000001</c:v>
                </c:pt>
                <c:pt idx="18">
                  <c:v>714.42650000000003</c:v>
                </c:pt>
                <c:pt idx="19">
                  <c:v>671.89009999999996</c:v>
                </c:pt>
              </c:numCache>
            </c:numRef>
          </c:yVal>
          <c:smooth val="1"/>
        </c:ser>
        <c:axId val="99361536"/>
        <c:axId val="99363456"/>
      </c:scatterChart>
      <c:valAx>
        <c:axId val="99361536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363456"/>
        <c:crosses val="autoZero"/>
        <c:crossBetween val="midCat"/>
      </c:valAx>
      <c:valAx>
        <c:axId val="99363456"/>
        <c:scaling>
          <c:orientation val="minMax"/>
        </c:scaling>
        <c:axPos val="l"/>
        <c:numFmt formatCode="General" sourceLinked="1"/>
        <c:tickLblPos val="nextTo"/>
        <c:crossAx val="993615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249184551139554"/>
          <c:y val="2.5242892831167194E-2"/>
          <c:w val="0.28087092015872683"/>
          <c:h val="0.871465705341049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Shape_factor!$B$3:$U$3</c:f>
              <c:numCache>
                <c:formatCode>General</c:formatCode>
                <c:ptCount val="20"/>
                <c:pt idx="0">
                  <c:v>2.1095717192268566</c:v>
                </c:pt>
                <c:pt idx="1">
                  <c:v>1.4280600203458798</c:v>
                </c:pt>
                <c:pt idx="2">
                  <c:v>0.89807873855544262</c:v>
                </c:pt>
                <c:pt idx="3">
                  <c:v>0.63309359104781282</c:v>
                </c:pt>
                <c:pt idx="4">
                  <c:v>0.47561149542217701</c:v>
                </c:pt>
                <c:pt idx="5">
                  <c:v>0.38351597151576805</c:v>
                </c:pt>
                <c:pt idx="6">
                  <c:v>0.32280661241098674</c:v>
                </c:pt>
                <c:pt idx="7">
                  <c:v>0.27783967446592067</c:v>
                </c:pt>
                <c:pt idx="8">
                  <c:v>0.24465300101729398</c:v>
                </c:pt>
                <c:pt idx="9">
                  <c:v>0.21746469989827058</c:v>
                </c:pt>
                <c:pt idx="10">
                  <c:v>0.19487761953204474</c:v>
                </c:pt>
                <c:pt idx="11">
                  <c:v>0.17868067141403865</c:v>
                </c:pt>
                <c:pt idx="12">
                  <c:v>0.16515961342828078</c:v>
                </c:pt>
                <c:pt idx="13">
                  <c:v>0.15188596134282809</c:v>
                </c:pt>
                <c:pt idx="14">
                  <c:v>0.14099796541200407</c:v>
                </c:pt>
                <c:pt idx="15">
                  <c:v>0.13127141403865719</c:v>
                </c:pt>
                <c:pt idx="16">
                  <c:v>0.12298158697863683</c:v>
                </c:pt>
                <c:pt idx="17">
                  <c:v>0.11717589013224822</c:v>
                </c:pt>
                <c:pt idx="18">
                  <c:v>0.11435188199389623</c:v>
                </c:pt>
                <c:pt idx="19">
                  <c:v>0.1121738555442523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Shape_factor!$B$21:$U$21</c:f>
              <c:numCache>
                <c:formatCode>General</c:formatCode>
                <c:ptCount val="20"/>
                <c:pt idx="0">
                  <c:v>1.9734054487179484</c:v>
                </c:pt>
                <c:pt idx="1">
                  <c:v>1.2766932234432233</c:v>
                </c:pt>
                <c:pt idx="2">
                  <c:v>0.74531524725274723</c:v>
                </c:pt>
                <c:pt idx="3">
                  <c:v>0.49339102564102566</c:v>
                </c:pt>
                <c:pt idx="4">
                  <c:v>0.3624404761904762</c:v>
                </c:pt>
                <c:pt idx="5">
                  <c:v>0.28492559523809524</c:v>
                </c:pt>
                <c:pt idx="6">
                  <c:v>0.23063667582417582</c:v>
                </c:pt>
                <c:pt idx="7">
                  <c:v>0.19523525641025641</c:v>
                </c:pt>
                <c:pt idx="8">
                  <c:v>0.16931284340659339</c:v>
                </c:pt>
                <c:pt idx="9">
                  <c:v>0.14941696428571427</c:v>
                </c:pt>
                <c:pt idx="10">
                  <c:v>0.13296662087912087</c:v>
                </c:pt>
                <c:pt idx="11">
                  <c:v>0.11993106684981684</c:v>
                </c:pt>
                <c:pt idx="12">
                  <c:v>0.10912582417582418</c:v>
                </c:pt>
                <c:pt idx="13">
                  <c:v>0.10109375</c:v>
                </c:pt>
                <c:pt idx="14">
                  <c:v>9.4258035714285718E-2</c:v>
                </c:pt>
                <c:pt idx="15">
                  <c:v>8.7708104395604392E-2</c:v>
                </c:pt>
                <c:pt idx="16">
                  <c:v>8.2465499084249078E-2</c:v>
                </c:pt>
                <c:pt idx="17">
                  <c:v>7.8119574175824172E-2</c:v>
                </c:pt>
                <c:pt idx="18">
                  <c:v>7.2492170329670327E-2</c:v>
                </c:pt>
                <c:pt idx="19">
                  <c:v>6.8765315934065929E-2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Shape_factor!$B$37:$U$37</c:f>
              <c:numCache>
                <c:formatCode>General</c:formatCode>
                <c:ptCount val="20"/>
                <c:pt idx="0">
                  <c:v>2.0178657653307579</c:v>
                </c:pt>
                <c:pt idx="1">
                  <c:v>1.3524654756156447</c:v>
                </c:pt>
                <c:pt idx="2">
                  <c:v>0.82525871559633024</c:v>
                </c:pt>
                <c:pt idx="3">
                  <c:v>0.56364056011588604</c:v>
                </c:pt>
                <c:pt idx="4">
                  <c:v>0.41703843553838726</c:v>
                </c:pt>
                <c:pt idx="5">
                  <c:v>0.32426248189280538</c:v>
                </c:pt>
                <c:pt idx="6">
                  <c:v>0.26088894253983586</c:v>
                </c:pt>
                <c:pt idx="7">
                  <c:v>0.21811859005311443</c:v>
                </c:pt>
                <c:pt idx="8">
                  <c:v>0.1848574601641719</c:v>
                </c:pt>
                <c:pt idx="9">
                  <c:v>0.15953742153549011</c:v>
                </c:pt>
                <c:pt idx="10">
                  <c:v>0.14083853211009176</c:v>
                </c:pt>
                <c:pt idx="11">
                  <c:v>0.1245834862385321</c:v>
                </c:pt>
                <c:pt idx="12">
                  <c:v>0.1110236600676002</c:v>
                </c:pt>
                <c:pt idx="13">
                  <c:v>0.10063882182520521</c:v>
                </c:pt>
                <c:pt idx="14">
                  <c:v>9.2141950748430707E-2</c:v>
                </c:pt>
                <c:pt idx="15">
                  <c:v>8.4671578947368417E-2</c:v>
                </c:pt>
                <c:pt idx="16">
                  <c:v>7.7762259777885076E-2</c:v>
                </c:pt>
                <c:pt idx="17">
                  <c:v>7.1800270400772581E-2</c:v>
                </c:pt>
                <c:pt idx="18">
                  <c:v>6.8993384838242397E-2</c:v>
                </c:pt>
                <c:pt idx="19">
                  <c:v>6.4885572187349097E-2</c:v>
                </c:pt>
              </c:numCache>
            </c:numRef>
          </c:yVal>
          <c:smooth val="1"/>
        </c:ser>
        <c:axId val="82188928"/>
        <c:axId val="83636992"/>
      </c:scatterChart>
      <c:valAx>
        <c:axId val="8218892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36992"/>
        <c:crosses val="autoZero"/>
        <c:crossBetween val="midCat"/>
      </c:valAx>
      <c:valAx>
        <c:axId val="83636992"/>
        <c:scaling>
          <c:orientation val="minMax"/>
        </c:scaling>
        <c:axPos val="l"/>
        <c:numFmt formatCode="General" sourceLinked="1"/>
        <c:tickLblPos val="nextTo"/>
        <c:crossAx val="82188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958508311461055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Shape_factor!$A$3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Shape_factor!$B$3:$U$3</c:f>
              <c:numCache>
                <c:formatCode>General</c:formatCode>
                <c:ptCount val="20"/>
                <c:pt idx="0">
                  <c:v>2.1095717192268566</c:v>
                </c:pt>
                <c:pt idx="1">
                  <c:v>1.4280600203458798</c:v>
                </c:pt>
                <c:pt idx="2">
                  <c:v>0.89807873855544262</c:v>
                </c:pt>
                <c:pt idx="3">
                  <c:v>0.63309359104781282</c:v>
                </c:pt>
                <c:pt idx="4">
                  <c:v>0.47561149542217701</c:v>
                </c:pt>
                <c:pt idx="5">
                  <c:v>0.38351597151576805</c:v>
                </c:pt>
                <c:pt idx="6">
                  <c:v>0.32280661241098674</c:v>
                </c:pt>
                <c:pt idx="7">
                  <c:v>0.27783967446592067</c:v>
                </c:pt>
                <c:pt idx="8">
                  <c:v>0.24465300101729398</c:v>
                </c:pt>
                <c:pt idx="9">
                  <c:v>0.21746469989827058</c:v>
                </c:pt>
                <c:pt idx="10">
                  <c:v>0.19487761953204474</c:v>
                </c:pt>
                <c:pt idx="11">
                  <c:v>0.17868067141403865</c:v>
                </c:pt>
                <c:pt idx="12">
                  <c:v>0.16515961342828078</c:v>
                </c:pt>
                <c:pt idx="13">
                  <c:v>0.15188596134282809</c:v>
                </c:pt>
                <c:pt idx="14">
                  <c:v>0.14099796541200407</c:v>
                </c:pt>
                <c:pt idx="15">
                  <c:v>0.13127141403865719</c:v>
                </c:pt>
                <c:pt idx="16">
                  <c:v>0.12298158697863683</c:v>
                </c:pt>
                <c:pt idx="17">
                  <c:v>0.11717589013224822</c:v>
                </c:pt>
                <c:pt idx="18">
                  <c:v>0.11435188199389623</c:v>
                </c:pt>
                <c:pt idx="19">
                  <c:v>0.1121738555442523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Shape_factor!$A$4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Shape_factor!$B$4:$U$4</c:f>
              <c:numCache>
                <c:formatCode>General</c:formatCode>
                <c:ptCount val="20"/>
                <c:pt idx="0">
                  <c:v>2.1891714743589743</c:v>
                </c:pt>
                <c:pt idx="1">
                  <c:v>1.4514671474358976</c:v>
                </c:pt>
                <c:pt idx="2">
                  <c:v>0.86689022435897434</c:v>
                </c:pt>
                <c:pt idx="3">
                  <c:v>0.59344262820512816</c:v>
                </c:pt>
                <c:pt idx="4">
                  <c:v>0.4436010416666667</c:v>
                </c:pt>
                <c:pt idx="5">
                  <c:v>0.35174030448717947</c:v>
                </c:pt>
                <c:pt idx="6">
                  <c:v>0.29770721153846152</c:v>
                </c:pt>
                <c:pt idx="7">
                  <c:v>0.25393886217948719</c:v>
                </c:pt>
                <c:pt idx="8">
                  <c:v>0.22037491987179486</c:v>
                </c:pt>
                <c:pt idx="9">
                  <c:v>0.19570729166666667</c:v>
                </c:pt>
                <c:pt idx="10">
                  <c:v>0.17641346153846152</c:v>
                </c:pt>
                <c:pt idx="11">
                  <c:v>0.1559647435897436</c:v>
                </c:pt>
                <c:pt idx="12">
                  <c:v>0.14313774038461538</c:v>
                </c:pt>
                <c:pt idx="13">
                  <c:v>0.134134375</c:v>
                </c:pt>
                <c:pt idx="14">
                  <c:v>0.1240158653846154</c:v>
                </c:pt>
                <c:pt idx="15">
                  <c:v>0.1159590544871795</c:v>
                </c:pt>
                <c:pt idx="16">
                  <c:v>0.10778766025641026</c:v>
                </c:pt>
                <c:pt idx="17">
                  <c:v>0.10161682692307693</c:v>
                </c:pt>
                <c:pt idx="18">
                  <c:v>9.7672195512820512E-2</c:v>
                </c:pt>
                <c:pt idx="19">
                  <c:v>9.3826842948717945E-2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Shape_factor!$A$5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Shape_factor!$B$5:$U$5</c:f>
              <c:numCache>
                <c:formatCode>General</c:formatCode>
                <c:ptCount val="20"/>
                <c:pt idx="0">
                  <c:v>1.877982982171799</c:v>
                </c:pt>
                <c:pt idx="1">
                  <c:v>1.2497617504051863</c:v>
                </c:pt>
                <c:pt idx="2">
                  <c:v>0.78291166936790924</c:v>
                </c:pt>
                <c:pt idx="3">
                  <c:v>0.54955956239870341</c:v>
                </c:pt>
                <c:pt idx="4">
                  <c:v>0.41685737439222048</c:v>
                </c:pt>
                <c:pt idx="5">
                  <c:v>0.3320257698541329</c:v>
                </c:pt>
                <c:pt idx="6">
                  <c:v>0.27282058346839544</c:v>
                </c:pt>
                <c:pt idx="7">
                  <c:v>0.23280761750405188</c:v>
                </c:pt>
                <c:pt idx="8">
                  <c:v>0.20542325769854133</c:v>
                </c:pt>
                <c:pt idx="9">
                  <c:v>0.17983865478119934</c:v>
                </c:pt>
                <c:pt idx="10">
                  <c:v>0.16364331442463531</c:v>
                </c:pt>
                <c:pt idx="11">
                  <c:v>0.14806110210696921</c:v>
                </c:pt>
                <c:pt idx="12">
                  <c:v>0.13532451377633711</c:v>
                </c:pt>
                <c:pt idx="13">
                  <c:v>0.126334886547812</c:v>
                </c:pt>
                <c:pt idx="14">
                  <c:v>0.1174570907617504</c:v>
                </c:pt>
                <c:pt idx="15">
                  <c:v>0.10848496758508915</c:v>
                </c:pt>
                <c:pt idx="16">
                  <c:v>0.10205700972447326</c:v>
                </c:pt>
                <c:pt idx="17">
                  <c:v>9.6141774716369519E-2</c:v>
                </c:pt>
                <c:pt idx="18">
                  <c:v>9.2853606158833063E-2</c:v>
                </c:pt>
                <c:pt idx="19">
                  <c:v>8.9437520259319281E-2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Shape_factor!$A$6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Shape_factor!$B$6:$U$6</c:f>
              <c:numCache>
                <c:formatCode>General</c:formatCode>
                <c:ptCount val="20"/>
                <c:pt idx="0">
                  <c:v>1.6271691842900302</c:v>
                </c:pt>
                <c:pt idx="1">
                  <c:v>0.92790433031218533</c:v>
                </c:pt>
                <c:pt idx="2">
                  <c:v>0.54102940584088621</c:v>
                </c:pt>
                <c:pt idx="3">
                  <c:v>0.37289365558912385</c:v>
                </c:pt>
                <c:pt idx="4">
                  <c:v>0.27503726082578051</c:v>
                </c:pt>
                <c:pt idx="5">
                  <c:v>0.22037955689828803</c:v>
                </c:pt>
                <c:pt idx="6">
                  <c:v>0.1817828801611279</c:v>
                </c:pt>
                <c:pt idx="7">
                  <c:v>0.153104833836858</c:v>
                </c:pt>
                <c:pt idx="8">
                  <c:v>0.13357512588116816</c:v>
                </c:pt>
                <c:pt idx="9">
                  <c:v>0.11880996978851964</c:v>
                </c:pt>
                <c:pt idx="10">
                  <c:v>0.10616032225579053</c:v>
                </c:pt>
                <c:pt idx="11">
                  <c:v>9.6478489425981875E-2</c:v>
                </c:pt>
                <c:pt idx="12">
                  <c:v>9.0118942598187313E-2</c:v>
                </c:pt>
                <c:pt idx="13">
                  <c:v>8.2891329305135944E-2</c:v>
                </c:pt>
                <c:pt idx="14">
                  <c:v>7.737875125881169E-2</c:v>
                </c:pt>
                <c:pt idx="15">
                  <c:v>7.1382739174219542E-2</c:v>
                </c:pt>
                <c:pt idx="16">
                  <c:v>6.8496495468277949E-2</c:v>
                </c:pt>
                <c:pt idx="17">
                  <c:v>6.4909405840886197E-2</c:v>
                </c:pt>
                <c:pt idx="18">
                  <c:v>6.1109768378650557E-2</c:v>
                </c:pt>
                <c:pt idx="19">
                  <c:v>5.8444078549848941E-2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Shape_factor!$A$7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Shape_factor!$B$7:$U$7</c:f>
              <c:numCache>
                <c:formatCode>General</c:formatCode>
                <c:ptCount val="20"/>
                <c:pt idx="0">
                  <c:v>1.5705945674044266</c:v>
                </c:pt>
                <c:pt idx="1">
                  <c:v>0.89107806841046278</c:v>
                </c:pt>
                <c:pt idx="2">
                  <c:v>0.52052645875251502</c:v>
                </c:pt>
                <c:pt idx="3">
                  <c:v>0.35947655935613682</c:v>
                </c:pt>
                <c:pt idx="4">
                  <c:v>0.27214476861167003</c:v>
                </c:pt>
                <c:pt idx="5">
                  <c:v>0.2185533199195171</c:v>
                </c:pt>
                <c:pt idx="6">
                  <c:v>0.1808235412474849</c:v>
                </c:pt>
                <c:pt idx="7">
                  <c:v>0.15447273641851106</c:v>
                </c:pt>
                <c:pt idx="8">
                  <c:v>0.13713490945674042</c:v>
                </c:pt>
                <c:pt idx="9">
                  <c:v>0.120767907444668</c:v>
                </c:pt>
                <c:pt idx="10">
                  <c:v>0.10765120724346076</c:v>
                </c:pt>
                <c:pt idx="11">
                  <c:v>9.6319114688128774E-2</c:v>
                </c:pt>
                <c:pt idx="12">
                  <c:v>8.5986076458752517E-2</c:v>
                </c:pt>
                <c:pt idx="13">
                  <c:v>7.8780794768611676E-2</c:v>
                </c:pt>
                <c:pt idx="14">
                  <c:v>7.2514175050301805E-2</c:v>
                </c:pt>
                <c:pt idx="15">
                  <c:v>6.8439718309859149E-2</c:v>
                </c:pt>
                <c:pt idx="16">
                  <c:v>6.4087575452716289E-2</c:v>
                </c:pt>
                <c:pt idx="17">
                  <c:v>5.9546297786720319E-2</c:v>
                </c:pt>
                <c:pt idx="18">
                  <c:v>5.7400422535211264E-2</c:v>
                </c:pt>
                <c:pt idx="19">
                  <c:v>5.5704215291750507E-2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Shape_factor!$A$8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Shape_factor!$B$8:$U$8</c:f>
              <c:numCache>
                <c:formatCode>General</c:formatCode>
                <c:ptCount val="20"/>
                <c:pt idx="0">
                  <c:v>1.6184435564435564</c:v>
                </c:pt>
                <c:pt idx="1">
                  <c:v>0.93884665334665329</c:v>
                </c:pt>
                <c:pt idx="2">
                  <c:v>0.53791058941058933</c:v>
                </c:pt>
                <c:pt idx="3">
                  <c:v>0.37901628371628376</c:v>
                </c:pt>
                <c:pt idx="4">
                  <c:v>0.28348601398601397</c:v>
                </c:pt>
                <c:pt idx="5">
                  <c:v>0.22437372627372626</c:v>
                </c:pt>
                <c:pt idx="6">
                  <c:v>0.1858308691308691</c:v>
                </c:pt>
                <c:pt idx="7">
                  <c:v>0.15650969030969031</c:v>
                </c:pt>
                <c:pt idx="8">
                  <c:v>0.13902897102897105</c:v>
                </c:pt>
                <c:pt idx="9">
                  <c:v>0.12008121878121879</c:v>
                </c:pt>
                <c:pt idx="10">
                  <c:v>0.10779250749250749</c:v>
                </c:pt>
                <c:pt idx="11">
                  <c:v>0.10072347652347653</c:v>
                </c:pt>
                <c:pt idx="12">
                  <c:v>9.2537632367632378E-2</c:v>
                </c:pt>
                <c:pt idx="13">
                  <c:v>8.5094085914085918E-2</c:v>
                </c:pt>
                <c:pt idx="14">
                  <c:v>7.884730269730271E-2</c:v>
                </c:pt>
                <c:pt idx="15">
                  <c:v>7.4101018981018993E-2</c:v>
                </c:pt>
                <c:pt idx="16">
                  <c:v>7.0508591408591406E-2</c:v>
                </c:pt>
                <c:pt idx="17">
                  <c:v>6.5968081918081914E-2</c:v>
                </c:pt>
                <c:pt idx="18">
                  <c:v>6.2669310689310684E-2</c:v>
                </c:pt>
                <c:pt idx="19">
                  <c:v>6.0070869130869134E-2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Shape_factor!$A$9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Shape_factor!$B$9:$U$9</c:f>
              <c:numCache>
                <c:formatCode>General</c:formatCode>
                <c:ptCount val="20"/>
                <c:pt idx="0">
                  <c:v>1.5889310689310689</c:v>
                </c:pt>
                <c:pt idx="1">
                  <c:v>0.90599990009990006</c:v>
                </c:pt>
                <c:pt idx="2">
                  <c:v>0.51946573426573428</c:v>
                </c:pt>
                <c:pt idx="3">
                  <c:v>0.36695264735264732</c:v>
                </c:pt>
                <c:pt idx="4">
                  <c:v>0.27448721278721283</c:v>
                </c:pt>
                <c:pt idx="5">
                  <c:v>0.21349260739260739</c:v>
                </c:pt>
                <c:pt idx="6">
                  <c:v>0.17948611388611391</c:v>
                </c:pt>
                <c:pt idx="7">
                  <c:v>0.15550249750249748</c:v>
                </c:pt>
                <c:pt idx="8">
                  <c:v>0.13635764235764236</c:v>
                </c:pt>
                <c:pt idx="9">
                  <c:v>0.11983136863136863</c:v>
                </c:pt>
                <c:pt idx="10">
                  <c:v>0.10774255744255745</c:v>
                </c:pt>
                <c:pt idx="11">
                  <c:v>9.7645564435564436E-2</c:v>
                </c:pt>
                <c:pt idx="12">
                  <c:v>9.0639540459540466E-2</c:v>
                </c:pt>
                <c:pt idx="13">
                  <c:v>8.5072097902097896E-2</c:v>
                </c:pt>
                <c:pt idx="14">
                  <c:v>7.9990159840159836E-2</c:v>
                </c:pt>
                <c:pt idx="15">
                  <c:v>7.4524585414585412E-2</c:v>
                </c:pt>
                <c:pt idx="16">
                  <c:v>6.9539540459540472E-2</c:v>
                </c:pt>
                <c:pt idx="17">
                  <c:v>6.5739280719280715E-2</c:v>
                </c:pt>
                <c:pt idx="18">
                  <c:v>6.1977012987012983E-2</c:v>
                </c:pt>
                <c:pt idx="19">
                  <c:v>5.9830129870129874E-2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Shape_factor!$A$10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Shape_factor!$B$10:$U$10</c:f>
              <c:numCache>
                <c:formatCode>General</c:formatCode>
                <c:ptCount val="20"/>
                <c:pt idx="0">
                  <c:v>1.6480628352490423</c:v>
                </c:pt>
                <c:pt idx="1">
                  <c:v>0.91603754789272041</c:v>
                </c:pt>
                <c:pt idx="2">
                  <c:v>0.51333440613026815</c:v>
                </c:pt>
                <c:pt idx="3">
                  <c:v>0.34548321839080459</c:v>
                </c:pt>
                <c:pt idx="4">
                  <c:v>0.25315103448275861</c:v>
                </c:pt>
                <c:pt idx="5">
                  <c:v>0.19801678160919539</c:v>
                </c:pt>
                <c:pt idx="6">
                  <c:v>0.16028766283524903</c:v>
                </c:pt>
                <c:pt idx="7">
                  <c:v>0.13673386973180077</c:v>
                </c:pt>
                <c:pt idx="8">
                  <c:v>0.12014252873563218</c:v>
                </c:pt>
                <c:pt idx="9">
                  <c:v>0.10735249042145593</c:v>
                </c:pt>
                <c:pt idx="10">
                  <c:v>9.6579540229885061E-2</c:v>
                </c:pt>
                <c:pt idx="11">
                  <c:v>8.7400996168582379E-2</c:v>
                </c:pt>
                <c:pt idx="12">
                  <c:v>7.9823218390804598E-2</c:v>
                </c:pt>
                <c:pt idx="13">
                  <c:v>7.2710536398467432E-2</c:v>
                </c:pt>
                <c:pt idx="14">
                  <c:v>6.7734275862068968E-2</c:v>
                </c:pt>
                <c:pt idx="15">
                  <c:v>6.4284452107279691E-2</c:v>
                </c:pt>
                <c:pt idx="16">
                  <c:v>6.0606988505747125E-2</c:v>
                </c:pt>
                <c:pt idx="17">
                  <c:v>5.7128804597701151E-2</c:v>
                </c:pt>
                <c:pt idx="18">
                  <c:v>5.4229892720306511E-2</c:v>
                </c:pt>
                <c:pt idx="19">
                  <c:v>4.992487356321839E-2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Shape_factor!$A$11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Shape_factor!$B$11:$U$11</c:f>
              <c:numCache>
                <c:formatCode>General</c:formatCode>
                <c:ptCount val="20"/>
                <c:pt idx="0">
                  <c:v>1.6445393430099313</c:v>
                </c:pt>
                <c:pt idx="1">
                  <c:v>0.92086707410236823</c:v>
                </c:pt>
                <c:pt idx="2">
                  <c:v>0.51923750954927428</c:v>
                </c:pt>
                <c:pt idx="3">
                  <c:v>0.34620817417876243</c:v>
                </c:pt>
                <c:pt idx="4">
                  <c:v>0.25941138273491215</c:v>
                </c:pt>
                <c:pt idx="5">
                  <c:v>0.20526424751718869</c:v>
                </c:pt>
                <c:pt idx="6">
                  <c:v>0.16798915202444614</c:v>
                </c:pt>
                <c:pt idx="7">
                  <c:v>0.14352612681436211</c:v>
                </c:pt>
                <c:pt idx="8">
                  <c:v>0.12329266615737203</c:v>
                </c:pt>
                <c:pt idx="9">
                  <c:v>0.10711688311688312</c:v>
                </c:pt>
                <c:pt idx="10">
                  <c:v>9.5502139037433154E-2</c:v>
                </c:pt>
                <c:pt idx="11">
                  <c:v>8.4871963330786851E-2</c:v>
                </c:pt>
                <c:pt idx="12">
                  <c:v>7.6971963330786861E-2</c:v>
                </c:pt>
                <c:pt idx="13">
                  <c:v>7.0548678380443083E-2</c:v>
                </c:pt>
                <c:pt idx="14">
                  <c:v>6.6506684491978607E-2</c:v>
                </c:pt>
                <c:pt idx="15">
                  <c:v>6.1431008403361347E-2</c:v>
                </c:pt>
                <c:pt idx="16">
                  <c:v>5.829108479755539E-2</c:v>
                </c:pt>
                <c:pt idx="17">
                  <c:v>5.536975553857907E-2</c:v>
                </c:pt>
                <c:pt idx="18">
                  <c:v>5.2689052711993895E-2</c:v>
                </c:pt>
                <c:pt idx="19">
                  <c:v>5.1057998472116117E-2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Shape_factor!$A$12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Shape_factor!$B$12:$U$12</c:f>
              <c:numCache>
                <c:formatCode>General</c:formatCode>
                <c:ptCount val="20"/>
                <c:pt idx="0">
                  <c:v>1.6816635120925341</c:v>
                </c:pt>
                <c:pt idx="1">
                  <c:v>0.98732260778128289</c:v>
                </c:pt>
                <c:pt idx="2">
                  <c:v>0.5759909568874868</c:v>
                </c:pt>
                <c:pt idx="3">
                  <c:v>0.39539915878023135</c:v>
                </c:pt>
                <c:pt idx="4">
                  <c:v>0.2921031545741325</c:v>
                </c:pt>
                <c:pt idx="5">
                  <c:v>0.2273396424815983</c:v>
                </c:pt>
                <c:pt idx="6">
                  <c:v>0.1893415352260778</c:v>
                </c:pt>
                <c:pt idx="7">
                  <c:v>0.16165899053627758</c:v>
                </c:pt>
                <c:pt idx="8">
                  <c:v>0.1396888538380652</c:v>
                </c:pt>
                <c:pt idx="9">
                  <c:v>0.12828948475289167</c:v>
                </c:pt>
                <c:pt idx="10">
                  <c:v>0.11480893796004206</c:v>
                </c:pt>
                <c:pt idx="11">
                  <c:v>0.10758706624605678</c:v>
                </c:pt>
                <c:pt idx="12">
                  <c:v>9.8231556256572025E-2</c:v>
                </c:pt>
                <c:pt idx="13">
                  <c:v>9.0200988433228171E-2</c:v>
                </c:pt>
                <c:pt idx="14">
                  <c:v>8.1946508937960044E-2</c:v>
                </c:pt>
                <c:pt idx="15">
                  <c:v>7.6484868559411154E-2</c:v>
                </c:pt>
                <c:pt idx="16">
                  <c:v>7.315777076761304E-2</c:v>
                </c:pt>
                <c:pt idx="17">
                  <c:v>6.9154584647739215E-2</c:v>
                </c:pt>
                <c:pt idx="18">
                  <c:v>6.4972670872765509E-2</c:v>
                </c:pt>
                <c:pt idx="19">
                  <c:v>6.1033627760252368E-2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Shape_factor!$A$13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Shape_factor!$B$13:$U$13</c:f>
              <c:numCache>
                <c:formatCode>General</c:formatCode>
                <c:ptCount val="20"/>
                <c:pt idx="0">
                  <c:v>1.6228640167364017</c:v>
                </c:pt>
                <c:pt idx="1">
                  <c:v>0.95090993723849371</c:v>
                </c:pt>
                <c:pt idx="2">
                  <c:v>0.56493640167364023</c:v>
                </c:pt>
                <c:pt idx="3">
                  <c:v>0.38773817991631798</c:v>
                </c:pt>
                <c:pt idx="4">
                  <c:v>0.29498985355648533</c:v>
                </c:pt>
                <c:pt idx="5">
                  <c:v>0.23038692468619246</c:v>
                </c:pt>
                <c:pt idx="6">
                  <c:v>0.19143912133891214</c:v>
                </c:pt>
                <c:pt idx="7">
                  <c:v>0.16274027196652721</c:v>
                </c:pt>
                <c:pt idx="8">
                  <c:v>0.139796129707113</c:v>
                </c:pt>
                <c:pt idx="9">
                  <c:v>0.12302008368200837</c:v>
                </c:pt>
                <c:pt idx="10">
                  <c:v>0.11174811715481171</c:v>
                </c:pt>
                <c:pt idx="11">
                  <c:v>0.10191448744769875</c:v>
                </c:pt>
                <c:pt idx="12">
                  <c:v>9.4851663179916321E-2</c:v>
                </c:pt>
                <c:pt idx="13">
                  <c:v>8.7602656903765702E-2</c:v>
                </c:pt>
                <c:pt idx="14">
                  <c:v>8.0603692468619245E-2</c:v>
                </c:pt>
                <c:pt idx="15">
                  <c:v>7.6602615062761503E-2</c:v>
                </c:pt>
                <c:pt idx="16">
                  <c:v>7.132642259414225E-2</c:v>
                </c:pt>
                <c:pt idx="17">
                  <c:v>6.7603556485355654E-2</c:v>
                </c:pt>
                <c:pt idx="18">
                  <c:v>6.3202939330543939E-2</c:v>
                </c:pt>
                <c:pt idx="19">
                  <c:v>6.0739529288702923E-2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Shape_factor!$A$14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Shape_factor!$B$14:$U$14</c:f>
              <c:numCache>
                <c:formatCode>General</c:formatCode>
                <c:ptCount val="20"/>
                <c:pt idx="0">
                  <c:v>1.6434838035527692</c:v>
                </c:pt>
                <c:pt idx="1">
                  <c:v>0.97448693834900724</c:v>
                </c:pt>
                <c:pt idx="2">
                  <c:v>0.57011274817136881</c:v>
                </c:pt>
                <c:pt idx="3">
                  <c:v>0.39445841170323925</c:v>
                </c:pt>
                <c:pt idx="4">
                  <c:v>0.29298547544409609</c:v>
                </c:pt>
                <c:pt idx="5">
                  <c:v>0.23385768025078368</c:v>
                </c:pt>
                <c:pt idx="6">
                  <c:v>0.19362852664576805</c:v>
                </c:pt>
                <c:pt idx="7">
                  <c:v>0.16213981191222571</c:v>
                </c:pt>
                <c:pt idx="8">
                  <c:v>0.1419007314524556</c:v>
                </c:pt>
                <c:pt idx="9">
                  <c:v>0.1252823406478579</c:v>
                </c:pt>
                <c:pt idx="10">
                  <c:v>0.11459696969696971</c:v>
                </c:pt>
                <c:pt idx="11">
                  <c:v>0.10547669801462904</c:v>
                </c:pt>
                <c:pt idx="12">
                  <c:v>9.8353385579937308E-2</c:v>
                </c:pt>
                <c:pt idx="13">
                  <c:v>9.0873730407523515E-2</c:v>
                </c:pt>
                <c:pt idx="14">
                  <c:v>8.3403490073145237E-2</c:v>
                </c:pt>
                <c:pt idx="15">
                  <c:v>7.8662622779519326E-2</c:v>
                </c:pt>
                <c:pt idx="16">
                  <c:v>7.3200721003134794E-2</c:v>
                </c:pt>
                <c:pt idx="17">
                  <c:v>6.8014660397074184E-2</c:v>
                </c:pt>
                <c:pt idx="18">
                  <c:v>6.4551713688610235E-2</c:v>
                </c:pt>
                <c:pt idx="19">
                  <c:v>6.2573657262277954E-2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Shape_factor!$A$15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Shape_factor!$B$15:$U$15</c:f>
              <c:numCache>
                <c:formatCode>General</c:formatCode>
                <c:ptCount val="20"/>
                <c:pt idx="0">
                  <c:v>2.0864535374868005</c:v>
                </c:pt>
                <c:pt idx="1">
                  <c:v>1.4493822597676875</c:v>
                </c:pt>
                <c:pt idx="2">
                  <c:v>0.92363727560718056</c:v>
                </c:pt>
                <c:pt idx="3">
                  <c:v>0.64632682154171073</c:v>
                </c:pt>
                <c:pt idx="4">
                  <c:v>0.49620586061246041</c:v>
                </c:pt>
                <c:pt idx="5">
                  <c:v>0.39773241816261878</c:v>
                </c:pt>
                <c:pt idx="6">
                  <c:v>0.32941594508975713</c:v>
                </c:pt>
                <c:pt idx="7">
                  <c:v>0.28529239704329462</c:v>
                </c:pt>
                <c:pt idx="8">
                  <c:v>0.24784023231256599</c:v>
                </c:pt>
                <c:pt idx="9">
                  <c:v>0.22096346356916577</c:v>
                </c:pt>
                <c:pt idx="10">
                  <c:v>0.2004272439281943</c:v>
                </c:pt>
                <c:pt idx="11">
                  <c:v>0.18401420274551214</c:v>
                </c:pt>
                <c:pt idx="12">
                  <c:v>0.16905263991552269</c:v>
                </c:pt>
                <c:pt idx="13">
                  <c:v>0.15609852164730728</c:v>
                </c:pt>
                <c:pt idx="14">
                  <c:v>0.14500623020063358</c:v>
                </c:pt>
                <c:pt idx="15">
                  <c:v>0.13579551214361141</c:v>
                </c:pt>
                <c:pt idx="16">
                  <c:v>0.12484461457233369</c:v>
                </c:pt>
                <c:pt idx="17">
                  <c:v>0.11806810982048575</c:v>
                </c:pt>
                <c:pt idx="18">
                  <c:v>0.11364709609292503</c:v>
                </c:pt>
                <c:pt idx="19">
                  <c:v>0.10921425554382259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Shape_factor!$A$16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Shape_factor!$B$16:$U$16</c:f>
              <c:numCache>
                <c:formatCode>General</c:formatCode>
                <c:ptCount val="20"/>
                <c:pt idx="0">
                  <c:v>1.7517112226277374</c:v>
                </c:pt>
                <c:pt idx="1">
                  <c:v>0.98272855839416062</c:v>
                </c:pt>
                <c:pt idx="2">
                  <c:v>0.54203193430656937</c:v>
                </c:pt>
                <c:pt idx="3">
                  <c:v>0.3680142791970803</c:v>
                </c:pt>
                <c:pt idx="4">
                  <c:v>0.27492486313868614</c:v>
                </c:pt>
                <c:pt idx="5">
                  <c:v>0.21520985401459855</c:v>
                </c:pt>
                <c:pt idx="6">
                  <c:v>0.17598996350364962</c:v>
                </c:pt>
                <c:pt idx="7">
                  <c:v>0.150211450729927</c:v>
                </c:pt>
                <c:pt idx="8">
                  <c:v>0.13238216240875911</c:v>
                </c:pt>
                <c:pt idx="9">
                  <c:v>0.11604251824817517</c:v>
                </c:pt>
                <c:pt idx="10">
                  <c:v>0.10292089416058393</c:v>
                </c:pt>
                <c:pt idx="11">
                  <c:v>9.4443339416058397E-2</c:v>
                </c:pt>
                <c:pt idx="12">
                  <c:v>8.7364826642335774E-2</c:v>
                </c:pt>
                <c:pt idx="13">
                  <c:v>8.0388275547445251E-2</c:v>
                </c:pt>
                <c:pt idx="14">
                  <c:v>7.3767107664233569E-2</c:v>
                </c:pt>
                <c:pt idx="15">
                  <c:v>6.8905337591240887E-2</c:v>
                </c:pt>
                <c:pt idx="16">
                  <c:v>6.4646578467153284E-2</c:v>
                </c:pt>
                <c:pt idx="17">
                  <c:v>6.0946806569343072E-2</c:v>
                </c:pt>
                <c:pt idx="18">
                  <c:v>5.8258257299270075E-2</c:v>
                </c:pt>
                <c:pt idx="19">
                  <c:v>5.5895939781021899E-2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Shape_factor!$A$17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Shape_factor!$B$17:$U$17</c:f>
              <c:numCache>
                <c:formatCode>General</c:formatCode>
                <c:ptCount val="20"/>
                <c:pt idx="0">
                  <c:v>1.8376094890510948</c:v>
                </c:pt>
                <c:pt idx="1">
                  <c:v>1.0138950729927008</c:v>
                </c:pt>
                <c:pt idx="2">
                  <c:v>0.54788549270072984</c:v>
                </c:pt>
                <c:pt idx="3">
                  <c:v>0.36649229014598539</c:v>
                </c:pt>
                <c:pt idx="4">
                  <c:v>0.27375296532846716</c:v>
                </c:pt>
                <c:pt idx="5">
                  <c:v>0.21597723540145985</c:v>
                </c:pt>
                <c:pt idx="6">
                  <c:v>0.17783444343065694</c:v>
                </c:pt>
                <c:pt idx="7">
                  <c:v>0.15212988138686132</c:v>
                </c:pt>
                <c:pt idx="8">
                  <c:v>0.13033462591240874</c:v>
                </c:pt>
                <c:pt idx="9">
                  <c:v>0.11758074817518249</c:v>
                </c:pt>
                <c:pt idx="10">
                  <c:v>0.10410926094890512</c:v>
                </c:pt>
                <c:pt idx="11">
                  <c:v>9.3723038321167879E-2</c:v>
                </c:pt>
                <c:pt idx="12">
                  <c:v>8.7512226277372263E-2</c:v>
                </c:pt>
                <c:pt idx="13">
                  <c:v>8.1266012773722626E-2</c:v>
                </c:pt>
                <c:pt idx="14">
                  <c:v>7.5567244525547458E-2</c:v>
                </c:pt>
                <c:pt idx="15">
                  <c:v>7.0574178832116793E-2</c:v>
                </c:pt>
                <c:pt idx="16">
                  <c:v>6.6448129562043795E-2</c:v>
                </c:pt>
                <c:pt idx="17">
                  <c:v>6.263015510948905E-2</c:v>
                </c:pt>
                <c:pt idx="18">
                  <c:v>5.9618658759124088E-2</c:v>
                </c:pt>
                <c:pt idx="19">
                  <c:v>5.6614005474452556E-2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Shape_factor!$A$18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Shape_factor!$B$18:$U$18</c:f>
              <c:numCache>
                <c:formatCode>General</c:formatCode>
                <c:ptCount val="20"/>
                <c:pt idx="0">
                  <c:v>1.8280622444343479</c:v>
                </c:pt>
                <c:pt idx="1">
                  <c:v>1.0128800545206724</c:v>
                </c:pt>
                <c:pt idx="2">
                  <c:v>0.55632212630622435</c:v>
                </c:pt>
                <c:pt idx="3">
                  <c:v>0.37480717855520218</c:v>
                </c:pt>
                <c:pt idx="4">
                  <c:v>0.27415247614720578</c:v>
                </c:pt>
                <c:pt idx="5">
                  <c:v>0.21555674693321217</c:v>
                </c:pt>
                <c:pt idx="6">
                  <c:v>0.17874920490686053</c:v>
                </c:pt>
                <c:pt idx="7">
                  <c:v>0.1534009086778737</c:v>
                </c:pt>
                <c:pt idx="8">
                  <c:v>0.13238973194002726</c:v>
                </c:pt>
                <c:pt idx="9">
                  <c:v>0.11891644706951385</c:v>
                </c:pt>
                <c:pt idx="10">
                  <c:v>0.10541440254429804</c:v>
                </c:pt>
                <c:pt idx="11">
                  <c:v>9.6036301681054065E-2</c:v>
                </c:pt>
                <c:pt idx="12">
                  <c:v>8.8782280781462969E-2</c:v>
                </c:pt>
                <c:pt idx="13">
                  <c:v>8.0334438891412993E-2</c:v>
                </c:pt>
                <c:pt idx="14">
                  <c:v>7.4230077237619263E-2</c:v>
                </c:pt>
                <c:pt idx="15">
                  <c:v>6.9929395729214E-2</c:v>
                </c:pt>
                <c:pt idx="16">
                  <c:v>6.5769741026805995E-2</c:v>
                </c:pt>
                <c:pt idx="17">
                  <c:v>6.1991912766924125E-2</c:v>
                </c:pt>
                <c:pt idx="18">
                  <c:v>5.9517991821899138E-2</c:v>
                </c:pt>
                <c:pt idx="19">
                  <c:v>5.6533802816901409E-2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Shape_factor!$A$19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Shape_factor!$B$19:$U$19</c:f>
              <c:numCache>
                <c:formatCode>General</c:formatCode>
                <c:ptCount val="20"/>
                <c:pt idx="0">
                  <c:v>1.9600434581599628</c:v>
                </c:pt>
                <c:pt idx="1">
                  <c:v>1.2614165510864539</c:v>
                </c:pt>
                <c:pt idx="2">
                  <c:v>0.74019278779472952</c:v>
                </c:pt>
                <c:pt idx="3">
                  <c:v>0.50223693943596859</c:v>
                </c:pt>
                <c:pt idx="4">
                  <c:v>0.36999676375404533</c:v>
                </c:pt>
                <c:pt idx="5">
                  <c:v>0.29156564956079523</c:v>
                </c:pt>
                <c:pt idx="6">
                  <c:v>0.23744313453536756</c:v>
                </c:pt>
                <c:pt idx="7">
                  <c:v>0.20004729542302357</c:v>
                </c:pt>
                <c:pt idx="8">
                  <c:v>0.17274509939898289</c:v>
                </c:pt>
                <c:pt idx="9">
                  <c:v>0.15043374942209892</c:v>
                </c:pt>
                <c:pt idx="10">
                  <c:v>0.13407838650023116</c:v>
                </c:pt>
                <c:pt idx="11">
                  <c:v>0.12056599630143319</c:v>
                </c:pt>
                <c:pt idx="12">
                  <c:v>0.1085870319001387</c:v>
                </c:pt>
                <c:pt idx="13">
                  <c:v>9.9592533518261681E-2</c:v>
                </c:pt>
                <c:pt idx="14">
                  <c:v>9.2871359223300975E-2</c:v>
                </c:pt>
                <c:pt idx="15">
                  <c:v>8.6744475265834481E-2</c:v>
                </c:pt>
                <c:pt idx="16">
                  <c:v>8.096389274156264E-2</c:v>
                </c:pt>
                <c:pt idx="17">
                  <c:v>7.548978270920019E-2</c:v>
                </c:pt>
                <c:pt idx="18">
                  <c:v>7.040668053629219E-2</c:v>
                </c:pt>
                <c:pt idx="19">
                  <c:v>6.816426259824318E-2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Shape_factor!$A$20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Shape_factor!$B$20:$U$20</c:f>
              <c:numCache>
                <c:formatCode>General</c:formatCode>
                <c:ptCount val="20"/>
                <c:pt idx="0">
                  <c:v>1.9662308749427395</c:v>
                </c:pt>
                <c:pt idx="1">
                  <c:v>1.2745460375629867</c:v>
                </c:pt>
                <c:pt idx="2">
                  <c:v>0.74143586807146122</c:v>
                </c:pt>
                <c:pt idx="3">
                  <c:v>0.49373133302794314</c:v>
                </c:pt>
                <c:pt idx="4">
                  <c:v>0.36298946404031146</c:v>
                </c:pt>
                <c:pt idx="5">
                  <c:v>0.28367040769583146</c:v>
                </c:pt>
                <c:pt idx="6">
                  <c:v>0.23167430142006412</c:v>
                </c:pt>
                <c:pt idx="7">
                  <c:v>0.19522157581310123</c:v>
                </c:pt>
                <c:pt idx="8">
                  <c:v>0.16821136051305544</c:v>
                </c:pt>
                <c:pt idx="9">
                  <c:v>0.1489253092075126</c:v>
                </c:pt>
                <c:pt idx="10">
                  <c:v>0.13351985799358682</c:v>
                </c:pt>
                <c:pt idx="11">
                  <c:v>0.11972627118644069</c:v>
                </c:pt>
                <c:pt idx="12">
                  <c:v>0.10899569399908383</c:v>
                </c:pt>
                <c:pt idx="13">
                  <c:v>0.10037851580393953</c:v>
                </c:pt>
                <c:pt idx="14">
                  <c:v>9.1863238662391211E-2</c:v>
                </c:pt>
                <c:pt idx="15">
                  <c:v>8.575561154374714E-2</c:v>
                </c:pt>
                <c:pt idx="16">
                  <c:v>8.0909986257443875E-2</c:v>
                </c:pt>
                <c:pt idx="17">
                  <c:v>7.6150710032065957E-2</c:v>
                </c:pt>
                <c:pt idx="18">
                  <c:v>7.1532844709115903E-2</c:v>
                </c:pt>
                <c:pt idx="19">
                  <c:v>6.8707466788822724E-2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Shape_factor!$A$21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Shape_factor!$B$21:$U$21</c:f>
              <c:numCache>
                <c:formatCode>General</c:formatCode>
                <c:ptCount val="20"/>
                <c:pt idx="0">
                  <c:v>1.9734054487179484</c:v>
                </c:pt>
                <c:pt idx="1">
                  <c:v>1.2766932234432233</c:v>
                </c:pt>
                <c:pt idx="2">
                  <c:v>0.74531524725274723</c:v>
                </c:pt>
                <c:pt idx="3">
                  <c:v>0.49339102564102566</c:v>
                </c:pt>
                <c:pt idx="4">
                  <c:v>0.3624404761904762</c:v>
                </c:pt>
                <c:pt idx="5">
                  <c:v>0.28492559523809524</c:v>
                </c:pt>
                <c:pt idx="6">
                  <c:v>0.23063667582417582</c:v>
                </c:pt>
                <c:pt idx="7">
                  <c:v>0.19523525641025641</c:v>
                </c:pt>
                <c:pt idx="8">
                  <c:v>0.16931284340659339</c:v>
                </c:pt>
                <c:pt idx="9">
                  <c:v>0.14941696428571427</c:v>
                </c:pt>
                <c:pt idx="10">
                  <c:v>0.13296662087912087</c:v>
                </c:pt>
                <c:pt idx="11">
                  <c:v>0.11993106684981684</c:v>
                </c:pt>
                <c:pt idx="12">
                  <c:v>0.10912582417582418</c:v>
                </c:pt>
                <c:pt idx="13">
                  <c:v>0.10109375</c:v>
                </c:pt>
                <c:pt idx="14">
                  <c:v>9.4258035714285718E-2</c:v>
                </c:pt>
                <c:pt idx="15">
                  <c:v>8.7708104395604392E-2</c:v>
                </c:pt>
                <c:pt idx="16">
                  <c:v>8.2465499084249078E-2</c:v>
                </c:pt>
                <c:pt idx="17">
                  <c:v>7.8119574175824172E-2</c:v>
                </c:pt>
                <c:pt idx="18">
                  <c:v>7.2492170329670327E-2</c:v>
                </c:pt>
                <c:pt idx="19">
                  <c:v>6.8765315934065929E-2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Shape_factor!$A$22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Shape_factor!$B$22:$U$22</c:f>
              <c:numCache>
                <c:formatCode>General</c:formatCode>
                <c:ptCount val="20"/>
                <c:pt idx="0">
                  <c:v>1.9268878205128206</c:v>
                </c:pt>
                <c:pt idx="1">
                  <c:v>1.2510402930402931</c:v>
                </c:pt>
                <c:pt idx="2">
                  <c:v>0.74101098901098894</c:v>
                </c:pt>
                <c:pt idx="3">
                  <c:v>0.49538919413919419</c:v>
                </c:pt>
                <c:pt idx="4">
                  <c:v>0.36437706043956042</c:v>
                </c:pt>
                <c:pt idx="5">
                  <c:v>0.28767925824175827</c:v>
                </c:pt>
                <c:pt idx="6">
                  <c:v>0.23554143772893774</c:v>
                </c:pt>
                <c:pt idx="7">
                  <c:v>0.19762525183150181</c:v>
                </c:pt>
                <c:pt idx="8">
                  <c:v>0.17025505952380951</c:v>
                </c:pt>
                <c:pt idx="9">
                  <c:v>0.14837836538461538</c:v>
                </c:pt>
                <c:pt idx="10">
                  <c:v>0.13125936355311357</c:v>
                </c:pt>
                <c:pt idx="11">
                  <c:v>0.11975423534798535</c:v>
                </c:pt>
                <c:pt idx="12">
                  <c:v>0.10914214743589742</c:v>
                </c:pt>
                <c:pt idx="13">
                  <c:v>0.10043663003663003</c:v>
                </c:pt>
                <c:pt idx="14">
                  <c:v>9.3536858974358983E-2</c:v>
                </c:pt>
                <c:pt idx="15">
                  <c:v>8.7676488095238092E-2</c:v>
                </c:pt>
                <c:pt idx="16">
                  <c:v>8.1545352564102558E-2</c:v>
                </c:pt>
                <c:pt idx="17">
                  <c:v>7.6708104395604396E-2</c:v>
                </c:pt>
                <c:pt idx="18">
                  <c:v>7.2460737179487186E-2</c:v>
                </c:pt>
                <c:pt idx="19">
                  <c:v>6.8853640109890105E-2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Shape_factor!$A$23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Shape_factor!$B$23:$U$23</c:f>
              <c:numCache>
                <c:formatCode>General</c:formatCode>
                <c:ptCount val="20"/>
                <c:pt idx="0">
                  <c:v>1.9640733546617914</c:v>
                </c:pt>
                <c:pt idx="1">
                  <c:v>1.2773244972577698</c:v>
                </c:pt>
                <c:pt idx="2">
                  <c:v>0.74288825411334547</c:v>
                </c:pt>
                <c:pt idx="3">
                  <c:v>0.4925239945155393</c:v>
                </c:pt>
                <c:pt idx="4">
                  <c:v>0.36299360146252285</c:v>
                </c:pt>
                <c:pt idx="5">
                  <c:v>0.284150365630713</c:v>
                </c:pt>
                <c:pt idx="6">
                  <c:v>0.23082815356489947</c:v>
                </c:pt>
                <c:pt idx="7">
                  <c:v>0.1957395566727605</c:v>
                </c:pt>
                <c:pt idx="8">
                  <c:v>0.16899113345521022</c:v>
                </c:pt>
                <c:pt idx="9">
                  <c:v>0.14836579067641681</c:v>
                </c:pt>
                <c:pt idx="10">
                  <c:v>0.13312337751371114</c:v>
                </c:pt>
                <c:pt idx="11">
                  <c:v>0.11964933729433273</c:v>
                </c:pt>
                <c:pt idx="12">
                  <c:v>0.10893194698354662</c:v>
                </c:pt>
                <c:pt idx="13">
                  <c:v>9.9644538391224863E-2</c:v>
                </c:pt>
                <c:pt idx="14">
                  <c:v>9.2624063071297988E-2</c:v>
                </c:pt>
                <c:pt idx="15">
                  <c:v>8.5957518281535653E-2</c:v>
                </c:pt>
                <c:pt idx="16">
                  <c:v>7.9953907678244979E-2</c:v>
                </c:pt>
                <c:pt idx="17">
                  <c:v>7.5864282449725776E-2</c:v>
                </c:pt>
                <c:pt idx="18">
                  <c:v>7.0892527422303481E-2</c:v>
                </c:pt>
                <c:pt idx="19">
                  <c:v>6.810009140767824E-2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Shape_factor!$A$24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Shape_factor!$B$24:$U$24</c:f>
              <c:numCache>
                <c:formatCode>General</c:formatCode>
                <c:ptCount val="20"/>
                <c:pt idx="0">
                  <c:v>1.9206702418986765</c:v>
                </c:pt>
                <c:pt idx="1">
                  <c:v>1.2524705613874942</c:v>
                </c:pt>
                <c:pt idx="2">
                  <c:v>0.73215746234596069</c:v>
                </c:pt>
                <c:pt idx="3">
                  <c:v>0.49700616157005928</c:v>
                </c:pt>
                <c:pt idx="4">
                  <c:v>0.36705340027384759</c:v>
                </c:pt>
                <c:pt idx="5">
                  <c:v>0.28642560474669099</c:v>
                </c:pt>
                <c:pt idx="6">
                  <c:v>0.23226403468735735</c:v>
                </c:pt>
                <c:pt idx="7">
                  <c:v>0.19665508900045642</c:v>
                </c:pt>
                <c:pt idx="8">
                  <c:v>0.17010027384755819</c:v>
                </c:pt>
                <c:pt idx="9">
                  <c:v>0.14959844819717025</c:v>
                </c:pt>
                <c:pt idx="10">
                  <c:v>0.13297473756275674</c:v>
                </c:pt>
                <c:pt idx="11">
                  <c:v>0.12030826106800548</c:v>
                </c:pt>
                <c:pt idx="12">
                  <c:v>0.11001809675947057</c:v>
                </c:pt>
                <c:pt idx="13">
                  <c:v>0.10139173893199453</c:v>
                </c:pt>
                <c:pt idx="14">
                  <c:v>9.4191396622546775E-2</c:v>
                </c:pt>
                <c:pt idx="15">
                  <c:v>8.8086969420356001E-2</c:v>
                </c:pt>
                <c:pt idx="16">
                  <c:v>8.2007759014148793E-2</c:v>
                </c:pt>
                <c:pt idx="17">
                  <c:v>7.7372592423550893E-2</c:v>
                </c:pt>
                <c:pt idx="18">
                  <c:v>7.2786490187129169E-2</c:v>
                </c:pt>
                <c:pt idx="19">
                  <c:v>6.9602898219990883E-2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Shape_factor!$A$25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Shape_factor!$B$25:$U$25</c:f>
              <c:numCache>
                <c:formatCode>General</c:formatCode>
                <c:ptCount val="20"/>
                <c:pt idx="0">
                  <c:v>1.9586045184847101</c:v>
                </c:pt>
                <c:pt idx="1">
                  <c:v>1.2735819260611594</c:v>
                </c:pt>
                <c:pt idx="2">
                  <c:v>0.74305659516202649</c:v>
                </c:pt>
                <c:pt idx="3">
                  <c:v>0.49139114559561842</c:v>
                </c:pt>
                <c:pt idx="4">
                  <c:v>0.36374669100867185</c:v>
                </c:pt>
                <c:pt idx="5">
                  <c:v>0.28428525787311731</c:v>
                </c:pt>
                <c:pt idx="6">
                  <c:v>0.2307816065723414</c:v>
                </c:pt>
                <c:pt idx="7">
                  <c:v>0.19480289821999089</c:v>
                </c:pt>
                <c:pt idx="8">
                  <c:v>0.16875832952989503</c:v>
                </c:pt>
                <c:pt idx="9">
                  <c:v>0.14784109995435873</c:v>
                </c:pt>
                <c:pt idx="10">
                  <c:v>0.13102768142400731</c:v>
                </c:pt>
                <c:pt idx="11">
                  <c:v>0.11843258785942491</c:v>
                </c:pt>
                <c:pt idx="12">
                  <c:v>0.10798457325422181</c:v>
                </c:pt>
                <c:pt idx="13">
                  <c:v>0.10001560931081697</c:v>
                </c:pt>
                <c:pt idx="14">
                  <c:v>9.2345595618439066E-2</c:v>
                </c:pt>
                <c:pt idx="15">
                  <c:v>8.6157028753993614E-2</c:v>
                </c:pt>
                <c:pt idx="16">
                  <c:v>8.0671999087174803E-2</c:v>
                </c:pt>
                <c:pt idx="17">
                  <c:v>7.5898904609767226E-2</c:v>
                </c:pt>
                <c:pt idx="18">
                  <c:v>7.0977749885896849E-2</c:v>
                </c:pt>
                <c:pt idx="19">
                  <c:v>6.7776540392514836E-2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Shape_factor!$A$26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Shape_factor!$B$26:$U$26</c:f>
              <c:numCache>
                <c:formatCode>General</c:formatCode>
                <c:ptCount val="20"/>
                <c:pt idx="0">
                  <c:v>1.683643704379562</c:v>
                </c:pt>
                <c:pt idx="1">
                  <c:v>0.8997858120437956</c:v>
                </c:pt>
                <c:pt idx="2">
                  <c:v>0.48096122262773727</c:v>
                </c:pt>
                <c:pt idx="3">
                  <c:v>0.30725182481751823</c:v>
                </c:pt>
                <c:pt idx="4">
                  <c:v>0.21646375456204378</c:v>
                </c:pt>
                <c:pt idx="5">
                  <c:v>0.16600964872262775</c:v>
                </c:pt>
                <c:pt idx="6">
                  <c:v>0.13401827098540148</c:v>
                </c:pt>
                <c:pt idx="7">
                  <c:v>0.11091496350364963</c:v>
                </c:pt>
                <c:pt idx="8">
                  <c:v>9.4014119525547446E-2</c:v>
                </c:pt>
                <c:pt idx="9">
                  <c:v>8.27426094890511E-2</c:v>
                </c:pt>
                <c:pt idx="10">
                  <c:v>7.263934762773723E-2</c:v>
                </c:pt>
                <c:pt idx="11">
                  <c:v>6.5977531934306569E-2</c:v>
                </c:pt>
                <c:pt idx="12">
                  <c:v>6.090321624087592E-2</c:v>
                </c:pt>
                <c:pt idx="13">
                  <c:v>5.5040967153284673E-2</c:v>
                </c:pt>
                <c:pt idx="14">
                  <c:v>5.1055770985401455E-2</c:v>
                </c:pt>
                <c:pt idx="15">
                  <c:v>4.7329881386861318E-2</c:v>
                </c:pt>
                <c:pt idx="16">
                  <c:v>4.374888229927007E-2</c:v>
                </c:pt>
                <c:pt idx="17">
                  <c:v>4.0763252737226273E-2</c:v>
                </c:pt>
                <c:pt idx="18">
                  <c:v>3.8398061131386857E-2</c:v>
                </c:pt>
                <c:pt idx="19">
                  <c:v>3.6419046532846715E-2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Shape_factor!$A$27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Shape_factor!$B$27:$U$27</c:f>
              <c:numCache>
                <c:formatCode>General</c:formatCode>
                <c:ptCount val="20"/>
                <c:pt idx="0">
                  <c:v>1.91109325125399</c:v>
                </c:pt>
                <c:pt idx="1">
                  <c:v>1.2427774737802098</c:v>
                </c:pt>
                <c:pt idx="2">
                  <c:v>0.72521568627450972</c:v>
                </c:pt>
                <c:pt idx="3">
                  <c:v>0.49019243046055627</c:v>
                </c:pt>
                <c:pt idx="4">
                  <c:v>0.36014204286365709</c:v>
                </c:pt>
                <c:pt idx="5">
                  <c:v>0.28233743730050165</c:v>
                </c:pt>
                <c:pt idx="6">
                  <c:v>0.23063999088007295</c:v>
                </c:pt>
                <c:pt idx="7">
                  <c:v>0.19364017327861377</c:v>
                </c:pt>
                <c:pt idx="8">
                  <c:v>0.16909302325581396</c:v>
                </c:pt>
                <c:pt idx="9">
                  <c:v>0.14767637938896491</c:v>
                </c:pt>
                <c:pt idx="10">
                  <c:v>0.13280574555403557</c:v>
                </c:pt>
                <c:pt idx="11">
                  <c:v>0.11862286821705427</c:v>
                </c:pt>
                <c:pt idx="12">
                  <c:v>0.10773759689922481</c:v>
                </c:pt>
                <c:pt idx="13">
                  <c:v>9.9348130414956687E-2</c:v>
                </c:pt>
                <c:pt idx="14">
                  <c:v>9.1869630642954864E-2</c:v>
                </c:pt>
                <c:pt idx="15">
                  <c:v>8.7214797081623344E-2</c:v>
                </c:pt>
                <c:pt idx="16">
                  <c:v>8.1149772001823994E-2</c:v>
                </c:pt>
                <c:pt idx="17">
                  <c:v>7.5790857273141818E-2</c:v>
                </c:pt>
                <c:pt idx="18">
                  <c:v>7.1665686274509796E-2</c:v>
                </c:pt>
                <c:pt idx="19">
                  <c:v>6.8811422708618328E-2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Shape_factor!$A$28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Shape_factor!$B$28:$U$28</c:f>
              <c:numCache>
                <c:formatCode>General</c:formatCode>
                <c:ptCount val="20"/>
                <c:pt idx="0">
                  <c:v>1.9203805289557685</c:v>
                </c:pt>
                <c:pt idx="1">
                  <c:v>1.2499076607387141</c:v>
                </c:pt>
                <c:pt idx="2">
                  <c:v>0.73378796169630633</c:v>
                </c:pt>
                <c:pt idx="3">
                  <c:v>0.49207774737802101</c:v>
                </c:pt>
                <c:pt idx="4">
                  <c:v>0.36556634746922023</c:v>
                </c:pt>
                <c:pt idx="5">
                  <c:v>0.28572389420884631</c:v>
                </c:pt>
                <c:pt idx="6">
                  <c:v>0.23214135886912907</c:v>
                </c:pt>
                <c:pt idx="7">
                  <c:v>0.19671876424988599</c:v>
                </c:pt>
                <c:pt idx="8">
                  <c:v>0.17166317829457364</c:v>
                </c:pt>
                <c:pt idx="9">
                  <c:v>0.14993497492020064</c:v>
                </c:pt>
                <c:pt idx="10">
                  <c:v>0.13366263109895118</c:v>
                </c:pt>
                <c:pt idx="11">
                  <c:v>0.11989895120839034</c:v>
                </c:pt>
                <c:pt idx="12">
                  <c:v>0.10960528955768353</c:v>
                </c:pt>
                <c:pt idx="13">
                  <c:v>0.10056297309621523</c:v>
                </c:pt>
                <c:pt idx="14">
                  <c:v>9.2892932056543545E-2</c:v>
                </c:pt>
                <c:pt idx="15">
                  <c:v>8.6143479252165991E-2</c:v>
                </c:pt>
                <c:pt idx="16">
                  <c:v>8.0911491108071137E-2</c:v>
                </c:pt>
                <c:pt idx="17">
                  <c:v>7.6381212950296387E-2</c:v>
                </c:pt>
                <c:pt idx="18">
                  <c:v>7.2366073871409031E-2</c:v>
                </c:pt>
                <c:pt idx="19">
                  <c:v>6.8517989056087553E-2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Shape_factor!$A$29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Shape_factor!$B$29:$U$29</c:f>
              <c:numCache>
                <c:formatCode>General</c:formatCode>
                <c:ptCount val="20"/>
                <c:pt idx="0">
                  <c:v>2.0986346678798906</c:v>
                </c:pt>
                <c:pt idx="1">
                  <c:v>1.3751499090081891</c:v>
                </c:pt>
                <c:pt idx="2">
                  <c:v>0.81969881710646042</c:v>
                </c:pt>
                <c:pt idx="3">
                  <c:v>0.56254162875341218</c:v>
                </c:pt>
                <c:pt idx="4">
                  <c:v>0.41351114649681531</c:v>
                </c:pt>
                <c:pt idx="5">
                  <c:v>0.32462875341219288</c:v>
                </c:pt>
                <c:pt idx="6">
                  <c:v>0.26460236578707919</c:v>
                </c:pt>
                <c:pt idx="7">
                  <c:v>0.22132163330300272</c:v>
                </c:pt>
                <c:pt idx="8">
                  <c:v>0.18947570518653323</c:v>
                </c:pt>
                <c:pt idx="9">
                  <c:v>0.16812229299363057</c:v>
                </c:pt>
                <c:pt idx="10">
                  <c:v>0.14940125113739763</c:v>
                </c:pt>
                <c:pt idx="11">
                  <c:v>0.13543125568698819</c:v>
                </c:pt>
                <c:pt idx="12">
                  <c:v>0.12294092356687898</c:v>
                </c:pt>
                <c:pt idx="13">
                  <c:v>0.11310714285714285</c:v>
                </c:pt>
                <c:pt idx="14">
                  <c:v>0.10437101910828026</c:v>
                </c:pt>
                <c:pt idx="15">
                  <c:v>9.7469244767970892E-2</c:v>
                </c:pt>
                <c:pt idx="16">
                  <c:v>9.137741128298453E-2</c:v>
                </c:pt>
                <c:pt idx="17">
                  <c:v>8.6817720655141026E-2</c:v>
                </c:pt>
                <c:pt idx="18">
                  <c:v>8.1704367606915379E-2</c:v>
                </c:pt>
                <c:pt idx="19">
                  <c:v>7.7871747042766157E-2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Shape_factor!$A$30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Shape_factor!$B$30:$U$30</c:f>
              <c:numCache>
                <c:formatCode>General</c:formatCode>
                <c:ptCount val="20"/>
                <c:pt idx="0">
                  <c:v>1.9354294928825624</c:v>
                </c:pt>
                <c:pt idx="1">
                  <c:v>1.1936100978647686</c:v>
                </c:pt>
                <c:pt idx="2">
                  <c:v>0.65541881672597868</c:v>
                </c:pt>
                <c:pt idx="3">
                  <c:v>0.43900600533807826</c:v>
                </c:pt>
                <c:pt idx="4">
                  <c:v>0.31993193950177934</c:v>
                </c:pt>
                <c:pt idx="5">
                  <c:v>0.24421396797153028</c:v>
                </c:pt>
                <c:pt idx="6">
                  <c:v>0.19791975088967972</c:v>
                </c:pt>
                <c:pt idx="7">
                  <c:v>0.16421932829181496</c:v>
                </c:pt>
                <c:pt idx="8">
                  <c:v>0.13868282918149466</c:v>
                </c:pt>
                <c:pt idx="9">
                  <c:v>0.12057315391459075</c:v>
                </c:pt>
                <c:pt idx="10">
                  <c:v>0.10625424822064057</c:v>
                </c:pt>
                <c:pt idx="11">
                  <c:v>9.4561410142348756E-2</c:v>
                </c:pt>
                <c:pt idx="12">
                  <c:v>8.5075200177935947E-2</c:v>
                </c:pt>
                <c:pt idx="13">
                  <c:v>7.7473509786476866E-2</c:v>
                </c:pt>
                <c:pt idx="14">
                  <c:v>7.0672419928825628E-2</c:v>
                </c:pt>
                <c:pt idx="15">
                  <c:v>6.6107695729537355E-2</c:v>
                </c:pt>
                <c:pt idx="16">
                  <c:v>6.1534875444839855E-2</c:v>
                </c:pt>
                <c:pt idx="17">
                  <c:v>5.7245084519572949E-2</c:v>
                </c:pt>
                <c:pt idx="18">
                  <c:v>5.4252268683274027E-2</c:v>
                </c:pt>
                <c:pt idx="19">
                  <c:v>5.1204804270462638E-2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Shape_factor!$A$31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Shape_factor!$B$31:$U$31</c:f>
              <c:numCache>
                <c:formatCode>General</c:formatCode>
                <c:ptCount val="20"/>
                <c:pt idx="0">
                  <c:v>1.8914926343154244</c:v>
                </c:pt>
                <c:pt idx="1">
                  <c:v>1.1358141247833622</c:v>
                </c:pt>
                <c:pt idx="2">
                  <c:v>0.64847681975736571</c:v>
                </c:pt>
                <c:pt idx="3">
                  <c:v>0.43099285095320622</c:v>
                </c:pt>
                <c:pt idx="4">
                  <c:v>0.31245147313691507</c:v>
                </c:pt>
                <c:pt idx="5">
                  <c:v>0.23746360485268633</c:v>
                </c:pt>
                <c:pt idx="6">
                  <c:v>0.1906596403812825</c:v>
                </c:pt>
                <c:pt idx="7">
                  <c:v>0.15753325389948006</c:v>
                </c:pt>
                <c:pt idx="8">
                  <c:v>0.13316349653379547</c:v>
                </c:pt>
                <c:pt idx="9">
                  <c:v>0.11580951039861351</c:v>
                </c:pt>
                <c:pt idx="10">
                  <c:v>0.1013838171577123</c:v>
                </c:pt>
                <c:pt idx="11">
                  <c:v>9.0254181109185441E-2</c:v>
                </c:pt>
                <c:pt idx="12">
                  <c:v>8.1111633448873482E-2</c:v>
                </c:pt>
                <c:pt idx="13">
                  <c:v>7.4480090987868286E-2</c:v>
                </c:pt>
                <c:pt idx="14">
                  <c:v>6.7961590121317153E-2</c:v>
                </c:pt>
                <c:pt idx="15">
                  <c:v>6.215686741767764E-2</c:v>
                </c:pt>
                <c:pt idx="16">
                  <c:v>5.7630979202772971E-2</c:v>
                </c:pt>
                <c:pt idx="17">
                  <c:v>5.3913106585788559E-2</c:v>
                </c:pt>
                <c:pt idx="18">
                  <c:v>5.0746187175043332E-2</c:v>
                </c:pt>
                <c:pt idx="19">
                  <c:v>4.8195168977469671E-2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Shape_factor!$A$32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Shape_factor!$B$32:$U$32</c:f>
              <c:numCache>
                <c:formatCode>General</c:formatCode>
                <c:ptCount val="20"/>
                <c:pt idx="0">
                  <c:v>1.7211432920200043</c:v>
                </c:pt>
                <c:pt idx="1">
                  <c:v>0.90419047619047621</c:v>
                </c:pt>
                <c:pt idx="2">
                  <c:v>0.4468654055229398</c:v>
                </c:pt>
                <c:pt idx="3">
                  <c:v>0.27740530550119591</c:v>
                </c:pt>
                <c:pt idx="4">
                  <c:v>0.19515820830615352</c:v>
                </c:pt>
                <c:pt idx="5">
                  <c:v>0.14827916938464883</c:v>
                </c:pt>
                <c:pt idx="6">
                  <c:v>0.11874037834311807</c:v>
                </c:pt>
                <c:pt idx="7">
                  <c:v>9.5702217873450748E-2</c:v>
                </c:pt>
                <c:pt idx="8">
                  <c:v>7.9551272015655566E-2</c:v>
                </c:pt>
                <c:pt idx="9">
                  <c:v>6.7737747336377468E-2</c:v>
                </c:pt>
                <c:pt idx="10">
                  <c:v>5.924964122635356E-2</c:v>
                </c:pt>
                <c:pt idx="11">
                  <c:v>5.2738160469667318E-2</c:v>
                </c:pt>
                <c:pt idx="12">
                  <c:v>4.7936399217221135E-2</c:v>
                </c:pt>
                <c:pt idx="13">
                  <c:v>4.4115003261578599E-2</c:v>
                </c:pt>
                <c:pt idx="14">
                  <c:v>3.9530637095020658E-2</c:v>
                </c:pt>
                <c:pt idx="15">
                  <c:v>3.6654598825831705E-2</c:v>
                </c:pt>
                <c:pt idx="16">
                  <c:v>3.391632963687758E-2</c:v>
                </c:pt>
                <c:pt idx="17">
                  <c:v>3.1226397042835398E-2</c:v>
                </c:pt>
                <c:pt idx="18">
                  <c:v>2.9193563818221354E-2</c:v>
                </c:pt>
                <c:pt idx="19">
                  <c:v>2.7209175907806044E-2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Shape_factor!$A$33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Shape_factor!$B$33:$U$33</c:f>
              <c:numCache>
                <c:formatCode>General</c:formatCode>
                <c:ptCount val="20"/>
                <c:pt idx="0">
                  <c:v>1.6778976086956521</c:v>
                </c:pt>
                <c:pt idx="1">
                  <c:v>0.85623499999999997</c:v>
                </c:pt>
                <c:pt idx="2">
                  <c:v>0.42662499999999998</c:v>
                </c:pt>
                <c:pt idx="3">
                  <c:v>0.26657413043478262</c:v>
                </c:pt>
                <c:pt idx="4">
                  <c:v>0.19235058695652174</c:v>
                </c:pt>
                <c:pt idx="5">
                  <c:v>0.14609467391304348</c:v>
                </c:pt>
                <c:pt idx="6">
                  <c:v>0.11467678260869565</c:v>
                </c:pt>
                <c:pt idx="7">
                  <c:v>9.3240065217391296E-2</c:v>
                </c:pt>
                <c:pt idx="8">
                  <c:v>7.8947413043478257E-2</c:v>
                </c:pt>
                <c:pt idx="9">
                  <c:v>6.795028260869565E-2</c:v>
                </c:pt>
                <c:pt idx="10">
                  <c:v>5.9320999999999999E-2</c:v>
                </c:pt>
                <c:pt idx="11">
                  <c:v>5.1817826086956523E-2</c:v>
                </c:pt>
                <c:pt idx="12">
                  <c:v>4.7162021739130436E-2</c:v>
                </c:pt>
                <c:pt idx="13">
                  <c:v>4.2202760869565217E-2</c:v>
                </c:pt>
                <c:pt idx="14">
                  <c:v>3.8055978260869566E-2</c:v>
                </c:pt>
                <c:pt idx="15">
                  <c:v>3.5331630434782609E-2</c:v>
                </c:pt>
                <c:pt idx="16">
                  <c:v>3.2735021739130434E-2</c:v>
                </c:pt>
                <c:pt idx="17">
                  <c:v>3.0366999999999998E-2</c:v>
                </c:pt>
                <c:pt idx="18">
                  <c:v>2.8475065217391304E-2</c:v>
                </c:pt>
                <c:pt idx="19">
                  <c:v>2.6849804347826089E-2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Shape_factor!$A$34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Shape_factor!$B$34:$U$34</c:f>
              <c:numCache>
                <c:formatCode>General</c:formatCode>
                <c:ptCount val="20"/>
                <c:pt idx="0">
                  <c:v>1.668747553816047</c:v>
                </c:pt>
                <c:pt idx="1">
                  <c:v>0.84770667536420963</c:v>
                </c:pt>
                <c:pt idx="2">
                  <c:v>0.42540247879973908</c:v>
                </c:pt>
                <c:pt idx="3">
                  <c:v>0.26955359860839312</c:v>
                </c:pt>
                <c:pt idx="4">
                  <c:v>0.19109949989128069</c:v>
                </c:pt>
                <c:pt idx="5">
                  <c:v>0.14442711459012827</c:v>
                </c:pt>
                <c:pt idx="6">
                  <c:v>0.11510247879973907</c:v>
                </c:pt>
                <c:pt idx="7">
                  <c:v>9.3903826918895414E-2</c:v>
                </c:pt>
                <c:pt idx="8">
                  <c:v>7.8714764079147639E-2</c:v>
                </c:pt>
                <c:pt idx="9">
                  <c:v>6.7327332028701892E-2</c:v>
                </c:pt>
                <c:pt idx="10">
                  <c:v>5.8425896934116109E-2</c:v>
                </c:pt>
                <c:pt idx="11">
                  <c:v>5.1673842139595562E-2</c:v>
                </c:pt>
                <c:pt idx="12">
                  <c:v>4.6846988475755601E-2</c:v>
                </c:pt>
                <c:pt idx="13">
                  <c:v>4.2234985866492714E-2</c:v>
                </c:pt>
                <c:pt idx="14">
                  <c:v>3.9139921722113502E-2</c:v>
                </c:pt>
                <c:pt idx="15">
                  <c:v>3.6013155033702983E-2</c:v>
                </c:pt>
                <c:pt idx="16">
                  <c:v>3.3004392259186784E-2</c:v>
                </c:pt>
                <c:pt idx="17">
                  <c:v>3.0693020221787343E-2</c:v>
                </c:pt>
                <c:pt idx="18">
                  <c:v>2.8745857795172865E-2</c:v>
                </c:pt>
                <c:pt idx="19">
                  <c:v>2.7223331158947598E-2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Shape_factor!$A$35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Shape_factor!$B$35:$U$35</c:f>
              <c:numCache>
                <c:formatCode>General</c:formatCode>
                <c:ptCount val="20"/>
                <c:pt idx="0">
                  <c:v>1.9032894736842105</c:v>
                </c:pt>
                <c:pt idx="1">
                  <c:v>1.2457286682615629</c:v>
                </c:pt>
                <c:pt idx="2">
                  <c:v>0.74886074561403504</c:v>
                </c:pt>
                <c:pt idx="3">
                  <c:v>0.51007316586921847</c:v>
                </c:pt>
                <c:pt idx="4">
                  <c:v>0.37582107256778308</c:v>
                </c:pt>
                <c:pt idx="5">
                  <c:v>0.28994796650717702</c:v>
                </c:pt>
                <c:pt idx="6">
                  <c:v>0.23131419457735247</c:v>
                </c:pt>
                <c:pt idx="7">
                  <c:v>0.1895222288676236</c:v>
                </c:pt>
                <c:pt idx="8">
                  <c:v>0.15699671052631578</c:v>
                </c:pt>
                <c:pt idx="9">
                  <c:v>0.13331469298245613</c:v>
                </c:pt>
                <c:pt idx="10">
                  <c:v>0.11655791467304624</c:v>
                </c:pt>
                <c:pt idx="11">
                  <c:v>0.10379047049441788</c:v>
                </c:pt>
                <c:pt idx="12">
                  <c:v>9.2305043859649119E-2</c:v>
                </c:pt>
                <c:pt idx="13">
                  <c:v>8.290246212121212E-2</c:v>
                </c:pt>
                <c:pt idx="14">
                  <c:v>7.5613586523125997E-2</c:v>
                </c:pt>
                <c:pt idx="15">
                  <c:v>6.9837270733652312E-2</c:v>
                </c:pt>
                <c:pt idx="16">
                  <c:v>6.3538397129186602E-2</c:v>
                </c:pt>
                <c:pt idx="17">
                  <c:v>5.8793161881977668E-2</c:v>
                </c:pt>
                <c:pt idx="18">
                  <c:v>5.4804774720893144E-2</c:v>
                </c:pt>
                <c:pt idx="19">
                  <c:v>5.2285077751196174E-2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Shape_factor!$A$36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Shape_factor!$B$36:$U$36</c:f>
              <c:numCache>
                <c:formatCode>General</c:formatCode>
                <c:ptCount val="20"/>
                <c:pt idx="0">
                  <c:v>1.9529175641276677</c:v>
                </c:pt>
                <c:pt idx="1">
                  <c:v>1.2774055218327784</c:v>
                </c:pt>
                <c:pt idx="2">
                  <c:v>0.76884188368905426</c:v>
                </c:pt>
                <c:pt idx="3">
                  <c:v>0.52400724495790096</c:v>
                </c:pt>
                <c:pt idx="4">
                  <c:v>0.3869414529077736</c:v>
                </c:pt>
                <c:pt idx="5">
                  <c:v>0.29908742901899354</c:v>
                </c:pt>
                <c:pt idx="6">
                  <c:v>0.24034374388094773</c:v>
                </c:pt>
                <c:pt idx="7">
                  <c:v>0.19749304875660859</c:v>
                </c:pt>
                <c:pt idx="8">
                  <c:v>0.1665819463481496</c:v>
                </c:pt>
                <c:pt idx="9">
                  <c:v>0.14293401214019974</c:v>
                </c:pt>
                <c:pt idx="10">
                  <c:v>0.125364010182103</c:v>
                </c:pt>
                <c:pt idx="11">
                  <c:v>0.11117035441550811</c:v>
                </c:pt>
                <c:pt idx="12">
                  <c:v>9.9421676130800871E-2</c:v>
                </c:pt>
                <c:pt idx="13">
                  <c:v>8.9735539455649105E-2</c:v>
                </c:pt>
                <c:pt idx="14">
                  <c:v>8.1719874681809274E-2</c:v>
                </c:pt>
                <c:pt idx="15">
                  <c:v>7.5427579792441746E-2</c:v>
                </c:pt>
                <c:pt idx="16">
                  <c:v>6.8339700411200313E-2</c:v>
                </c:pt>
                <c:pt idx="17">
                  <c:v>6.3267691403955356E-2</c:v>
                </c:pt>
                <c:pt idx="18">
                  <c:v>5.9609300959467391E-2</c:v>
                </c:pt>
                <c:pt idx="19">
                  <c:v>5.570846876835716E-2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Shape_factor!$A$37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Shape_factor!$B$2:$U$2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Shape_factor!$B$37:$U$37</c:f>
              <c:numCache>
                <c:formatCode>General</c:formatCode>
                <c:ptCount val="20"/>
                <c:pt idx="0">
                  <c:v>2.0178657653307579</c:v>
                </c:pt>
                <c:pt idx="1">
                  <c:v>1.3524654756156447</c:v>
                </c:pt>
                <c:pt idx="2">
                  <c:v>0.82525871559633024</c:v>
                </c:pt>
                <c:pt idx="3">
                  <c:v>0.56364056011588604</c:v>
                </c:pt>
                <c:pt idx="4">
                  <c:v>0.41703843553838726</c:v>
                </c:pt>
                <c:pt idx="5">
                  <c:v>0.32426248189280538</c:v>
                </c:pt>
                <c:pt idx="6">
                  <c:v>0.26088894253983586</c:v>
                </c:pt>
                <c:pt idx="7">
                  <c:v>0.21811859005311443</c:v>
                </c:pt>
                <c:pt idx="8">
                  <c:v>0.1848574601641719</c:v>
                </c:pt>
                <c:pt idx="9">
                  <c:v>0.15953742153549011</c:v>
                </c:pt>
                <c:pt idx="10">
                  <c:v>0.14083853211009176</c:v>
                </c:pt>
                <c:pt idx="11">
                  <c:v>0.1245834862385321</c:v>
                </c:pt>
                <c:pt idx="12">
                  <c:v>0.1110236600676002</c:v>
                </c:pt>
                <c:pt idx="13">
                  <c:v>0.10063882182520521</c:v>
                </c:pt>
                <c:pt idx="14">
                  <c:v>9.2141950748430707E-2</c:v>
                </c:pt>
                <c:pt idx="15">
                  <c:v>8.4671578947368417E-2</c:v>
                </c:pt>
                <c:pt idx="16">
                  <c:v>7.7762259777885076E-2</c:v>
                </c:pt>
                <c:pt idx="17">
                  <c:v>7.1800270400772581E-2</c:v>
                </c:pt>
                <c:pt idx="18">
                  <c:v>6.8993384838242397E-2</c:v>
                </c:pt>
                <c:pt idx="19">
                  <c:v>6.4885572187349097E-2</c:v>
                </c:pt>
              </c:numCache>
            </c:numRef>
          </c:yVal>
          <c:smooth val="1"/>
        </c:ser>
        <c:axId val="82410112"/>
        <c:axId val="99221888"/>
      </c:scatterChart>
      <c:valAx>
        <c:axId val="82410112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221888"/>
        <c:crosses val="autoZero"/>
        <c:crossBetween val="midCat"/>
      </c:valAx>
      <c:valAx>
        <c:axId val="99221888"/>
        <c:scaling>
          <c:orientation val="minMax"/>
        </c:scaling>
        <c:axPos val="l"/>
        <c:numFmt formatCode="General" sourceLinked="1"/>
        <c:tickLblPos val="nextTo"/>
        <c:crossAx val="82410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02966004448183"/>
          <c:y val="3.1823127793573443E-2"/>
          <c:w val="0.31534202103910308"/>
          <c:h val="0.81743378955132606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AA_pho_pat!$B$3:$U$3</c:f>
              <c:numCache>
                <c:formatCode>General</c:formatCode>
                <c:ptCount val="20"/>
                <c:pt idx="0">
                  <c:v>-3.5693366E-3</c:v>
                </c:pt>
                <c:pt idx="1">
                  <c:v>-3.6278637000000001E-3</c:v>
                </c:pt>
                <c:pt idx="2">
                  <c:v>-3.6349440999999998E-3</c:v>
                </c:pt>
                <c:pt idx="3">
                  <c:v>-3.5930465000000001E-3</c:v>
                </c:pt>
                <c:pt idx="4">
                  <c:v>-3.6005995000000001E-3</c:v>
                </c:pt>
                <c:pt idx="5">
                  <c:v>-3.3980410000000001E-3</c:v>
                </c:pt>
                <c:pt idx="6">
                  <c:v>-3.5188096000000001E-3</c:v>
                </c:pt>
                <c:pt idx="7">
                  <c:v>-3.4538361000000001E-3</c:v>
                </c:pt>
                <c:pt idx="8">
                  <c:v>-3.4436705E-3</c:v>
                </c:pt>
                <c:pt idx="9">
                  <c:v>-3.3933282999999998E-3</c:v>
                </c:pt>
                <c:pt idx="10">
                  <c:v>-3.3833563999999998E-3</c:v>
                </c:pt>
                <c:pt idx="11">
                  <c:v>-3.4735642999999998E-3</c:v>
                </c:pt>
                <c:pt idx="12">
                  <c:v>-3.6090289000000001E-3</c:v>
                </c:pt>
                <c:pt idx="13">
                  <c:v>-3.6300845000000002E-3</c:v>
                </c:pt>
                <c:pt idx="14">
                  <c:v>-3.5737155E-3</c:v>
                </c:pt>
                <c:pt idx="15">
                  <c:v>-3.5422225E-3</c:v>
                </c:pt>
                <c:pt idx="16">
                  <c:v>-3.4312392000000001E-3</c:v>
                </c:pt>
                <c:pt idx="17">
                  <c:v>-3.4307379E-3</c:v>
                </c:pt>
                <c:pt idx="18">
                  <c:v>-3.4526998999999999E-3</c:v>
                </c:pt>
                <c:pt idx="19">
                  <c:v>-3.4415091000000002E-3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AA_pho_pat!$B$21:$U$21</c:f>
              <c:numCache>
                <c:formatCode>General</c:formatCode>
                <c:ptCount val="20"/>
                <c:pt idx="0">
                  <c:v>-3.2723416E-3</c:v>
                </c:pt>
                <c:pt idx="1">
                  <c:v>-3.1985757000000002E-3</c:v>
                </c:pt>
                <c:pt idx="2">
                  <c:v>-2.9062469999999998E-3</c:v>
                </c:pt>
                <c:pt idx="3">
                  <c:v>-2.6705072E-3</c:v>
                </c:pt>
                <c:pt idx="4">
                  <c:v>-2.6064888E-3</c:v>
                </c:pt>
                <c:pt idx="5">
                  <c:v>-2.4060900000000001E-3</c:v>
                </c:pt>
                <c:pt idx="6">
                  <c:v>-2.4621299999999999E-3</c:v>
                </c:pt>
                <c:pt idx="7">
                  <c:v>-2.3429118999999999E-3</c:v>
                </c:pt>
                <c:pt idx="8">
                  <c:v>-2.345457E-3</c:v>
                </c:pt>
                <c:pt idx="9">
                  <c:v>-2.2013807E-3</c:v>
                </c:pt>
                <c:pt idx="10">
                  <c:v>-2.3600038000000001E-3</c:v>
                </c:pt>
                <c:pt idx="11">
                  <c:v>-2.3683552E-3</c:v>
                </c:pt>
                <c:pt idx="12">
                  <c:v>-2.2653521E-3</c:v>
                </c:pt>
                <c:pt idx="13">
                  <c:v>-2.2732210000000002E-3</c:v>
                </c:pt>
                <c:pt idx="14">
                  <c:v>-2.3324448000000002E-3</c:v>
                </c:pt>
                <c:pt idx="15">
                  <c:v>-2.3560043999999998E-3</c:v>
                </c:pt>
                <c:pt idx="16">
                  <c:v>-2.2707318000000001E-3</c:v>
                </c:pt>
                <c:pt idx="17">
                  <c:v>-2.3080219999999999E-3</c:v>
                </c:pt>
                <c:pt idx="18">
                  <c:v>-2.3201342999999998E-3</c:v>
                </c:pt>
                <c:pt idx="19">
                  <c:v>-2.3394654999999999E-3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AA_pho_pat!$B$37:$U$37</c:f>
              <c:numCache>
                <c:formatCode>General</c:formatCode>
                <c:ptCount val="20"/>
                <c:pt idx="0">
                  <c:v>-2.9691552999999999E-3</c:v>
                </c:pt>
                <c:pt idx="1">
                  <c:v>-2.9384347E-3</c:v>
                </c:pt>
                <c:pt idx="2">
                  <c:v>-2.8425619999999999E-3</c:v>
                </c:pt>
                <c:pt idx="3">
                  <c:v>-2.7186021000000001E-3</c:v>
                </c:pt>
                <c:pt idx="4">
                  <c:v>-2.7424785999999998E-3</c:v>
                </c:pt>
                <c:pt idx="5">
                  <c:v>-2.6589977E-3</c:v>
                </c:pt>
                <c:pt idx="6">
                  <c:v>-2.7901702999999999E-3</c:v>
                </c:pt>
                <c:pt idx="7">
                  <c:v>-2.7928740999999999E-3</c:v>
                </c:pt>
                <c:pt idx="8">
                  <c:v>-2.8410346999999999E-3</c:v>
                </c:pt>
                <c:pt idx="9">
                  <c:v>-2.8494637999999998E-3</c:v>
                </c:pt>
                <c:pt idx="10">
                  <c:v>-2.8666665000000001E-3</c:v>
                </c:pt>
                <c:pt idx="11">
                  <c:v>-2.9170393999999999E-3</c:v>
                </c:pt>
                <c:pt idx="12">
                  <c:v>-2.9984057999999998E-3</c:v>
                </c:pt>
                <c:pt idx="13">
                  <c:v>-2.9967040999999998E-3</c:v>
                </c:pt>
                <c:pt idx="14">
                  <c:v>-2.9353489999999999E-3</c:v>
                </c:pt>
                <c:pt idx="15">
                  <c:v>-2.9705415999999999E-3</c:v>
                </c:pt>
                <c:pt idx="16">
                  <c:v>-2.9280698E-3</c:v>
                </c:pt>
                <c:pt idx="17">
                  <c:v>-2.9786438999999999E-3</c:v>
                </c:pt>
                <c:pt idx="18">
                  <c:v>-3.0251108E-3</c:v>
                </c:pt>
                <c:pt idx="19">
                  <c:v>-3.0434699999999999E-3</c:v>
                </c:pt>
              </c:numCache>
            </c:numRef>
          </c:yVal>
          <c:smooth val="1"/>
        </c:ser>
        <c:axId val="59799424"/>
        <c:axId val="91881472"/>
      </c:scatterChart>
      <c:valAx>
        <c:axId val="59799424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81472"/>
        <c:crosses val="autoZero"/>
        <c:crossBetween val="midCat"/>
      </c:valAx>
      <c:valAx>
        <c:axId val="91881472"/>
        <c:scaling>
          <c:orientation val="minMax"/>
        </c:scaling>
        <c:axPos val="l"/>
        <c:numFmt formatCode="General" sourceLinked="1"/>
        <c:tickLblPos val="nextTo"/>
        <c:crossAx val="597994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750174978127723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975240594925636"/>
          <c:y val="5.1400554097404488E-2"/>
          <c:w val="0.57319903762029745"/>
          <c:h val="0.89719889180519097"/>
        </c:manualLayout>
      </c:layout>
      <c:scatterChart>
        <c:scatterStyle val="smoothMarker"/>
        <c:ser>
          <c:idx val="0"/>
          <c:order val="0"/>
          <c:tx>
            <c:strRef>
              <c:f>AA_pho_pat!$A$3</c:f>
              <c:strCache>
                <c:ptCount val="1"/>
                <c:pt idx="0">
                  <c:v>1A4V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AA_pho_pat!$B$3:$U$3</c:f>
              <c:numCache>
                <c:formatCode>General</c:formatCode>
                <c:ptCount val="20"/>
                <c:pt idx="0">
                  <c:v>-3.5693366E-3</c:v>
                </c:pt>
                <c:pt idx="1">
                  <c:v>-3.6278637000000001E-3</c:v>
                </c:pt>
                <c:pt idx="2">
                  <c:v>-3.6349440999999998E-3</c:v>
                </c:pt>
                <c:pt idx="3">
                  <c:v>-3.5930465000000001E-3</c:v>
                </c:pt>
                <c:pt idx="4">
                  <c:v>-3.6005995000000001E-3</c:v>
                </c:pt>
                <c:pt idx="5">
                  <c:v>-3.3980410000000001E-3</c:v>
                </c:pt>
                <c:pt idx="6">
                  <c:v>-3.5188096000000001E-3</c:v>
                </c:pt>
                <c:pt idx="7">
                  <c:v>-3.4538361000000001E-3</c:v>
                </c:pt>
                <c:pt idx="8">
                  <c:v>-3.4436705E-3</c:v>
                </c:pt>
                <c:pt idx="9">
                  <c:v>-3.3933282999999998E-3</c:v>
                </c:pt>
                <c:pt idx="10">
                  <c:v>-3.3833563999999998E-3</c:v>
                </c:pt>
                <c:pt idx="11">
                  <c:v>-3.4735642999999998E-3</c:v>
                </c:pt>
                <c:pt idx="12">
                  <c:v>-3.6090289000000001E-3</c:v>
                </c:pt>
                <c:pt idx="13">
                  <c:v>-3.6300845000000002E-3</c:v>
                </c:pt>
                <c:pt idx="14">
                  <c:v>-3.5737155E-3</c:v>
                </c:pt>
                <c:pt idx="15">
                  <c:v>-3.5422225E-3</c:v>
                </c:pt>
                <c:pt idx="16">
                  <c:v>-3.4312392000000001E-3</c:v>
                </c:pt>
                <c:pt idx="17">
                  <c:v>-3.4307379E-3</c:v>
                </c:pt>
                <c:pt idx="18">
                  <c:v>-3.4526998999999999E-3</c:v>
                </c:pt>
                <c:pt idx="19">
                  <c:v>-3.4415091000000002E-3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AA_pho_pat!$A$4</c:f>
              <c:strCache>
                <c:ptCount val="1"/>
                <c:pt idx="0">
                  <c:v>1EXS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AA_pho_pat!$B$4:$U$4</c:f>
              <c:numCache>
                <c:formatCode>General</c:formatCode>
                <c:ptCount val="20"/>
                <c:pt idx="0">
                  <c:v>-3.0248377000000001E-3</c:v>
                </c:pt>
                <c:pt idx="1">
                  <c:v>-2.9835075E-3</c:v>
                </c:pt>
                <c:pt idx="2">
                  <c:v>-2.8029831999999998E-3</c:v>
                </c:pt>
                <c:pt idx="3">
                  <c:v>-2.6888479000000002E-3</c:v>
                </c:pt>
                <c:pt idx="4">
                  <c:v>-2.6873996999999998E-3</c:v>
                </c:pt>
                <c:pt idx="5">
                  <c:v>-2.5669192E-3</c:v>
                </c:pt>
                <c:pt idx="6">
                  <c:v>-2.6031170999999999E-3</c:v>
                </c:pt>
                <c:pt idx="7">
                  <c:v>-2.6159426000000002E-3</c:v>
                </c:pt>
                <c:pt idx="8">
                  <c:v>-2.5760911E-3</c:v>
                </c:pt>
                <c:pt idx="9">
                  <c:v>-2.5405826000000002E-3</c:v>
                </c:pt>
                <c:pt idx="10">
                  <c:v>-2.6492846999999998E-3</c:v>
                </c:pt>
                <c:pt idx="11">
                  <c:v>-2.7149740999999998E-3</c:v>
                </c:pt>
                <c:pt idx="12">
                  <c:v>-2.6689208999999998E-3</c:v>
                </c:pt>
                <c:pt idx="13">
                  <c:v>-2.6913977000000001E-3</c:v>
                </c:pt>
                <c:pt idx="14">
                  <c:v>-2.6630857000000002E-3</c:v>
                </c:pt>
                <c:pt idx="15">
                  <c:v>-2.6579072999999998E-3</c:v>
                </c:pt>
                <c:pt idx="16">
                  <c:v>-2.6243483E-3</c:v>
                </c:pt>
                <c:pt idx="17">
                  <c:v>-2.6949001000000001E-3</c:v>
                </c:pt>
                <c:pt idx="18">
                  <c:v>-2.7026724999999999E-3</c:v>
                </c:pt>
                <c:pt idx="19">
                  <c:v>-2.7007174000000002E-3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AA_pho_pat!$A$5</c:f>
              <c:strCache>
                <c:ptCount val="1"/>
                <c:pt idx="0">
                  <c:v>1BEB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AA_pho_pat!$B$5:$U$5</c:f>
              <c:numCache>
                <c:formatCode>General</c:formatCode>
                <c:ptCount val="20"/>
                <c:pt idx="0">
                  <c:v>-3.3816749000000002E-3</c:v>
                </c:pt>
                <c:pt idx="1">
                  <c:v>-3.3979034E-3</c:v>
                </c:pt>
                <c:pt idx="2">
                  <c:v>-3.4170916999999999E-3</c:v>
                </c:pt>
                <c:pt idx="3">
                  <c:v>-3.3383097E-3</c:v>
                </c:pt>
                <c:pt idx="4">
                  <c:v>-3.4182086E-3</c:v>
                </c:pt>
                <c:pt idx="5">
                  <c:v>-3.3606145999999998E-3</c:v>
                </c:pt>
                <c:pt idx="6">
                  <c:v>-3.4302780000000001E-3</c:v>
                </c:pt>
                <c:pt idx="7">
                  <c:v>-3.5412071999999998E-3</c:v>
                </c:pt>
                <c:pt idx="8">
                  <c:v>-3.5737659999999999E-3</c:v>
                </c:pt>
                <c:pt idx="9">
                  <c:v>-3.5826565999999998E-3</c:v>
                </c:pt>
                <c:pt idx="10">
                  <c:v>-3.6665338999999999E-3</c:v>
                </c:pt>
                <c:pt idx="11">
                  <c:v>-3.8501688E-3</c:v>
                </c:pt>
                <c:pt idx="12">
                  <c:v>-3.8734768000000001E-3</c:v>
                </c:pt>
                <c:pt idx="13">
                  <c:v>-3.8568488999999998E-3</c:v>
                </c:pt>
                <c:pt idx="14">
                  <c:v>-3.7114711000000001E-3</c:v>
                </c:pt>
                <c:pt idx="15">
                  <c:v>-3.6774950999999998E-3</c:v>
                </c:pt>
                <c:pt idx="16">
                  <c:v>-3.6198311E-3</c:v>
                </c:pt>
                <c:pt idx="17">
                  <c:v>-3.6318621000000001E-3</c:v>
                </c:pt>
                <c:pt idx="18">
                  <c:v>-3.6028624000000002E-3</c:v>
                </c:pt>
                <c:pt idx="19">
                  <c:v>-3.5892527E-3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AA_pho_pat!$A$6</c:f>
              <c:strCache>
                <c:ptCount val="1"/>
                <c:pt idx="0">
                  <c:v>1LYZ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AA_pho_pat!$B$6:$U$6</c:f>
              <c:numCache>
                <c:formatCode>General</c:formatCode>
                <c:ptCount val="20"/>
                <c:pt idx="0">
                  <c:v>-3.3182511E-3</c:v>
                </c:pt>
                <c:pt idx="1">
                  <c:v>-3.2212351999999999E-3</c:v>
                </c:pt>
                <c:pt idx="2">
                  <c:v>-3.1812074999999999E-3</c:v>
                </c:pt>
                <c:pt idx="3">
                  <c:v>-2.9530756000000001E-3</c:v>
                </c:pt>
                <c:pt idx="4">
                  <c:v>-2.8091415E-3</c:v>
                </c:pt>
                <c:pt idx="5">
                  <c:v>-2.8823994E-3</c:v>
                </c:pt>
                <c:pt idx="6">
                  <c:v>-3.0107312000000001E-3</c:v>
                </c:pt>
                <c:pt idx="7">
                  <c:v>-2.9324087999999999E-3</c:v>
                </c:pt>
                <c:pt idx="8">
                  <c:v>-2.9892527999999998E-3</c:v>
                </c:pt>
                <c:pt idx="9">
                  <c:v>-2.99979E-3</c:v>
                </c:pt>
                <c:pt idx="10">
                  <c:v>-2.9315046999999999E-3</c:v>
                </c:pt>
                <c:pt idx="11">
                  <c:v>-2.9150089000000001E-3</c:v>
                </c:pt>
                <c:pt idx="12">
                  <c:v>-3.0177871000000001E-3</c:v>
                </c:pt>
                <c:pt idx="13">
                  <c:v>-3.0860265000000001E-3</c:v>
                </c:pt>
                <c:pt idx="14">
                  <c:v>-2.8798833999999999E-3</c:v>
                </c:pt>
                <c:pt idx="15">
                  <c:v>-2.8441743999999998E-3</c:v>
                </c:pt>
                <c:pt idx="16">
                  <c:v>-2.7188236999999998E-3</c:v>
                </c:pt>
                <c:pt idx="17">
                  <c:v>-2.6996912999999998E-3</c:v>
                </c:pt>
                <c:pt idx="18">
                  <c:v>-2.5232213000000001E-3</c:v>
                </c:pt>
                <c:pt idx="19">
                  <c:v>-2.3984931999999999E-3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AA_pho_pat!$A$7</c:f>
              <c:strCache>
                <c:ptCount val="1"/>
                <c:pt idx="0">
                  <c:v>135L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AA_pho_pat!$B$7:$U$7</c:f>
              <c:numCache>
                <c:formatCode>General</c:formatCode>
                <c:ptCount val="20"/>
                <c:pt idx="0">
                  <c:v>-3.3284586000000001E-3</c:v>
                </c:pt>
                <c:pt idx="1">
                  <c:v>-3.2411991000000002E-3</c:v>
                </c:pt>
                <c:pt idx="2">
                  <c:v>-3.1705713000000002E-3</c:v>
                </c:pt>
                <c:pt idx="3">
                  <c:v>-2.9925606000000002E-3</c:v>
                </c:pt>
                <c:pt idx="4">
                  <c:v>-2.9023959999999998E-3</c:v>
                </c:pt>
                <c:pt idx="5">
                  <c:v>-2.7549333999999999E-3</c:v>
                </c:pt>
                <c:pt idx="6">
                  <c:v>-2.8469518000000002E-3</c:v>
                </c:pt>
                <c:pt idx="7">
                  <c:v>-2.7631619E-3</c:v>
                </c:pt>
                <c:pt idx="8">
                  <c:v>-2.7648462000000001E-3</c:v>
                </c:pt>
                <c:pt idx="9">
                  <c:v>-2.5001393999999999E-3</c:v>
                </c:pt>
                <c:pt idx="10">
                  <c:v>-2.6533108000000001E-3</c:v>
                </c:pt>
                <c:pt idx="11">
                  <c:v>-2.8152875999999999E-3</c:v>
                </c:pt>
                <c:pt idx="12">
                  <c:v>-2.5777324999999999E-3</c:v>
                </c:pt>
                <c:pt idx="13">
                  <c:v>-2.6253514999999999E-3</c:v>
                </c:pt>
                <c:pt idx="14">
                  <c:v>-2.5769972999999998E-3</c:v>
                </c:pt>
                <c:pt idx="15">
                  <c:v>-2.5161984E-3</c:v>
                </c:pt>
                <c:pt idx="16">
                  <c:v>-2.5281181999999998E-3</c:v>
                </c:pt>
                <c:pt idx="17">
                  <c:v>-2.4668502000000001E-3</c:v>
                </c:pt>
                <c:pt idx="18">
                  <c:v>-2.4965943000000001E-3</c:v>
                </c:pt>
                <c:pt idx="19">
                  <c:v>-2.4930440999999998E-3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AA_pho_pat!$A$8</c:f>
              <c:strCache>
                <c:ptCount val="1"/>
                <c:pt idx="0">
                  <c:v>2LYM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AA_pho_pat!$B$8:$U$8</c:f>
              <c:numCache>
                <c:formatCode>General</c:formatCode>
                <c:ptCount val="20"/>
                <c:pt idx="0">
                  <c:v>-3.3561655000000001E-3</c:v>
                </c:pt>
                <c:pt idx="1">
                  <c:v>-3.3355923000000002E-3</c:v>
                </c:pt>
                <c:pt idx="2">
                  <c:v>-3.2598239000000001E-3</c:v>
                </c:pt>
                <c:pt idx="3">
                  <c:v>-3.0208523000000002E-3</c:v>
                </c:pt>
                <c:pt idx="4">
                  <c:v>-3.0137674999999998E-3</c:v>
                </c:pt>
                <c:pt idx="5">
                  <c:v>-3.0010825000000001E-3</c:v>
                </c:pt>
                <c:pt idx="6">
                  <c:v>-3.2581487E-3</c:v>
                </c:pt>
                <c:pt idx="7">
                  <c:v>-3.1002021999999999E-3</c:v>
                </c:pt>
                <c:pt idx="8">
                  <c:v>-3.1662019999999999E-3</c:v>
                </c:pt>
                <c:pt idx="9">
                  <c:v>-3.2483195000000001E-3</c:v>
                </c:pt>
                <c:pt idx="10">
                  <c:v>-3.1197777E-3</c:v>
                </c:pt>
                <c:pt idx="11">
                  <c:v>-3.1446683999999999E-3</c:v>
                </c:pt>
                <c:pt idx="12">
                  <c:v>-3.0911670000000001E-3</c:v>
                </c:pt>
                <c:pt idx="13">
                  <c:v>-3.0150687999999999E-3</c:v>
                </c:pt>
                <c:pt idx="14">
                  <c:v>-2.8387005000000002E-3</c:v>
                </c:pt>
                <c:pt idx="15">
                  <c:v>-2.6509076999999999E-3</c:v>
                </c:pt>
                <c:pt idx="16">
                  <c:v>-2.6069920999999999E-3</c:v>
                </c:pt>
                <c:pt idx="17">
                  <c:v>-2.6638829000000001E-3</c:v>
                </c:pt>
                <c:pt idx="18">
                  <c:v>-2.7341673000000001E-3</c:v>
                </c:pt>
                <c:pt idx="19">
                  <c:v>-2.7304223999999998E-3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AA_pho_pat!$A$9</c:f>
              <c:strCache>
                <c:ptCount val="1"/>
                <c:pt idx="0">
                  <c:v>2LZT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AA_pho_pat!$B$9:$U$9</c:f>
              <c:numCache>
                <c:formatCode>General</c:formatCode>
                <c:ptCount val="20"/>
                <c:pt idx="0">
                  <c:v>-3.2902879000000001E-3</c:v>
                </c:pt>
                <c:pt idx="1">
                  <c:v>-3.2720688999999998E-3</c:v>
                </c:pt>
                <c:pt idx="2">
                  <c:v>-3.1761820000000001E-3</c:v>
                </c:pt>
                <c:pt idx="3">
                  <c:v>-2.9857459E-3</c:v>
                </c:pt>
                <c:pt idx="4">
                  <c:v>-2.9327303999999998E-3</c:v>
                </c:pt>
                <c:pt idx="5">
                  <c:v>-2.9803045999999998E-3</c:v>
                </c:pt>
                <c:pt idx="6">
                  <c:v>-2.9209791999999998E-3</c:v>
                </c:pt>
                <c:pt idx="7">
                  <c:v>-2.8699772000000002E-3</c:v>
                </c:pt>
                <c:pt idx="8">
                  <c:v>-2.9254595000000002E-3</c:v>
                </c:pt>
                <c:pt idx="9">
                  <c:v>-2.7029505000000001E-3</c:v>
                </c:pt>
                <c:pt idx="10">
                  <c:v>-2.6676115E-3</c:v>
                </c:pt>
                <c:pt idx="11">
                  <c:v>-2.8397606E-3</c:v>
                </c:pt>
                <c:pt idx="12">
                  <c:v>-2.9123193000000001E-3</c:v>
                </c:pt>
                <c:pt idx="13">
                  <c:v>-2.8886416000000002E-3</c:v>
                </c:pt>
                <c:pt idx="14">
                  <c:v>-2.9568244E-3</c:v>
                </c:pt>
                <c:pt idx="15">
                  <c:v>-3.0054601000000002E-3</c:v>
                </c:pt>
                <c:pt idx="16">
                  <c:v>-2.976004E-3</c:v>
                </c:pt>
                <c:pt idx="17">
                  <c:v>-2.9426343000000001E-3</c:v>
                </c:pt>
                <c:pt idx="18">
                  <c:v>-2.8875689E-3</c:v>
                </c:pt>
                <c:pt idx="19">
                  <c:v>-2.8856071000000001E-3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AA_pho_pat!$A$10</c:f>
              <c:strCache>
                <c:ptCount val="1"/>
                <c:pt idx="0">
                  <c:v>1L35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AA_pho_pat!$B$10:$U$10</c:f>
              <c:numCache>
                <c:formatCode>General</c:formatCode>
                <c:ptCount val="20"/>
                <c:pt idx="0">
                  <c:v>-3.2279282000000002E-3</c:v>
                </c:pt>
                <c:pt idx="1">
                  <c:v>-3.1147541E-3</c:v>
                </c:pt>
                <c:pt idx="2">
                  <c:v>-2.9448733999999999E-3</c:v>
                </c:pt>
                <c:pt idx="3">
                  <c:v>-2.6901605999999998E-3</c:v>
                </c:pt>
                <c:pt idx="4">
                  <c:v>-2.6903300999999999E-3</c:v>
                </c:pt>
                <c:pt idx="5">
                  <c:v>-2.5105148E-3</c:v>
                </c:pt>
                <c:pt idx="6">
                  <c:v>-2.5676828999999998E-3</c:v>
                </c:pt>
                <c:pt idx="7">
                  <c:v>-2.5120708000000002E-3</c:v>
                </c:pt>
                <c:pt idx="8">
                  <c:v>-2.5486610999999998E-3</c:v>
                </c:pt>
                <c:pt idx="9">
                  <c:v>-2.3804758999999998E-3</c:v>
                </c:pt>
                <c:pt idx="10">
                  <c:v>-2.5038425999999998E-3</c:v>
                </c:pt>
                <c:pt idx="11">
                  <c:v>-2.4879660999999999E-3</c:v>
                </c:pt>
                <c:pt idx="12">
                  <c:v>-2.6006610000000002E-3</c:v>
                </c:pt>
                <c:pt idx="13">
                  <c:v>-2.5982730999999999E-3</c:v>
                </c:pt>
                <c:pt idx="14">
                  <c:v>-2.5604527999999998E-3</c:v>
                </c:pt>
                <c:pt idx="15">
                  <c:v>-2.6933481E-3</c:v>
                </c:pt>
                <c:pt idx="16">
                  <c:v>-2.5914323E-3</c:v>
                </c:pt>
                <c:pt idx="17">
                  <c:v>-2.7987091E-3</c:v>
                </c:pt>
                <c:pt idx="18">
                  <c:v>-2.8201311000000001E-3</c:v>
                </c:pt>
                <c:pt idx="19">
                  <c:v>-2.5849915000000002E-3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AA_pho_pat!$A$11</c:f>
              <c:strCache>
                <c:ptCount val="1"/>
                <c:pt idx="0">
                  <c:v>1LYD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AA_pho_pat!$B$11:$U$11</c:f>
              <c:numCache>
                <c:formatCode>General</c:formatCode>
                <c:ptCount val="20"/>
                <c:pt idx="0">
                  <c:v>-3.3497137000000001E-3</c:v>
                </c:pt>
                <c:pt idx="1">
                  <c:v>-3.2819290999999999E-3</c:v>
                </c:pt>
                <c:pt idx="2">
                  <c:v>-3.1566976000000002E-3</c:v>
                </c:pt>
                <c:pt idx="3">
                  <c:v>-2.9553855000000002E-3</c:v>
                </c:pt>
                <c:pt idx="4">
                  <c:v>-2.9845962E-3</c:v>
                </c:pt>
                <c:pt idx="5">
                  <c:v>-2.7717332999999999E-3</c:v>
                </c:pt>
                <c:pt idx="6">
                  <c:v>-2.8157732000000002E-3</c:v>
                </c:pt>
                <c:pt idx="7">
                  <c:v>-2.7505727E-3</c:v>
                </c:pt>
                <c:pt idx="8">
                  <c:v>-2.7421749999999999E-3</c:v>
                </c:pt>
                <c:pt idx="9">
                  <c:v>-2.6688341000000002E-3</c:v>
                </c:pt>
                <c:pt idx="10">
                  <c:v>-2.5577961999999998E-3</c:v>
                </c:pt>
                <c:pt idx="11">
                  <c:v>-2.6292284000000001E-3</c:v>
                </c:pt>
                <c:pt idx="12">
                  <c:v>-2.4660559999999999E-3</c:v>
                </c:pt>
                <c:pt idx="13">
                  <c:v>-2.3188865999999998E-3</c:v>
                </c:pt>
                <c:pt idx="14">
                  <c:v>-2.2896447000000002E-3</c:v>
                </c:pt>
                <c:pt idx="15">
                  <c:v>-2.3918305999999999E-3</c:v>
                </c:pt>
                <c:pt idx="16">
                  <c:v>-2.4286275999999998E-3</c:v>
                </c:pt>
                <c:pt idx="17">
                  <c:v>-2.5798603999999999E-3</c:v>
                </c:pt>
                <c:pt idx="18">
                  <c:v>-2.7759077E-3</c:v>
                </c:pt>
                <c:pt idx="19">
                  <c:v>-2.7745300999999999E-3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AA_pho_pat!$A$12</c:f>
              <c:strCache>
                <c:ptCount val="1"/>
                <c:pt idx="0">
                  <c:v>8RAT</c:v>
                </c:pt>
              </c:strCache>
            </c:strRef>
          </c:tx>
          <c:spPr>
            <a:ln w="6350"/>
          </c:spPr>
          <c:marker>
            <c:spPr>
              <a:ln w="6350"/>
            </c:spPr>
          </c:marker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AA_pho_pat!$B$12:$U$12</c:f>
              <c:numCache>
                <c:formatCode>General</c:formatCode>
                <c:ptCount val="20"/>
                <c:pt idx="0">
                  <c:v>-2.1757604999999998E-3</c:v>
                </c:pt>
                <c:pt idx="1">
                  <c:v>-2.0529479000000002E-3</c:v>
                </c:pt>
                <c:pt idx="2">
                  <c:v>-1.9454741E-3</c:v>
                </c:pt>
                <c:pt idx="3">
                  <c:v>-1.8052852000000001E-3</c:v>
                </c:pt>
                <c:pt idx="4">
                  <c:v>-1.825414E-3</c:v>
                </c:pt>
                <c:pt idx="5">
                  <c:v>-1.7295898E-3</c:v>
                </c:pt>
                <c:pt idx="6">
                  <c:v>-1.7404775E-3</c:v>
                </c:pt>
                <c:pt idx="7">
                  <c:v>-1.7540351E-3</c:v>
                </c:pt>
                <c:pt idx="8">
                  <c:v>-1.7616769999999999E-3</c:v>
                </c:pt>
                <c:pt idx="9">
                  <c:v>-1.7295703E-3</c:v>
                </c:pt>
                <c:pt idx="10">
                  <c:v>-1.8642222999999999E-3</c:v>
                </c:pt>
                <c:pt idx="11">
                  <c:v>-1.7735572999999999E-3</c:v>
                </c:pt>
                <c:pt idx="12">
                  <c:v>-1.7155153E-3</c:v>
                </c:pt>
                <c:pt idx="13">
                  <c:v>-1.6884067E-3</c:v>
                </c:pt>
                <c:pt idx="14">
                  <c:v>-1.6838267000000001E-3</c:v>
                </c:pt>
                <c:pt idx="15">
                  <c:v>-1.7180762999999999E-3</c:v>
                </c:pt>
                <c:pt idx="16">
                  <c:v>-1.7124121E-3</c:v>
                </c:pt>
                <c:pt idx="17">
                  <c:v>-1.7375501000000001E-3</c:v>
                </c:pt>
                <c:pt idx="18">
                  <c:v>-1.7172673000000001E-3</c:v>
                </c:pt>
                <c:pt idx="19">
                  <c:v>-1.7426951000000001E-3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AA_pho_pat!$A$13</c:f>
              <c:strCache>
                <c:ptCount val="1"/>
                <c:pt idx="0">
                  <c:v>1RBX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AA_pho_pat!$B$13:$U$13</c:f>
              <c:numCache>
                <c:formatCode>General</c:formatCode>
                <c:ptCount val="20"/>
                <c:pt idx="0">
                  <c:v>-2.193202E-3</c:v>
                </c:pt>
                <c:pt idx="1">
                  <c:v>-2.0558249999999998E-3</c:v>
                </c:pt>
                <c:pt idx="2">
                  <c:v>-1.9295217E-3</c:v>
                </c:pt>
                <c:pt idx="3">
                  <c:v>-1.826404E-3</c:v>
                </c:pt>
                <c:pt idx="4">
                  <c:v>-1.8561275999999999E-3</c:v>
                </c:pt>
                <c:pt idx="5">
                  <c:v>-1.7816094000000001E-3</c:v>
                </c:pt>
                <c:pt idx="6">
                  <c:v>-1.8078956000000001E-3</c:v>
                </c:pt>
                <c:pt idx="7">
                  <c:v>-1.7558342E-3</c:v>
                </c:pt>
                <c:pt idx="8">
                  <c:v>-1.7725617E-3</c:v>
                </c:pt>
                <c:pt idx="9">
                  <c:v>-1.6930267000000001E-3</c:v>
                </c:pt>
                <c:pt idx="10">
                  <c:v>-1.7605330999999999E-3</c:v>
                </c:pt>
                <c:pt idx="11">
                  <c:v>-1.7678227999999999E-3</c:v>
                </c:pt>
                <c:pt idx="12">
                  <c:v>-1.7132E-3</c:v>
                </c:pt>
                <c:pt idx="13">
                  <c:v>-1.698743E-3</c:v>
                </c:pt>
                <c:pt idx="14">
                  <c:v>-1.6855926000000001E-3</c:v>
                </c:pt>
                <c:pt idx="15">
                  <c:v>-1.7175643999999999E-3</c:v>
                </c:pt>
                <c:pt idx="16">
                  <c:v>-1.7119158000000001E-3</c:v>
                </c:pt>
                <c:pt idx="17">
                  <c:v>-1.6491574E-3</c:v>
                </c:pt>
                <c:pt idx="18">
                  <c:v>-1.6436955000000001E-3</c:v>
                </c:pt>
                <c:pt idx="19">
                  <c:v>-1.6414365E-3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AA_pho_pat!$A$14</c:f>
              <c:strCache>
                <c:ptCount val="1"/>
                <c:pt idx="0">
                  <c:v>3RN3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AA_pho_pat!$B$14:$U$14</c:f>
              <c:numCache>
                <c:formatCode>General</c:formatCode>
                <c:ptCount val="20"/>
                <c:pt idx="0">
                  <c:v>-2.2195608E-3</c:v>
                </c:pt>
                <c:pt idx="1">
                  <c:v>-2.0666621E-3</c:v>
                </c:pt>
                <c:pt idx="2">
                  <c:v>-1.9947882E-3</c:v>
                </c:pt>
                <c:pt idx="3">
                  <c:v>-1.8673163E-3</c:v>
                </c:pt>
                <c:pt idx="4">
                  <c:v>-1.9279150999999999E-3</c:v>
                </c:pt>
                <c:pt idx="5">
                  <c:v>-1.8644689999999999E-3</c:v>
                </c:pt>
                <c:pt idx="6">
                  <c:v>-1.8511377999999999E-3</c:v>
                </c:pt>
                <c:pt idx="7">
                  <c:v>-1.7816657E-3</c:v>
                </c:pt>
                <c:pt idx="8">
                  <c:v>-1.8039760000000001E-3</c:v>
                </c:pt>
                <c:pt idx="9">
                  <c:v>-1.7888022E-3</c:v>
                </c:pt>
                <c:pt idx="10">
                  <c:v>-1.8393473E-3</c:v>
                </c:pt>
                <c:pt idx="11">
                  <c:v>-1.7949249999999999E-3</c:v>
                </c:pt>
                <c:pt idx="12">
                  <c:v>-1.7565165E-3</c:v>
                </c:pt>
                <c:pt idx="13">
                  <c:v>-1.7333915000000001E-3</c:v>
                </c:pt>
                <c:pt idx="14">
                  <c:v>-1.7301110000000001E-3</c:v>
                </c:pt>
                <c:pt idx="15">
                  <c:v>-1.7675268E-3</c:v>
                </c:pt>
                <c:pt idx="16">
                  <c:v>-1.7676152E-3</c:v>
                </c:pt>
                <c:pt idx="17">
                  <c:v>-1.7788869E-3</c:v>
                </c:pt>
                <c:pt idx="18">
                  <c:v>-1.7517342999999999E-3</c:v>
                </c:pt>
                <c:pt idx="19">
                  <c:v>-1.7644970000000001E-3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AA_pho_pat!$A$15</c:f>
              <c:strCache>
                <c:ptCount val="1"/>
                <c:pt idx="0">
                  <c:v>1AFU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AA_pho_pat!$B$15:$U$15</c:f>
              <c:numCache>
                <c:formatCode>General</c:formatCode>
                <c:ptCount val="20"/>
                <c:pt idx="0">
                  <c:v>-2.1152113999999998E-3</c:v>
                </c:pt>
                <c:pt idx="1">
                  <c:v>-2.1140630999999998E-3</c:v>
                </c:pt>
                <c:pt idx="2">
                  <c:v>-2.0353487E-3</c:v>
                </c:pt>
                <c:pt idx="3">
                  <c:v>-1.9551408E-3</c:v>
                </c:pt>
                <c:pt idx="4">
                  <c:v>-1.9554500000000001E-3</c:v>
                </c:pt>
                <c:pt idx="5">
                  <c:v>-1.8728035999999999E-3</c:v>
                </c:pt>
                <c:pt idx="6">
                  <c:v>-1.9368944999999999E-3</c:v>
                </c:pt>
                <c:pt idx="7">
                  <c:v>-1.8967261999999999E-3</c:v>
                </c:pt>
                <c:pt idx="8">
                  <c:v>-1.8993288999999999E-3</c:v>
                </c:pt>
                <c:pt idx="9">
                  <c:v>-1.8313375999999999E-3</c:v>
                </c:pt>
                <c:pt idx="10">
                  <c:v>-1.93652E-3</c:v>
                </c:pt>
                <c:pt idx="11">
                  <c:v>-1.9527570000000001E-3</c:v>
                </c:pt>
                <c:pt idx="12">
                  <c:v>-1.9291562000000001E-3</c:v>
                </c:pt>
                <c:pt idx="13">
                  <c:v>-1.9075445999999999E-3</c:v>
                </c:pt>
                <c:pt idx="14">
                  <c:v>-1.8514597E-3</c:v>
                </c:pt>
                <c:pt idx="15">
                  <c:v>-1.8548217E-3</c:v>
                </c:pt>
                <c:pt idx="16">
                  <c:v>-1.8293445000000001E-3</c:v>
                </c:pt>
                <c:pt idx="17">
                  <c:v>-1.8495903E-3</c:v>
                </c:pt>
                <c:pt idx="18">
                  <c:v>-1.8257214999999999E-3</c:v>
                </c:pt>
                <c:pt idx="19">
                  <c:v>-1.8276348999999999E-3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AA_pho_pat!$A$16</c:f>
              <c:strCache>
                <c:ptCount val="1"/>
                <c:pt idx="0">
                  <c:v>1HHO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AA_pho_pat!$B$16:$U$16</c:f>
              <c:numCache>
                <c:formatCode>General</c:formatCode>
                <c:ptCount val="20"/>
                <c:pt idx="0">
                  <c:v>-3.3587837E-3</c:v>
                </c:pt>
                <c:pt idx="1">
                  <c:v>-3.2167890999999999E-3</c:v>
                </c:pt>
                <c:pt idx="2">
                  <c:v>-2.9686168000000001E-3</c:v>
                </c:pt>
                <c:pt idx="3">
                  <c:v>-2.7454207E-3</c:v>
                </c:pt>
                <c:pt idx="4">
                  <c:v>-2.5828282999999998E-3</c:v>
                </c:pt>
                <c:pt idx="5">
                  <c:v>-2.4791751000000002E-3</c:v>
                </c:pt>
                <c:pt idx="6">
                  <c:v>-2.5423833000000002E-3</c:v>
                </c:pt>
                <c:pt idx="7">
                  <c:v>-2.4408606999999998E-3</c:v>
                </c:pt>
                <c:pt idx="8">
                  <c:v>-2.4293840000000001E-3</c:v>
                </c:pt>
                <c:pt idx="9">
                  <c:v>-2.4077676000000001E-3</c:v>
                </c:pt>
                <c:pt idx="10">
                  <c:v>-2.4710586000000001E-3</c:v>
                </c:pt>
                <c:pt idx="11">
                  <c:v>-2.6041465000000001E-3</c:v>
                </c:pt>
                <c:pt idx="12">
                  <c:v>-2.6325177999999999E-3</c:v>
                </c:pt>
                <c:pt idx="13">
                  <c:v>-2.6451488999999998E-3</c:v>
                </c:pt>
                <c:pt idx="14">
                  <c:v>-2.5732655000000001E-3</c:v>
                </c:pt>
                <c:pt idx="15">
                  <c:v>-2.4749858000000001E-3</c:v>
                </c:pt>
                <c:pt idx="16">
                  <c:v>-2.3226184E-3</c:v>
                </c:pt>
                <c:pt idx="17">
                  <c:v>-2.3875807000000001E-3</c:v>
                </c:pt>
                <c:pt idx="18">
                  <c:v>-2.4823699999999998E-3</c:v>
                </c:pt>
                <c:pt idx="19">
                  <c:v>-2.5346142000000002E-3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AA_pho_pat!$A$17</c:f>
              <c:strCache>
                <c:ptCount val="1"/>
                <c:pt idx="0">
                  <c:v>2HCO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AA_pho_pat!$B$17:$U$17</c:f>
              <c:numCache>
                <c:formatCode>General</c:formatCode>
                <c:ptCount val="20"/>
                <c:pt idx="0">
                  <c:v>-3.3587411000000002E-3</c:v>
                </c:pt>
                <c:pt idx="1">
                  <c:v>-3.2265356000000002E-3</c:v>
                </c:pt>
                <c:pt idx="2">
                  <c:v>-2.9180031000000002E-3</c:v>
                </c:pt>
                <c:pt idx="3">
                  <c:v>-2.7395736000000001E-3</c:v>
                </c:pt>
                <c:pt idx="4">
                  <c:v>-2.7674755999999999E-3</c:v>
                </c:pt>
                <c:pt idx="5">
                  <c:v>-2.5064684000000001E-3</c:v>
                </c:pt>
                <c:pt idx="6">
                  <c:v>-2.4844789999999999E-3</c:v>
                </c:pt>
                <c:pt idx="7">
                  <c:v>-2.4944053E-3</c:v>
                </c:pt>
                <c:pt idx="8">
                  <c:v>-2.4957695999999999E-3</c:v>
                </c:pt>
                <c:pt idx="9">
                  <c:v>-2.5026607000000001E-3</c:v>
                </c:pt>
                <c:pt idx="10">
                  <c:v>-2.5712687000000001E-3</c:v>
                </c:pt>
                <c:pt idx="11">
                  <c:v>-2.5077048000000002E-3</c:v>
                </c:pt>
                <c:pt idx="12">
                  <c:v>-2.4849083000000002E-3</c:v>
                </c:pt>
                <c:pt idx="13">
                  <c:v>-2.4555693E-3</c:v>
                </c:pt>
                <c:pt idx="14">
                  <c:v>-2.4220301E-3</c:v>
                </c:pt>
                <c:pt idx="15">
                  <c:v>-2.4589081000000001E-3</c:v>
                </c:pt>
                <c:pt idx="16">
                  <c:v>-2.4324358E-3</c:v>
                </c:pt>
                <c:pt idx="17">
                  <c:v>-2.5627469000000002E-3</c:v>
                </c:pt>
                <c:pt idx="18">
                  <c:v>-2.6249088999999999E-3</c:v>
                </c:pt>
                <c:pt idx="19">
                  <c:v>-2.6440627000000002E-3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AA_pho_pat!$A$18</c:f>
              <c:strCache>
                <c:ptCount val="1"/>
                <c:pt idx="0">
                  <c:v>2DHB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AA_pho_pat!$B$18:$U$18</c:f>
              <c:numCache>
                <c:formatCode>General</c:formatCode>
                <c:ptCount val="20"/>
                <c:pt idx="0">
                  <c:v>-3.4821557E-3</c:v>
                </c:pt>
                <c:pt idx="1">
                  <c:v>-3.4009065000000002E-3</c:v>
                </c:pt>
                <c:pt idx="2">
                  <c:v>-3.1635427999999999E-3</c:v>
                </c:pt>
                <c:pt idx="3">
                  <c:v>-2.9665773999999999E-3</c:v>
                </c:pt>
                <c:pt idx="4">
                  <c:v>-2.9537742999999998E-3</c:v>
                </c:pt>
                <c:pt idx="5">
                  <c:v>-2.8372294999999999E-3</c:v>
                </c:pt>
                <c:pt idx="6">
                  <c:v>-2.8690051E-3</c:v>
                </c:pt>
                <c:pt idx="7">
                  <c:v>-2.8759672000000002E-3</c:v>
                </c:pt>
                <c:pt idx="8">
                  <c:v>-2.9060608000000001E-3</c:v>
                </c:pt>
                <c:pt idx="9">
                  <c:v>-2.8032996000000002E-3</c:v>
                </c:pt>
                <c:pt idx="10">
                  <c:v>-2.8495797999999999E-3</c:v>
                </c:pt>
                <c:pt idx="11">
                  <c:v>-2.8987600999999998E-3</c:v>
                </c:pt>
                <c:pt idx="12">
                  <c:v>-2.8829183E-3</c:v>
                </c:pt>
                <c:pt idx="13">
                  <c:v>-2.8491166999999999E-3</c:v>
                </c:pt>
                <c:pt idx="14">
                  <c:v>-2.7295727999999998E-3</c:v>
                </c:pt>
                <c:pt idx="15">
                  <c:v>-2.6984913E-3</c:v>
                </c:pt>
                <c:pt idx="16">
                  <c:v>-2.6673934999999998E-3</c:v>
                </c:pt>
                <c:pt idx="17">
                  <c:v>-2.7893131999999999E-3</c:v>
                </c:pt>
                <c:pt idx="18">
                  <c:v>-2.8751285E-3</c:v>
                </c:pt>
                <c:pt idx="19">
                  <c:v>-2.8272410999999999E-3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AA_pho_pat!$A$19</c:f>
              <c:strCache>
                <c:ptCount val="1"/>
                <c:pt idx="0">
                  <c:v>1BUW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AA_pho_pat!$B$19:$U$19</c:f>
              <c:numCache>
                <c:formatCode>General</c:formatCode>
                <c:ptCount val="20"/>
                <c:pt idx="0">
                  <c:v>-3.3531623999999999E-3</c:v>
                </c:pt>
                <c:pt idx="1">
                  <c:v>-3.2461637000000001E-3</c:v>
                </c:pt>
                <c:pt idx="2">
                  <c:v>-2.9439141999999998E-3</c:v>
                </c:pt>
                <c:pt idx="3">
                  <c:v>-2.6977197000000001E-3</c:v>
                </c:pt>
                <c:pt idx="4">
                  <c:v>-2.5769868000000001E-3</c:v>
                </c:pt>
                <c:pt idx="5">
                  <c:v>-2.3564291000000002E-3</c:v>
                </c:pt>
                <c:pt idx="6">
                  <c:v>-2.3826808000000001E-3</c:v>
                </c:pt>
                <c:pt idx="7">
                  <c:v>-2.2453419E-3</c:v>
                </c:pt>
                <c:pt idx="8">
                  <c:v>-2.1998376999999999E-3</c:v>
                </c:pt>
                <c:pt idx="9">
                  <c:v>-2.0946199000000001E-3</c:v>
                </c:pt>
                <c:pt idx="10">
                  <c:v>-2.2055283000000001E-3</c:v>
                </c:pt>
                <c:pt idx="11">
                  <c:v>-2.2409858999999999E-3</c:v>
                </c:pt>
                <c:pt idx="12">
                  <c:v>-2.0713804E-3</c:v>
                </c:pt>
                <c:pt idx="13">
                  <c:v>-2.1513490999999999E-3</c:v>
                </c:pt>
                <c:pt idx="14">
                  <c:v>-2.1458033E-3</c:v>
                </c:pt>
                <c:pt idx="15">
                  <c:v>-2.2057131999999998E-3</c:v>
                </c:pt>
                <c:pt idx="16">
                  <c:v>-2.1568126999999999E-3</c:v>
                </c:pt>
                <c:pt idx="17">
                  <c:v>-2.1649553000000002E-3</c:v>
                </c:pt>
                <c:pt idx="18">
                  <c:v>-2.2516020000000001E-3</c:v>
                </c:pt>
                <c:pt idx="19">
                  <c:v>-2.2592377000000001E-3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AA_pho_pat!$A$20</c:f>
              <c:strCache>
                <c:ptCount val="1"/>
                <c:pt idx="0">
                  <c:v>1Y4G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AA_pho_pat!$B$20:$U$20</c:f>
              <c:numCache>
                <c:formatCode>General</c:formatCode>
                <c:ptCount val="20"/>
                <c:pt idx="0">
                  <c:v>-3.2598227000000001E-3</c:v>
                </c:pt>
                <c:pt idx="1">
                  <c:v>-3.1840992000000002E-3</c:v>
                </c:pt>
                <c:pt idx="2">
                  <c:v>-2.8994041E-3</c:v>
                </c:pt>
                <c:pt idx="3">
                  <c:v>-2.6943916000000002E-3</c:v>
                </c:pt>
                <c:pt idx="4">
                  <c:v>-2.6417999000000001E-3</c:v>
                </c:pt>
                <c:pt idx="5">
                  <c:v>-2.3935725999999998E-3</c:v>
                </c:pt>
                <c:pt idx="6">
                  <c:v>-2.3982269000000001E-3</c:v>
                </c:pt>
                <c:pt idx="7">
                  <c:v>-2.372084E-3</c:v>
                </c:pt>
                <c:pt idx="8">
                  <c:v>-2.2567533999999999E-3</c:v>
                </c:pt>
                <c:pt idx="9">
                  <c:v>-2.1739716E-3</c:v>
                </c:pt>
                <c:pt idx="10">
                  <c:v>-2.320094E-3</c:v>
                </c:pt>
                <c:pt idx="11">
                  <c:v>-2.3747843000000001E-3</c:v>
                </c:pt>
                <c:pt idx="12">
                  <c:v>-2.2449985E-3</c:v>
                </c:pt>
                <c:pt idx="13">
                  <c:v>-2.2841615E-3</c:v>
                </c:pt>
                <c:pt idx="14">
                  <c:v>-2.2844448999999999E-3</c:v>
                </c:pt>
                <c:pt idx="15">
                  <c:v>-2.2852679E-3</c:v>
                </c:pt>
                <c:pt idx="16">
                  <c:v>-2.2446943999999999E-3</c:v>
                </c:pt>
                <c:pt idx="17">
                  <c:v>-2.3291154999999998E-3</c:v>
                </c:pt>
                <c:pt idx="18">
                  <c:v>-2.3727140000000002E-3</c:v>
                </c:pt>
                <c:pt idx="19">
                  <c:v>-2.4051010000000002E-3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AA_pho_pat!$A$21</c:f>
              <c:strCache>
                <c:ptCount val="1"/>
                <c:pt idx="0">
                  <c:v>1Y4F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AA_pho_pat!$B$21:$U$21</c:f>
              <c:numCache>
                <c:formatCode>General</c:formatCode>
                <c:ptCount val="20"/>
                <c:pt idx="0">
                  <c:v>-3.2723416E-3</c:v>
                </c:pt>
                <c:pt idx="1">
                  <c:v>-3.1985757000000002E-3</c:v>
                </c:pt>
                <c:pt idx="2">
                  <c:v>-2.9062469999999998E-3</c:v>
                </c:pt>
                <c:pt idx="3">
                  <c:v>-2.6705072E-3</c:v>
                </c:pt>
                <c:pt idx="4">
                  <c:v>-2.6064888E-3</c:v>
                </c:pt>
                <c:pt idx="5">
                  <c:v>-2.4060900000000001E-3</c:v>
                </c:pt>
                <c:pt idx="6">
                  <c:v>-2.4621299999999999E-3</c:v>
                </c:pt>
                <c:pt idx="7">
                  <c:v>-2.3429118999999999E-3</c:v>
                </c:pt>
                <c:pt idx="8">
                  <c:v>-2.345457E-3</c:v>
                </c:pt>
                <c:pt idx="9">
                  <c:v>-2.2013807E-3</c:v>
                </c:pt>
                <c:pt idx="10">
                  <c:v>-2.3600038000000001E-3</c:v>
                </c:pt>
                <c:pt idx="11">
                  <c:v>-2.3683552E-3</c:v>
                </c:pt>
                <c:pt idx="12">
                  <c:v>-2.2653521E-3</c:v>
                </c:pt>
                <c:pt idx="13">
                  <c:v>-2.2732210000000002E-3</c:v>
                </c:pt>
                <c:pt idx="14">
                  <c:v>-2.3324448000000002E-3</c:v>
                </c:pt>
                <c:pt idx="15">
                  <c:v>-2.3560043999999998E-3</c:v>
                </c:pt>
                <c:pt idx="16">
                  <c:v>-2.2707318000000001E-3</c:v>
                </c:pt>
                <c:pt idx="17">
                  <c:v>-2.3080219999999999E-3</c:v>
                </c:pt>
                <c:pt idx="18">
                  <c:v>-2.3201342999999998E-3</c:v>
                </c:pt>
                <c:pt idx="19">
                  <c:v>-2.3394654999999999E-3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AA_pho_pat!$A$22</c:f>
              <c:strCache>
                <c:ptCount val="1"/>
                <c:pt idx="0">
                  <c:v>1A01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AA_pho_pat!$B$22:$U$22</c:f>
              <c:numCache>
                <c:formatCode>General</c:formatCode>
                <c:ptCount val="20"/>
                <c:pt idx="0">
                  <c:v>-3.2585838000000001E-3</c:v>
                </c:pt>
                <c:pt idx="1">
                  <c:v>-3.1791821E-3</c:v>
                </c:pt>
                <c:pt idx="2">
                  <c:v>-2.8478616999999999E-3</c:v>
                </c:pt>
                <c:pt idx="3">
                  <c:v>-2.6131836E-3</c:v>
                </c:pt>
                <c:pt idx="4">
                  <c:v>-2.5614342000000001E-3</c:v>
                </c:pt>
                <c:pt idx="5">
                  <c:v>-2.3447505999999998E-3</c:v>
                </c:pt>
                <c:pt idx="6">
                  <c:v>-2.3423328999999998E-3</c:v>
                </c:pt>
                <c:pt idx="7">
                  <c:v>-2.2847457000000002E-3</c:v>
                </c:pt>
                <c:pt idx="8">
                  <c:v>-2.2316725999999999E-3</c:v>
                </c:pt>
                <c:pt idx="9">
                  <c:v>-2.1423445999999998E-3</c:v>
                </c:pt>
                <c:pt idx="10">
                  <c:v>-2.3319141000000001E-3</c:v>
                </c:pt>
                <c:pt idx="11">
                  <c:v>-2.3430954E-3</c:v>
                </c:pt>
                <c:pt idx="12">
                  <c:v>-2.2202101999999999E-3</c:v>
                </c:pt>
                <c:pt idx="13">
                  <c:v>-2.2063338999999999E-3</c:v>
                </c:pt>
                <c:pt idx="14">
                  <c:v>-2.2305291999999998E-3</c:v>
                </c:pt>
                <c:pt idx="15">
                  <c:v>-2.2150688E-3</c:v>
                </c:pt>
                <c:pt idx="16">
                  <c:v>-2.1436641E-3</c:v>
                </c:pt>
                <c:pt idx="17">
                  <c:v>-2.2506884E-3</c:v>
                </c:pt>
                <c:pt idx="18">
                  <c:v>-2.3382063999999999E-3</c:v>
                </c:pt>
                <c:pt idx="19">
                  <c:v>-2.3471133000000002E-3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AA_pho_pat!$A$23</c:f>
              <c:strCache>
                <c:ptCount val="1"/>
                <c:pt idx="0">
                  <c:v>1Y4P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AA_pho_pat!$B$23:$U$23</c:f>
              <c:numCache>
                <c:formatCode>General</c:formatCode>
                <c:ptCount val="20"/>
                <c:pt idx="0">
                  <c:v>-3.2684181E-3</c:v>
                </c:pt>
                <c:pt idx="1">
                  <c:v>-3.1973966000000001E-3</c:v>
                </c:pt>
                <c:pt idx="2">
                  <c:v>-2.9025977000000001E-3</c:v>
                </c:pt>
                <c:pt idx="3">
                  <c:v>-2.7127033E-3</c:v>
                </c:pt>
                <c:pt idx="4">
                  <c:v>-2.6333760000000002E-3</c:v>
                </c:pt>
                <c:pt idx="5">
                  <c:v>-2.3952143000000002E-3</c:v>
                </c:pt>
                <c:pt idx="6">
                  <c:v>-2.4389049999999999E-3</c:v>
                </c:pt>
                <c:pt idx="7">
                  <c:v>-2.3452860999999998E-3</c:v>
                </c:pt>
                <c:pt idx="8">
                  <c:v>-2.2903499E-3</c:v>
                </c:pt>
                <c:pt idx="9">
                  <c:v>-2.1944366999999999E-3</c:v>
                </c:pt>
                <c:pt idx="10">
                  <c:v>-2.3353548999999999E-3</c:v>
                </c:pt>
                <c:pt idx="11">
                  <c:v>-2.3427194000000002E-3</c:v>
                </c:pt>
                <c:pt idx="12">
                  <c:v>-2.2613523E-3</c:v>
                </c:pt>
                <c:pt idx="13">
                  <c:v>-2.1993171000000001E-3</c:v>
                </c:pt>
                <c:pt idx="14">
                  <c:v>-2.2134883000000001E-3</c:v>
                </c:pt>
                <c:pt idx="15">
                  <c:v>-2.347586E-3</c:v>
                </c:pt>
                <c:pt idx="16">
                  <c:v>-2.2974734000000001E-3</c:v>
                </c:pt>
                <c:pt idx="17">
                  <c:v>-2.3854523999999998E-3</c:v>
                </c:pt>
                <c:pt idx="18">
                  <c:v>-2.3663744999999998E-3</c:v>
                </c:pt>
                <c:pt idx="19">
                  <c:v>-2.3674893000000001E-3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AA_pho_pat!$A$24</c:f>
              <c:strCache>
                <c:ptCount val="1"/>
                <c:pt idx="0">
                  <c:v>1A00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AA_pho_pat!$B$24:$U$24</c:f>
              <c:numCache>
                <c:formatCode>General</c:formatCode>
                <c:ptCount val="20"/>
                <c:pt idx="0">
                  <c:v>-3.2356179E-3</c:v>
                </c:pt>
                <c:pt idx="1">
                  <c:v>-3.1492476999999998E-3</c:v>
                </c:pt>
                <c:pt idx="2">
                  <c:v>-2.8290785999999998E-3</c:v>
                </c:pt>
                <c:pt idx="3">
                  <c:v>-2.5586479000000001E-3</c:v>
                </c:pt>
                <c:pt idx="4">
                  <c:v>-2.5113327E-3</c:v>
                </c:pt>
                <c:pt idx="5">
                  <c:v>-2.2919872000000002E-3</c:v>
                </c:pt>
                <c:pt idx="6">
                  <c:v>-2.2591633999999999E-3</c:v>
                </c:pt>
                <c:pt idx="7">
                  <c:v>-2.2843647999999999E-3</c:v>
                </c:pt>
                <c:pt idx="8">
                  <c:v>-2.1878168999999999E-3</c:v>
                </c:pt>
                <c:pt idx="9">
                  <c:v>-2.1635081999999998E-3</c:v>
                </c:pt>
                <c:pt idx="10">
                  <c:v>-2.3388732000000001E-3</c:v>
                </c:pt>
                <c:pt idx="11">
                  <c:v>-2.4060635000000001E-3</c:v>
                </c:pt>
                <c:pt idx="12">
                  <c:v>-2.2894521E-3</c:v>
                </c:pt>
                <c:pt idx="13">
                  <c:v>-2.2331934999999998E-3</c:v>
                </c:pt>
                <c:pt idx="14">
                  <c:v>-2.1775216000000002E-3</c:v>
                </c:pt>
                <c:pt idx="15">
                  <c:v>-2.2334002E-3</c:v>
                </c:pt>
                <c:pt idx="16">
                  <c:v>-2.1634568000000001E-3</c:v>
                </c:pt>
                <c:pt idx="17">
                  <c:v>-2.2024061000000001E-3</c:v>
                </c:pt>
                <c:pt idx="18">
                  <c:v>-2.2913200999999999E-3</c:v>
                </c:pt>
                <c:pt idx="19">
                  <c:v>-2.2934677999999998E-3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AA_pho_pat!$A$25</c:f>
              <c:strCache>
                <c:ptCount val="1"/>
                <c:pt idx="0">
                  <c:v>1AY46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AA_pho_pat!$B$25:$U$25</c:f>
              <c:numCache>
                <c:formatCode>General</c:formatCode>
                <c:ptCount val="20"/>
                <c:pt idx="0">
                  <c:v>-3.2280617999999998E-3</c:v>
                </c:pt>
                <c:pt idx="1">
                  <c:v>-3.1548624000000002E-3</c:v>
                </c:pt>
                <c:pt idx="2">
                  <c:v>-2.8506368E-3</c:v>
                </c:pt>
                <c:pt idx="3">
                  <c:v>-2.6096341E-3</c:v>
                </c:pt>
                <c:pt idx="4">
                  <c:v>-2.545163E-3</c:v>
                </c:pt>
                <c:pt idx="5">
                  <c:v>-2.3128020000000001E-3</c:v>
                </c:pt>
                <c:pt idx="6">
                  <c:v>-2.3368807000000002E-3</c:v>
                </c:pt>
                <c:pt idx="7">
                  <c:v>-2.2730951000000002E-3</c:v>
                </c:pt>
                <c:pt idx="8">
                  <c:v>-2.1891017E-3</c:v>
                </c:pt>
                <c:pt idx="9">
                  <c:v>-2.1035816E-3</c:v>
                </c:pt>
                <c:pt idx="10">
                  <c:v>-2.2663361999999999E-3</c:v>
                </c:pt>
                <c:pt idx="11">
                  <c:v>-2.3441987999999999E-3</c:v>
                </c:pt>
                <c:pt idx="12">
                  <c:v>-2.1711731999999998E-3</c:v>
                </c:pt>
                <c:pt idx="13">
                  <c:v>-2.1951409999999998E-3</c:v>
                </c:pt>
                <c:pt idx="14">
                  <c:v>-2.2113824000000002E-3</c:v>
                </c:pt>
                <c:pt idx="15">
                  <c:v>-2.2366858999999998E-3</c:v>
                </c:pt>
                <c:pt idx="16">
                  <c:v>-2.2028540000000002E-3</c:v>
                </c:pt>
                <c:pt idx="17">
                  <c:v>-2.3043453999999999E-3</c:v>
                </c:pt>
                <c:pt idx="18">
                  <c:v>-2.3485580000000002E-3</c:v>
                </c:pt>
                <c:pt idx="19">
                  <c:v>-2.3272560999999998E-3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AA_pho_pat!$A$26</c:f>
              <c:strCache>
                <c:ptCount val="1"/>
                <c:pt idx="0">
                  <c:v>2HHB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AA_pho_pat!$B$26:$U$26</c:f>
              <c:numCache>
                <c:formatCode>General</c:formatCode>
                <c:ptCount val="20"/>
                <c:pt idx="0">
                  <c:v>-3.4073668000000001E-3</c:v>
                </c:pt>
                <c:pt idx="1">
                  <c:v>-3.3655041000000001E-3</c:v>
                </c:pt>
                <c:pt idx="2">
                  <c:v>-3.1080285999999999E-3</c:v>
                </c:pt>
                <c:pt idx="3">
                  <c:v>-2.8804422000000001E-3</c:v>
                </c:pt>
                <c:pt idx="4">
                  <c:v>-2.8547687E-3</c:v>
                </c:pt>
                <c:pt idx="5">
                  <c:v>-2.6142534000000001E-3</c:v>
                </c:pt>
                <c:pt idx="6">
                  <c:v>-2.6827705999999999E-3</c:v>
                </c:pt>
                <c:pt idx="7">
                  <c:v>-2.5134429000000002E-3</c:v>
                </c:pt>
                <c:pt idx="8">
                  <c:v>-2.5041115E-3</c:v>
                </c:pt>
                <c:pt idx="9">
                  <c:v>-2.2934514999999999E-3</c:v>
                </c:pt>
                <c:pt idx="10">
                  <c:v>-2.3609768000000001E-3</c:v>
                </c:pt>
                <c:pt idx="11">
                  <c:v>-2.4287517000000001E-3</c:v>
                </c:pt>
                <c:pt idx="12">
                  <c:v>-2.3559737000000002E-3</c:v>
                </c:pt>
                <c:pt idx="13">
                  <c:v>-2.3047095E-3</c:v>
                </c:pt>
                <c:pt idx="14">
                  <c:v>-2.1611906000000001E-3</c:v>
                </c:pt>
                <c:pt idx="15">
                  <c:v>-2.1905891999999998E-3</c:v>
                </c:pt>
                <c:pt idx="16">
                  <c:v>-2.0810745000000002E-3</c:v>
                </c:pt>
                <c:pt idx="17">
                  <c:v>-2.0103126E-3</c:v>
                </c:pt>
                <c:pt idx="18">
                  <c:v>-2.0941588999999999E-3</c:v>
                </c:pt>
                <c:pt idx="19">
                  <c:v>-2.1185934999999999E-3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AA_pho_pat!$A$27</c:f>
              <c:strCache>
                <c:ptCount val="1"/>
                <c:pt idx="0">
                  <c:v>1A0U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AA_pho_pat!$B$27:$U$27</c:f>
              <c:numCache>
                <c:formatCode>General</c:formatCode>
                <c:ptCount val="20"/>
                <c:pt idx="0">
                  <c:v>-3.3310293000000002E-3</c:v>
                </c:pt>
                <c:pt idx="1">
                  <c:v>-3.2665413000000001E-3</c:v>
                </c:pt>
                <c:pt idx="2">
                  <c:v>-2.9963194E-3</c:v>
                </c:pt>
                <c:pt idx="3">
                  <c:v>-2.7844306999999999E-3</c:v>
                </c:pt>
                <c:pt idx="4">
                  <c:v>-2.7607284000000002E-3</c:v>
                </c:pt>
                <c:pt idx="5">
                  <c:v>-2.58844E-3</c:v>
                </c:pt>
                <c:pt idx="6">
                  <c:v>-2.6153978E-3</c:v>
                </c:pt>
                <c:pt idx="7">
                  <c:v>-2.5157501999999998E-3</c:v>
                </c:pt>
                <c:pt idx="8">
                  <c:v>-2.4591094999999999E-3</c:v>
                </c:pt>
                <c:pt idx="9">
                  <c:v>-2.3586443000000001E-3</c:v>
                </c:pt>
                <c:pt idx="10">
                  <c:v>-2.4691626999999998E-3</c:v>
                </c:pt>
                <c:pt idx="11">
                  <c:v>-2.4047610000000001E-3</c:v>
                </c:pt>
                <c:pt idx="12">
                  <c:v>-2.2461221000000002E-3</c:v>
                </c:pt>
                <c:pt idx="13">
                  <c:v>-2.2773359E-3</c:v>
                </c:pt>
                <c:pt idx="14">
                  <c:v>-2.3077220999999999E-3</c:v>
                </c:pt>
                <c:pt idx="15">
                  <c:v>-2.3269330000000002E-3</c:v>
                </c:pt>
                <c:pt idx="16">
                  <c:v>-2.3176681999999998E-3</c:v>
                </c:pt>
                <c:pt idx="17">
                  <c:v>-2.2450711E-3</c:v>
                </c:pt>
                <c:pt idx="18">
                  <c:v>-2.2870309000000001E-3</c:v>
                </c:pt>
                <c:pt idx="19">
                  <c:v>-2.2842525999999998E-3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AA_pho_pat!$A$28</c:f>
              <c:strCache>
                <c:ptCount val="1"/>
                <c:pt idx="0">
                  <c:v>1A0Z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AA_pho_pat!$B$28:$U$28</c:f>
              <c:numCache>
                <c:formatCode>General</c:formatCode>
                <c:ptCount val="20"/>
                <c:pt idx="0">
                  <c:v>-3.3381639999999998E-3</c:v>
                </c:pt>
                <c:pt idx="1">
                  <c:v>-3.2790142999999999E-3</c:v>
                </c:pt>
                <c:pt idx="2">
                  <c:v>-3.0089854000000002E-3</c:v>
                </c:pt>
                <c:pt idx="3">
                  <c:v>-2.7949396E-3</c:v>
                </c:pt>
                <c:pt idx="4">
                  <c:v>-2.7320322000000002E-3</c:v>
                </c:pt>
                <c:pt idx="5">
                  <c:v>-2.5597224000000001E-3</c:v>
                </c:pt>
                <c:pt idx="6">
                  <c:v>-2.5298737E-3</c:v>
                </c:pt>
                <c:pt idx="7">
                  <c:v>-2.532776E-3</c:v>
                </c:pt>
                <c:pt idx="8">
                  <c:v>-2.4737172999999999E-3</c:v>
                </c:pt>
                <c:pt idx="9">
                  <c:v>-2.2944910000000001E-3</c:v>
                </c:pt>
                <c:pt idx="10">
                  <c:v>-2.3265667000000002E-3</c:v>
                </c:pt>
                <c:pt idx="11">
                  <c:v>-2.3103438000000001E-3</c:v>
                </c:pt>
                <c:pt idx="12">
                  <c:v>-2.1716502999999999E-3</c:v>
                </c:pt>
                <c:pt idx="13">
                  <c:v>-2.1606109000000002E-3</c:v>
                </c:pt>
                <c:pt idx="14">
                  <c:v>-2.1612536999999999E-3</c:v>
                </c:pt>
                <c:pt idx="15">
                  <c:v>-2.167857E-3</c:v>
                </c:pt>
                <c:pt idx="16">
                  <c:v>-2.1660453999999998E-3</c:v>
                </c:pt>
                <c:pt idx="17">
                  <c:v>-2.2032743E-3</c:v>
                </c:pt>
                <c:pt idx="18">
                  <c:v>-2.2708174999999998E-3</c:v>
                </c:pt>
                <c:pt idx="19">
                  <c:v>-2.2684073000000002E-3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AA_pho_pat!$A$29</c:f>
              <c:strCache>
                <c:ptCount val="1"/>
                <c:pt idx="0">
                  <c:v>1C7D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AA_pho_pat!$B$29:$U$29</c:f>
              <c:numCache>
                <c:formatCode>General</c:formatCode>
                <c:ptCount val="20"/>
                <c:pt idx="0">
                  <c:v>-3.2924991E-3</c:v>
                </c:pt>
                <c:pt idx="1">
                  <c:v>-3.2502961999999998E-3</c:v>
                </c:pt>
                <c:pt idx="2">
                  <c:v>-3.1648343000000002E-3</c:v>
                </c:pt>
                <c:pt idx="3">
                  <c:v>-3.0993936E-3</c:v>
                </c:pt>
                <c:pt idx="4">
                  <c:v>-3.2188454999999999E-3</c:v>
                </c:pt>
                <c:pt idx="5">
                  <c:v>-3.2181471999999998E-3</c:v>
                </c:pt>
                <c:pt idx="6">
                  <c:v>-3.4401035000000001E-3</c:v>
                </c:pt>
                <c:pt idx="7">
                  <c:v>-3.5450744999999998E-3</c:v>
                </c:pt>
                <c:pt idx="8">
                  <c:v>-3.5930341000000002E-3</c:v>
                </c:pt>
                <c:pt idx="9">
                  <c:v>-3.7568825999999998E-3</c:v>
                </c:pt>
                <c:pt idx="10">
                  <c:v>-3.5513451000000001E-3</c:v>
                </c:pt>
                <c:pt idx="11">
                  <c:v>-3.5615882000000001E-3</c:v>
                </c:pt>
                <c:pt idx="12">
                  <c:v>-3.6194511000000001E-3</c:v>
                </c:pt>
                <c:pt idx="13">
                  <c:v>-3.6045881000000002E-3</c:v>
                </c:pt>
                <c:pt idx="14">
                  <c:v>-3.5192403E-3</c:v>
                </c:pt>
                <c:pt idx="15">
                  <c:v>-3.5115120000000001E-3</c:v>
                </c:pt>
                <c:pt idx="16">
                  <c:v>-3.3716937000000001E-3</c:v>
                </c:pt>
                <c:pt idx="17">
                  <c:v>-3.3516239000000001E-3</c:v>
                </c:pt>
                <c:pt idx="18">
                  <c:v>-3.4160356000000002E-3</c:v>
                </c:pt>
                <c:pt idx="19">
                  <c:v>-3.4093470000000001E-3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AA_pho_pat!$A$30</c:f>
              <c:strCache>
                <c:ptCount val="1"/>
                <c:pt idx="0">
                  <c:v>1E7I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AA_pho_pat!$B$30:$U$30</c:f>
              <c:numCache>
                <c:formatCode>General</c:formatCode>
                <c:ptCount val="20"/>
                <c:pt idx="0">
                  <c:v>-2.8619876000000001E-3</c:v>
                </c:pt>
                <c:pt idx="1">
                  <c:v>-2.7424904999999999E-3</c:v>
                </c:pt>
                <c:pt idx="2">
                  <c:v>-2.4151462E-3</c:v>
                </c:pt>
                <c:pt idx="3">
                  <c:v>-2.2482920999999999E-3</c:v>
                </c:pt>
                <c:pt idx="4">
                  <c:v>-2.1600005999999998E-3</c:v>
                </c:pt>
                <c:pt idx="5">
                  <c:v>-1.9244307E-3</c:v>
                </c:pt>
                <c:pt idx="6">
                  <c:v>-1.8442426E-3</c:v>
                </c:pt>
                <c:pt idx="7">
                  <c:v>-1.8232255999999999E-3</c:v>
                </c:pt>
                <c:pt idx="8">
                  <c:v>-1.7665840000000001E-3</c:v>
                </c:pt>
                <c:pt idx="9">
                  <c:v>-1.6942531E-3</c:v>
                </c:pt>
                <c:pt idx="10">
                  <c:v>-1.9051076000000001E-3</c:v>
                </c:pt>
                <c:pt idx="11">
                  <c:v>-1.9570447E-3</c:v>
                </c:pt>
                <c:pt idx="12">
                  <c:v>-1.7990434000000001E-3</c:v>
                </c:pt>
                <c:pt idx="13">
                  <c:v>-1.7836417999999999E-3</c:v>
                </c:pt>
                <c:pt idx="14">
                  <c:v>-1.7833772999999999E-3</c:v>
                </c:pt>
                <c:pt idx="15">
                  <c:v>-1.8051311E-3</c:v>
                </c:pt>
                <c:pt idx="16">
                  <c:v>-1.790828E-3</c:v>
                </c:pt>
                <c:pt idx="17">
                  <c:v>-1.8501689E-3</c:v>
                </c:pt>
                <c:pt idx="18">
                  <c:v>-1.9331832000000001E-3</c:v>
                </c:pt>
                <c:pt idx="19">
                  <c:v>-1.9336482999999999E-3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AA_pho_pat!$A$31</c:f>
              <c:strCache>
                <c:ptCount val="1"/>
                <c:pt idx="0">
                  <c:v>1UOR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AA_pho_pat!$B$31:$U$31</c:f>
              <c:numCache>
                <c:formatCode>General</c:formatCode>
                <c:ptCount val="20"/>
                <c:pt idx="0">
                  <c:v>-3.0508114000000002E-3</c:v>
                </c:pt>
                <c:pt idx="1">
                  <c:v>-3.1409352000000001E-3</c:v>
                </c:pt>
                <c:pt idx="2">
                  <c:v>-3.1220216999999998E-3</c:v>
                </c:pt>
                <c:pt idx="3">
                  <c:v>-3.0691512000000001E-3</c:v>
                </c:pt>
                <c:pt idx="4">
                  <c:v>-3.0892566000000001E-3</c:v>
                </c:pt>
                <c:pt idx="5">
                  <c:v>-2.9360314000000001E-3</c:v>
                </c:pt>
                <c:pt idx="6">
                  <c:v>-3.0336615000000002E-3</c:v>
                </c:pt>
                <c:pt idx="7">
                  <c:v>-2.9905092000000002E-3</c:v>
                </c:pt>
                <c:pt idx="8">
                  <c:v>-2.9630835999999998E-3</c:v>
                </c:pt>
                <c:pt idx="9">
                  <c:v>-2.8976379000000001E-3</c:v>
                </c:pt>
                <c:pt idx="10">
                  <c:v>-2.9593754999999999E-3</c:v>
                </c:pt>
                <c:pt idx="11">
                  <c:v>-2.9814639E-3</c:v>
                </c:pt>
                <c:pt idx="12">
                  <c:v>-2.9471735000000002E-3</c:v>
                </c:pt>
                <c:pt idx="13">
                  <c:v>-3.0009667000000001E-3</c:v>
                </c:pt>
                <c:pt idx="14">
                  <c:v>-2.9605174999999999E-3</c:v>
                </c:pt>
                <c:pt idx="15">
                  <c:v>-3.0100092000000002E-3</c:v>
                </c:pt>
                <c:pt idx="16">
                  <c:v>-2.9051146000000001E-3</c:v>
                </c:pt>
                <c:pt idx="17">
                  <c:v>-2.9241244999999999E-3</c:v>
                </c:pt>
                <c:pt idx="18">
                  <c:v>-2.9273946E-3</c:v>
                </c:pt>
                <c:pt idx="19">
                  <c:v>-3.0067029999999999E-3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AA_pho_pat!$A$32</c:f>
              <c:strCache>
                <c:ptCount val="1"/>
                <c:pt idx="0">
                  <c:v>1E_78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AA_pho_pat!$B$32:$U$32</c:f>
              <c:numCache>
                <c:formatCode>General</c:formatCode>
                <c:ptCount val="20"/>
                <c:pt idx="0">
                  <c:v>-3.0177669000000002E-3</c:v>
                </c:pt>
                <c:pt idx="1">
                  <c:v>-2.9418374999999998E-3</c:v>
                </c:pt>
                <c:pt idx="2">
                  <c:v>-2.5084157999999998E-3</c:v>
                </c:pt>
                <c:pt idx="3">
                  <c:v>-2.1451438999999998E-3</c:v>
                </c:pt>
                <c:pt idx="4">
                  <c:v>-2.0880168000000001E-3</c:v>
                </c:pt>
                <c:pt idx="5">
                  <c:v>-1.9958661999999999E-3</c:v>
                </c:pt>
                <c:pt idx="6">
                  <c:v>-1.9375473000000001E-3</c:v>
                </c:pt>
                <c:pt idx="7">
                  <c:v>-1.8644467999999999E-3</c:v>
                </c:pt>
                <c:pt idx="8">
                  <c:v>-1.7673032000000001E-3</c:v>
                </c:pt>
                <c:pt idx="9">
                  <c:v>-1.5689598E-3</c:v>
                </c:pt>
                <c:pt idx="10">
                  <c:v>-1.5678554999999999E-3</c:v>
                </c:pt>
                <c:pt idx="11">
                  <c:v>-1.6276757999999999E-3</c:v>
                </c:pt>
                <c:pt idx="12">
                  <c:v>-1.4184652999999999E-3</c:v>
                </c:pt>
                <c:pt idx="13">
                  <c:v>-1.5383504999999999E-3</c:v>
                </c:pt>
                <c:pt idx="14">
                  <c:v>-1.4778501E-3</c:v>
                </c:pt>
                <c:pt idx="15">
                  <c:v>-1.6384721E-3</c:v>
                </c:pt>
                <c:pt idx="16">
                  <c:v>-1.6296202000000001E-3</c:v>
                </c:pt>
                <c:pt idx="17">
                  <c:v>-1.6873336E-3</c:v>
                </c:pt>
                <c:pt idx="18">
                  <c:v>-1.7667711999999999E-3</c:v>
                </c:pt>
                <c:pt idx="19">
                  <c:v>-1.7684082E-3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AA_pho_pat!$A$33</c:f>
              <c:strCache>
                <c:ptCount val="1"/>
                <c:pt idx="0">
                  <c:v>1AO6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AA_pho_pat!$B$33:$U$33</c:f>
              <c:numCache>
                <c:formatCode>General</c:formatCode>
                <c:ptCount val="20"/>
                <c:pt idx="0">
                  <c:v>-3.0354703999999999E-3</c:v>
                </c:pt>
                <c:pt idx="1">
                  <c:v>-2.8652623E-3</c:v>
                </c:pt>
                <c:pt idx="2">
                  <c:v>-2.5562687999999998E-3</c:v>
                </c:pt>
                <c:pt idx="3">
                  <c:v>-2.3380775999999998E-3</c:v>
                </c:pt>
                <c:pt idx="4">
                  <c:v>-2.3474569999999998E-3</c:v>
                </c:pt>
                <c:pt idx="5">
                  <c:v>-2.2430321999999999E-3</c:v>
                </c:pt>
                <c:pt idx="6">
                  <c:v>-2.3321692999999999E-3</c:v>
                </c:pt>
                <c:pt idx="7">
                  <c:v>-2.2640310000000001E-3</c:v>
                </c:pt>
                <c:pt idx="8">
                  <c:v>-2.1993641000000001E-3</c:v>
                </c:pt>
                <c:pt idx="9">
                  <c:v>-2.2454077999999999E-3</c:v>
                </c:pt>
                <c:pt idx="10">
                  <c:v>-2.5245440000000001E-3</c:v>
                </c:pt>
                <c:pt idx="11">
                  <c:v>-2.4877822000000001E-3</c:v>
                </c:pt>
                <c:pt idx="12">
                  <c:v>-2.3891879E-3</c:v>
                </c:pt>
                <c:pt idx="13">
                  <c:v>-2.5820703999999998E-3</c:v>
                </c:pt>
                <c:pt idx="14">
                  <c:v>-2.6864300000000001E-3</c:v>
                </c:pt>
                <c:pt idx="15">
                  <c:v>-2.4463178000000002E-3</c:v>
                </c:pt>
                <c:pt idx="16">
                  <c:v>-2.4659373000000002E-3</c:v>
                </c:pt>
                <c:pt idx="17">
                  <c:v>-2.5261664E-3</c:v>
                </c:pt>
                <c:pt idx="18">
                  <c:v>-2.5841838000000002E-3</c:v>
                </c:pt>
                <c:pt idx="19">
                  <c:v>-2.5825547000000002E-3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AA_pho_pat!$A$34</c:f>
              <c:strCache>
                <c:ptCount val="1"/>
                <c:pt idx="0">
                  <c:v>1BM0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AA_pho_pat!$B$34:$U$34</c:f>
              <c:numCache>
                <c:formatCode>General</c:formatCode>
                <c:ptCount val="20"/>
                <c:pt idx="0">
                  <c:v>-3.0444769999999999E-3</c:v>
                </c:pt>
                <c:pt idx="1">
                  <c:v>-2.8661037999999999E-3</c:v>
                </c:pt>
                <c:pt idx="2">
                  <c:v>-2.5545552000000001E-3</c:v>
                </c:pt>
                <c:pt idx="3">
                  <c:v>-2.3308955000000001E-3</c:v>
                </c:pt>
                <c:pt idx="4">
                  <c:v>-2.4042446E-3</c:v>
                </c:pt>
                <c:pt idx="5">
                  <c:v>-2.2962034999999999E-3</c:v>
                </c:pt>
                <c:pt idx="6">
                  <c:v>-2.3295350999999998E-3</c:v>
                </c:pt>
                <c:pt idx="7">
                  <c:v>-2.3564865999999999E-3</c:v>
                </c:pt>
                <c:pt idx="8">
                  <c:v>-2.2832283000000001E-3</c:v>
                </c:pt>
                <c:pt idx="9">
                  <c:v>-2.2947432000000002E-3</c:v>
                </c:pt>
                <c:pt idx="10">
                  <c:v>-2.1874212999999998E-3</c:v>
                </c:pt>
                <c:pt idx="11">
                  <c:v>-2.3009406999999998E-3</c:v>
                </c:pt>
                <c:pt idx="12">
                  <c:v>-2.3227871999999998E-3</c:v>
                </c:pt>
                <c:pt idx="13">
                  <c:v>-2.2628212E-3</c:v>
                </c:pt>
                <c:pt idx="14">
                  <c:v>-2.2257669E-3</c:v>
                </c:pt>
                <c:pt idx="15">
                  <c:v>-2.3095712999999999E-3</c:v>
                </c:pt>
                <c:pt idx="16">
                  <c:v>-2.3335122999999999E-3</c:v>
                </c:pt>
                <c:pt idx="17">
                  <c:v>-2.2273587999999999E-3</c:v>
                </c:pt>
                <c:pt idx="18">
                  <c:v>-2.3678686000000002E-3</c:v>
                </c:pt>
                <c:pt idx="19">
                  <c:v>-2.3678686000000002E-3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AA_pho_pat!$A$35</c:f>
              <c:strCache>
                <c:ptCount val="1"/>
                <c:pt idx="0">
                  <c:v>1IGY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AA_pho_pat!$B$35:$U$35</c:f>
              <c:numCache>
                <c:formatCode>General</c:formatCode>
                <c:ptCount val="20"/>
                <c:pt idx="0">
                  <c:v>-2.7090031999999998E-3</c:v>
                </c:pt>
                <c:pt idx="1">
                  <c:v>-2.6576695999999999E-3</c:v>
                </c:pt>
                <c:pt idx="2">
                  <c:v>-2.5870746000000002E-3</c:v>
                </c:pt>
                <c:pt idx="3">
                  <c:v>-2.4724600000000001E-3</c:v>
                </c:pt>
                <c:pt idx="4">
                  <c:v>-2.4319072000000001E-3</c:v>
                </c:pt>
                <c:pt idx="5">
                  <c:v>-2.2742215000000001E-3</c:v>
                </c:pt>
                <c:pt idx="6">
                  <c:v>-2.2633559999999998E-3</c:v>
                </c:pt>
                <c:pt idx="7">
                  <c:v>-2.2119866000000002E-3</c:v>
                </c:pt>
                <c:pt idx="8">
                  <c:v>-2.1587837999999999E-3</c:v>
                </c:pt>
                <c:pt idx="9">
                  <c:v>-2.0070096999999999E-3</c:v>
                </c:pt>
                <c:pt idx="10">
                  <c:v>-2.0954163999999998E-3</c:v>
                </c:pt>
                <c:pt idx="11">
                  <c:v>-2.0805950999999998E-3</c:v>
                </c:pt>
                <c:pt idx="12">
                  <c:v>-1.9893392000000002E-3</c:v>
                </c:pt>
                <c:pt idx="13">
                  <c:v>-1.9310968E-3</c:v>
                </c:pt>
                <c:pt idx="14">
                  <c:v>-1.8833083999999999E-3</c:v>
                </c:pt>
                <c:pt idx="15">
                  <c:v>-1.8718369999999999E-3</c:v>
                </c:pt>
                <c:pt idx="16">
                  <c:v>-1.8322165E-3</c:v>
                </c:pt>
                <c:pt idx="17">
                  <c:v>-1.8385713000000001E-3</c:v>
                </c:pt>
                <c:pt idx="18">
                  <c:v>-1.8271205E-3</c:v>
                </c:pt>
                <c:pt idx="19">
                  <c:v>-1.7937052000000001E-3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AA_pho_pat!$A$36</c:f>
              <c:strCache>
                <c:ptCount val="1"/>
                <c:pt idx="0">
                  <c:v>1IGT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AA_pho_pat!$B$36:$U$36</c:f>
              <c:numCache>
                <c:formatCode>General</c:formatCode>
                <c:ptCount val="20"/>
                <c:pt idx="0">
                  <c:v>-2.9867829000000002E-3</c:v>
                </c:pt>
                <c:pt idx="1">
                  <c:v>-3.0113719E-3</c:v>
                </c:pt>
                <c:pt idx="2">
                  <c:v>-2.9694528999999999E-3</c:v>
                </c:pt>
                <c:pt idx="3">
                  <c:v>-2.8412398E-3</c:v>
                </c:pt>
                <c:pt idx="4">
                  <c:v>-2.8390663E-3</c:v>
                </c:pt>
                <c:pt idx="5">
                  <c:v>-2.6836121000000002E-3</c:v>
                </c:pt>
                <c:pt idx="6">
                  <c:v>-2.6942631000000002E-3</c:v>
                </c:pt>
                <c:pt idx="7">
                  <c:v>-2.6131116000000002E-3</c:v>
                </c:pt>
                <c:pt idx="8">
                  <c:v>-2.5512887999999999E-3</c:v>
                </c:pt>
                <c:pt idx="9">
                  <c:v>-2.4586127E-3</c:v>
                </c:pt>
                <c:pt idx="10">
                  <c:v>-2.4759113E-3</c:v>
                </c:pt>
                <c:pt idx="11">
                  <c:v>-2.5024881999999998E-3</c:v>
                </c:pt>
                <c:pt idx="12">
                  <c:v>-2.4766104999999999E-3</c:v>
                </c:pt>
                <c:pt idx="13">
                  <c:v>-2.4447949E-3</c:v>
                </c:pt>
                <c:pt idx="14">
                  <c:v>-2.3836575000000001E-3</c:v>
                </c:pt>
                <c:pt idx="15">
                  <c:v>-2.3936231000000001E-3</c:v>
                </c:pt>
                <c:pt idx="16">
                  <c:v>-2.3710271E-3</c:v>
                </c:pt>
                <c:pt idx="17">
                  <c:v>-2.3735559000000002E-3</c:v>
                </c:pt>
                <c:pt idx="18">
                  <c:v>-2.3470288E-3</c:v>
                </c:pt>
                <c:pt idx="19">
                  <c:v>-2.3489613000000002E-3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AA_pho_pat!$A$37</c:f>
              <c:strCache>
                <c:ptCount val="1"/>
                <c:pt idx="0">
                  <c:v>1HZH</c:v>
                </c:pt>
              </c:strCache>
            </c:strRef>
          </c:tx>
          <c:xVal>
            <c:numRef>
              <c:f>AA_pho_pat!$B$2:$U$2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AA_pho_pat!$B$37:$U$37</c:f>
              <c:numCache>
                <c:formatCode>General</c:formatCode>
                <c:ptCount val="20"/>
                <c:pt idx="0">
                  <c:v>-2.9691552999999999E-3</c:v>
                </c:pt>
                <c:pt idx="1">
                  <c:v>-2.9384347E-3</c:v>
                </c:pt>
                <c:pt idx="2">
                  <c:v>-2.8425619999999999E-3</c:v>
                </c:pt>
                <c:pt idx="3">
                  <c:v>-2.7186021000000001E-3</c:v>
                </c:pt>
                <c:pt idx="4">
                  <c:v>-2.7424785999999998E-3</c:v>
                </c:pt>
                <c:pt idx="5">
                  <c:v>-2.6589977E-3</c:v>
                </c:pt>
                <c:pt idx="6">
                  <c:v>-2.7901702999999999E-3</c:v>
                </c:pt>
                <c:pt idx="7">
                  <c:v>-2.7928740999999999E-3</c:v>
                </c:pt>
                <c:pt idx="8">
                  <c:v>-2.8410346999999999E-3</c:v>
                </c:pt>
                <c:pt idx="9">
                  <c:v>-2.8494637999999998E-3</c:v>
                </c:pt>
                <c:pt idx="10">
                  <c:v>-2.8666665000000001E-3</c:v>
                </c:pt>
                <c:pt idx="11">
                  <c:v>-2.9170393999999999E-3</c:v>
                </c:pt>
                <c:pt idx="12">
                  <c:v>-2.9984057999999998E-3</c:v>
                </c:pt>
                <c:pt idx="13">
                  <c:v>-2.9967040999999998E-3</c:v>
                </c:pt>
                <c:pt idx="14">
                  <c:v>-2.9353489999999999E-3</c:v>
                </c:pt>
                <c:pt idx="15">
                  <c:v>-2.9705415999999999E-3</c:v>
                </c:pt>
                <c:pt idx="16">
                  <c:v>-2.9280698E-3</c:v>
                </c:pt>
                <c:pt idx="17">
                  <c:v>-2.9786438999999999E-3</c:v>
                </c:pt>
                <c:pt idx="18">
                  <c:v>-3.0251108E-3</c:v>
                </c:pt>
                <c:pt idx="19">
                  <c:v>-3.0434699999999999E-3</c:v>
                </c:pt>
              </c:numCache>
            </c:numRef>
          </c:yVal>
          <c:smooth val="1"/>
        </c:ser>
        <c:axId val="91932160"/>
        <c:axId val="91934080"/>
      </c:scatterChart>
      <c:valAx>
        <c:axId val="91932160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934080"/>
        <c:crosses val="autoZero"/>
        <c:crossBetween val="midCat"/>
      </c:valAx>
      <c:valAx>
        <c:axId val="91934080"/>
        <c:scaling>
          <c:orientation val="minMax"/>
        </c:scaling>
        <c:axPos val="l"/>
        <c:numFmt formatCode="General" sourceLinked="1"/>
        <c:tickLblPos val="nextTo"/>
        <c:crossAx val="919321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680730533683287"/>
          <c:y val="7.9861475648877231E-2"/>
          <c:w val="0.2996388888888889"/>
          <c:h val="0.83717191601049867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1A4V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AA_T_pho_den!$B$3:$U$3</c:f>
              <c:numCache>
                <c:formatCode>General</c:formatCode>
                <c:ptCount val="20"/>
                <c:pt idx="0">
                  <c:v>-3.7006513450054952E-3</c:v>
                </c:pt>
                <c:pt idx="1">
                  <c:v>-3.5405564820203696E-3</c:v>
                </c:pt>
                <c:pt idx="2">
                  <c:v>-3.2157389449207381E-3</c:v>
                </c:pt>
                <c:pt idx="3">
                  <c:v>-3.0541978464836235E-3</c:v>
                </c:pt>
                <c:pt idx="4">
                  <c:v>-2.9650344654555114E-3</c:v>
                </c:pt>
                <c:pt idx="5">
                  <c:v>-2.631931038031683E-3</c:v>
                </c:pt>
                <c:pt idx="6">
                  <c:v>-2.6946730875469439E-3</c:v>
                </c:pt>
                <c:pt idx="7">
                  <c:v>-2.4786204709786744E-3</c:v>
                </c:pt>
                <c:pt idx="8">
                  <c:v>-2.4056186040477532E-3</c:v>
                </c:pt>
                <c:pt idx="9">
                  <c:v>-2.3969587561831107E-3</c:v>
                </c:pt>
                <c:pt idx="10">
                  <c:v>-2.4196514284729911E-3</c:v>
                </c:pt>
                <c:pt idx="11">
                  <c:v>-2.4127039433943036E-3</c:v>
                </c:pt>
                <c:pt idx="12">
                  <c:v>-2.4230341622118374E-3</c:v>
                </c:pt>
                <c:pt idx="13">
                  <c:v>-2.261145221256779E-3</c:v>
                </c:pt>
                <c:pt idx="14">
                  <c:v>-2.2432247963578905E-3</c:v>
                </c:pt>
                <c:pt idx="15">
                  <c:v>-2.0587965883394114E-3</c:v>
                </c:pt>
                <c:pt idx="16">
                  <c:v>-1.9868054584753691E-3</c:v>
                </c:pt>
                <c:pt idx="17">
                  <c:v>-1.8764471423523602E-3</c:v>
                </c:pt>
                <c:pt idx="18">
                  <c:v>-1.9043803860760676E-3</c:v>
                </c:pt>
                <c:pt idx="19">
                  <c:v>-1.8102213810309348E-3</c:v>
                </c:pt>
              </c:numCache>
            </c:numRef>
          </c:yVal>
          <c:smooth val="1"/>
        </c:ser>
        <c:ser>
          <c:idx val="1"/>
          <c:order val="1"/>
          <c:tx>
            <c:v>1Y4F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AA_T_pho_den!$B$21:$U$21</c:f>
              <c:numCache>
                <c:formatCode>General</c:formatCode>
                <c:ptCount val="20"/>
                <c:pt idx="0">
                  <c:v>-2.4083686056635659E-3</c:v>
                </c:pt>
                <c:pt idx="1">
                  <c:v>-1.844031735488818E-3</c:v>
                </c:pt>
                <c:pt idx="2">
                  <c:v>-1.0962464871386811E-3</c:v>
                </c:pt>
                <c:pt idx="3">
                  <c:v>-7.8313578936232216E-4</c:v>
                </c:pt>
                <c:pt idx="4">
                  <c:v>-6.5032972447161969E-4</c:v>
                </c:pt>
                <c:pt idx="5">
                  <c:v>-5.2392252652554529E-4</c:v>
                </c:pt>
                <c:pt idx="6">
                  <c:v>-5.0346260401560011E-4</c:v>
                </c:pt>
                <c:pt idx="7">
                  <c:v>-4.7804013566801393E-4</c:v>
                </c:pt>
                <c:pt idx="8">
                  <c:v>-4.5668571181319662E-4</c:v>
                </c:pt>
                <c:pt idx="9">
                  <c:v>-4.3511325231941682E-4</c:v>
                </c:pt>
                <c:pt idx="10">
                  <c:v>-4.632252648165921E-4</c:v>
                </c:pt>
                <c:pt idx="11">
                  <c:v>-4.61139822192579E-4</c:v>
                </c:pt>
                <c:pt idx="12">
                  <c:v>-4.2297575470732275E-4</c:v>
                </c:pt>
                <c:pt idx="13">
                  <c:v>-4.1183642735420173E-4</c:v>
                </c:pt>
                <c:pt idx="14">
                  <c:v>-4.1355501845797286E-4</c:v>
                </c:pt>
                <c:pt idx="15">
                  <c:v>-3.9973036394342086E-4</c:v>
                </c:pt>
                <c:pt idx="16">
                  <c:v>-3.8453921095318747E-4</c:v>
                </c:pt>
                <c:pt idx="17">
                  <c:v>-3.7201470109425919E-4</c:v>
                </c:pt>
                <c:pt idx="18">
                  <c:v>-3.736885188434522E-4</c:v>
                </c:pt>
                <c:pt idx="19">
                  <c:v>-3.8164591371419421E-4</c:v>
                </c:pt>
              </c:numCache>
            </c:numRef>
          </c:yVal>
          <c:smooth val="1"/>
        </c:ser>
        <c:ser>
          <c:idx val="2"/>
          <c:order val="2"/>
          <c:tx>
            <c:v>1HZH</c:v>
          </c:tx>
          <c:spPr>
            <a:ln w="12700"/>
          </c:spPr>
          <c:marker>
            <c:spPr>
              <a:ln w="12700"/>
            </c:spPr>
          </c:marker>
          <c:xVal>
            <c:numRef>
              <c:f>AA_T_pho_den!$B$2:$U$2</c:f>
              <c:numCache>
                <c:formatCode>General</c:formatCode>
                <c:ptCount val="20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AA_T_pho_den!$B$37:$U$37</c:f>
              <c:numCache>
                <c:formatCode>General</c:formatCode>
                <c:ptCount val="20"/>
                <c:pt idx="0">
                  <c:v>-2.2085001196458483E-3</c:v>
                </c:pt>
                <c:pt idx="1">
                  <c:v>-2.0975359841425571E-3</c:v>
                </c:pt>
                <c:pt idx="2">
                  <c:v>-1.936609376056836E-3</c:v>
                </c:pt>
                <c:pt idx="3">
                  <c:v>-1.8813387754095009E-3</c:v>
                </c:pt>
                <c:pt idx="4">
                  <c:v>-1.898204279191086E-3</c:v>
                </c:pt>
                <c:pt idx="5">
                  <c:v>-1.8562168936349412E-3</c:v>
                </c:pt>
                <c:pt idx="6">
                  <c:v>-1.925177632467828E-3</c:v>
                </c:pt>
                <c:pt idx="7">
                  <c:v>-1.95373498307372E-3</c:v>
                </c:pt>
                <c:pt idx="8">
                  <c:v>-1.9784249182033843E-3</c:v>
                </c:pt>
                <c:pt idx="9">
                  <c:v>-1.9646000932197747E-3</c:v>
                </c:pt>
                <c:pt idx="10">
                  <c:v>-1.9735097021838571E-3</c:v>
                </c:pt>
                <c:pt idx="11">
                  <c:v>-1.987561838113207E-3</c:v>
                </c:pt>
                <c:pt idx="12">
                  <c:v>-2.0551854912364631E-3</c:v>
                </c:pt>
                <c:pt idx="13">
                  <c:v>-2.0503015502127881E-3</c:v>
                </c:pt>
                <c:pt idx="14">
                  <c:v>-1.9966264551608747E-3</c:v>
                </c:pt>
                <c:pt idx="15">
                  <c:v>-2.0057170934089986E-3</c:v>
                </c:pt>
                <c:pt idx="16">
                  <c:v>-2.0217958089396274E-3</c:v>
                </c:pt>
                <c:pt idx="17">
                  <c:v>-2.0872765509989486E-3</c:v>
                </c:pt>
                <c:pt idx="18">
                  <c:v>-2.0240052685615664E-3</c:v>
                </c:pt>
                <c:pt idx="19">
                  <c:v>-2.0338415464076641E-3</c:v>
                </c:pt>
              </c:numCache>
            </c:numRef>
          </c:yVal>
          <c:smooth val="1"/>
        </c:ser>
        <c:axId val="80225408"/>
        <c:axId val="80227328"/>
      </c:scatterChart>
      <c:valAx>
        <c:axId val="80225408"/>
        <c:scaling>
          <c:orientation val="minMax"/>
          <c:max val="21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227328"/>
        <c:crosses val="autoZero"/>
        <c:crossBetween val="midCat"/>
      </c:valAx>
      <c:valAx>
        <c:axId val="80227328"/>
        <c:scaling>
          <c:orientation val="minMax"/>
        </c:scaling>
        <c:axPos val="l"/>
        <c:numFmt formatCode="General" sourceLinked="1"/>
        <c:tickLblPos val="nextTo"/>
        <c:crossAx val="80225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750174978127723"/>
          <c:y val="0.37500109361329836"/>
          <c:w val="0.1437502187226597"/>
          <c:h val="0.2500007290755322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</xdr:colOff>
      <xdr:row>1</xdr:row>
      <xdr:rowOff>60325</xdr:rowOff>
    </xdr:from>
    <xdr:to>
      <xdr:col>28</xdr:col>
      <xdr:colOff>358775</xdr:colOff>
      <xdr:row>15</xdr:row>
      <xdr:rowOff>136525</xdr:rowOff>
    </xdr:to>
    <xdr:graphicFrame macro="">
      <xdr:nvGraphicFramePr>
        <xdr:cNvPr id="20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66674</xdr:colOff>
      <xdr:row>15</xdr:row>
      <xdr:rowOff>174624</xdr:rowOff>
    </xdr:from>
    <xdr:to>
      <xdr:col>30</xdr:col>
      <xdr:colOff>571499</xdr:colOff>
      <xdr:row>36</xdr:row>
      <xdr:rowOff>190499</xdr:rowOff>
    </xdr:to>
    <xdr:graphicFrame macro="">
      <xdr:nvGraphicFramePr>
        <xdr:cNvPr id="20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79375</xdr:colOff>
      <xdr:row>1</xdr:row>
      <xdr:rowOff>47625</xdr:rowOff>
    </xdr:from>
    <xdr:to>
      <xdr:col>28</xdr:col>
      <xdr:colOff>384175</xdr:colOff>
      <xdr:row>15</xdr:row>
      <xdr:rowOff>123825</xdr:rowOff>
    </xdr:to>
    <xdr:graphicFrame macro="">
      <xdr:nvGraphicFramePr>
        <xdr:cNvPr id="297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92074</xdr:colOff>
      <xdr:row>15</xdr:row>
      <xdr:rowOff>187324</xdr:rowOff>
    </xdr:from>
    <xdr:to>
      <xdr:col>30</xdr:col>
      <xdr:colOff>596899</xdr:colOff>
      <xdr:row>36</xdr:row>
      <xdr:rowOff>190499</xdr:rowOff>
    </xdr:to>
    <xdr:graphicFrame macro="">
      <xdr:nvGraphicFramePr>
        <xdr:cNvPr id="297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</xdr:colOff>
      <xdr:row>1</xdr:row>
      <xdr:rowOff>34925</xdr:rowOff>
    </xdr:from>
    <xdr:to>
      <xdr:col>28</xdr:col>
      <xdr:colOff>358775</xdr:colOff>
      <xdr:row>15</xdr:row>
      <xdr:rowOff>111125</xdr:rowOff>
    </xdr:to>
    <xdr:graphicFrame macro="">
      <xdr:nvGraphicFramePr>
        <xdr:cNvPr id="327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66674</xdr:colOff>
      <xdr:row>15</xdr:row>
      <xdr:rowOff>174624</xdr:rowOff>
    </xdr:from>
    <xdr:to>
      <xdr:col>31</xdr:col>
      <xdr:colOff>12699</xdr:colOff>
      <xdr:row>36</xdr:row>
      <xdr:rowOff>190499</xdr:rowOff>
    </xdr:to>
    <xdr:graphicFrame macro="">
      <xdr:nvGraphicFramePr>
        <xdr:cNvPr id="327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1</xdr:row>
      <xdr:rowOff>60325</xdr:rowOff>
    </xdr:from>
    <xdr:to>
      <xdr:col>28</xdr:col>
      <xdr:colOff>371475</xdr:colOff>
      <xdr:row>15</xdr:row>
      <xdr:rowOff>136525</xdr:rowOff>
    </xdr:to>
    <xdr:graphicFrame macro="">
      <xdr:nvGraphicFramePr>
        <xdr:cNvPr id="358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79374</xdr:colOff>
      <xdr:row>15</xdr:row>
      <xdr:rowOff>174624</xdr:rowOff>
    </xdr:from>
    <xdr:to>
      <xdr:col>30</xdr:col>
      <xdr:colOff>609599</xdr:colOff>
      <xdr:row>36</xdr:row>
      <xdr:rowOff>177799</xdr:rowOff>
    </xdr:to>
    <xdr:graphicFrame macro="">
      <xdr:nvGraphicFramePr>
        <xdr:cNvPr id="358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</xdr:colOff>
      <xdr:row>1</xdr:row>
      <xdr:rowOff>60325</xdr:rowOff>
    </xdr:from>
    <xdr:to>
      <xdr:col>28</xdr:col>
      <xdr:colOff>358775</xdr:colOff>
      <xdr:row>15</xdr:row>
      <xdr:rowOff>136525</xdr:rowOff>
    </xdr:to>
    <xdr:graphicFrame macro="">
      <xdr:nvGraphicFramePr>
        <xdr:cNvPr id="389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66674</xdr:colOff>
      <xdr:row>15</xdr:row>
      <xdr:rowOff>187324</xdr:rowOff>
    </xdr:from>
    <xdr:to>
      <xdr:col>30</xdr:col>
      <xdr:colOff>596899</xdr:colOff>
      <xdr:row>36</xdr:row>
      <xdr:rowOff>177799</xdr:rowOff>
    </xdr:to>
    <xdr:graphicFrame macro="">
      <xdr:nvGraphicFramePr>
        <xdr:cNvPr id="389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</xdr:colOff>
      <xdr:row>1</xdr:row>
      <xdr:rowOff>47625</xdr:rowOff>
    </xdr:from>
    <xdr:to>
      <xdr:col>28</xdr:col>
      <xdr:colOff>358775</xdr:colOff>
      <xdr:row>15</xdr:row>
      <xdr:rowOff>123825</xdr:rowOff>
    </xdr:to>
    <xdr:graphicFrame macro="">
      <xdr:nvGraphicFramePr>
        <xdr:cNvPr id="4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53974</xdr:colOff>
      <xdr:row>16</xdr:row>
      <xdr:rowOff>22224</xdr:rowOff>
    </xdr:from>
    <xdr:to>
      <xdr:col>30</xdr:col>
      <xdr:colOff>584199</xdr:colOff>
      <xdr:row>36</xdr:row>
      <xdr:rowOff>190499</xdr:rowOff>
    </xdr:to>
    <xdr:graphicFrame macro="">
      <xdr:nvGraphicFramePr>
        <xdr:cNvPr id="420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</xdr:colOff>
      <xdr:row>1</xdr:row>
      <xdr:rowOff>34925</xdr:rowOff>
    </xdr:from>
    <xdr:to>
      <xdr:col>28</xdr:col>
      <xdr:colOff>358775</xdr:colOff>
      <xdr:row>15</xdr:row>
      <xdr:rowOff>111125</xdr:rowOff>
    </xdr:to>
    <xdr:graphicFrame macro="">
      <xdr:nvGraphicFramePr>
        <xdr:cNvPr id="45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79374</xdr:colOff>
      <xdr:row>15</xdr:row>
      <xdr:rowOff>187324</xdr:rowOff>
    </xdr:from>
    <xdr:to>
      <xdr:col>31</xdr:col>
      <xdr:colOff>25399</xdr:colOff>
      <xdr:row>37</xdr:row>
      <xdr:rowOff>12699</xdr:rowOff>
    </xdr:to>
    <xdr:graphicFrame macro="">
      <xdr:nvGraphicFramePr>
        <xdr:cNvPr id="45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1</xdr:row>
      <xdr:rowOff>47625</xdr:rowOff>
    </xdr:from>
    <xdr:to>
      <xdr:col>28</xdr:col>
      <xdr:colOff>371475</xdr:colOff>
      <xdr:row>15</xdr:row>
      <xdr:rowOff>123825</xdr:rowOff>
    </xdr:to>
    <xdr:graphicFrame macro="">
      <xdr:nvGraphicFramePr>
        <xdr:cNvPr id="48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92074</xdr:colOff>
      <xdr:row>15</xdr:row>
      <xdr:rowOff>187324</xdr:rowOff>
    </xdr:from>
    <xdr:to>
      <xdr:col>30</xdr:col>
      <xdr:colOff>596899</xdr:colOff>
      <xdr:row>36</xdr:row>
      <xdr:rowOff>165099</xdr:rowOff>
    </xdr:to>
    <xdr:graphicFrame macro="">
      <xdr:nvGraphicFramePr>
        <xdr:cNvPr id="48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79375</xdr:colOff>
      <xdr:row>1</xdr:row>
      <xdr:rowOff>47625</xdr:rowOff>
    </xdr:from>
    <xdr:to>
      <xdr:col>28</xdr:col>
      <xdr:colOff>384175</xdr:colOff>
      <xdr:row>15</xdr:row>
      <xdr:rowOff>123825</xdr:rowOff>
    </xdr:to>
    <xdr:graphicFrame macro="">
      <xdr:nvGraphicFramePr>
        <xdr:cNvPr id="51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79374</xdr:colOff>
      <xdr:row>15</xdr:row>
      <xdr:rowOff>174624</xdr:rowOff>
    </xdr:from>
    <xdr:to>
      <xdr:col>30</xdr:col>
      <xdr:colOff>596899</xdr:colOff>
      <xdr:row>36</xdr:row>
      <xdr:rowOff>177799</xdr:rowOff>
    </xdr:to>
    <xdr:graphicFrame macro="">
      <xdr:nvGraphicFramePr>
        <xdr:cNvPr id="51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79375</xdr:colOff>
      <xdr:row>1</xdr:row>
      <xdr:rowOff>60325</xdr:rowOff>
    </xdr:from>
    <xdr:to>
      <xdr:col>28</xdr:col>
      <xdr:colOff>384175</xdr:colOff>
      <xdr:row>15</xdr:row>
      <xdr:rowOff>136525</xdr:rowOff>
    </xdr:to>
    <xdr:graphicFrame macro="">
      <xdr:nvGraphicFramePr>
        <xdr:cNvPr id="105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92074</xdr:colOff>
      <xdr:row>16</xdr:row>
      <xdr:rowOff>22224</xdr:rowOff>
    </xdr:from>
    <xdr:to>
      <xdr:col>31</xdr:col>
      <xdr:colOff>25399</xdr:colOff>
      <xdr:row>36</xdr:row>
      <xdr:rowOff>165099</xdr:rowOff>
    </xdr:to>
    <xdr:graphicFrame macro="">
      <xdr:nvGraphicFramePr>
        <xdr:cNvPr id="1054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104775</xdr:colOff>
      <xdr:row>1</xdr:row>
      <xdr:rowOff>60325</xdr:rowOff>
    </xdr:from>
    <xdr:to>
      <xdr:col>28</xdr:col>
      <xdr:colOff>409575</xdr:colOff>
      <xdr:row>15</xdr:row>
      <xdr:rowOff>136525</xdr:rowOff>
    </xdr:to>
    <xdr:graphicFrame macro="">
      <xdr:nvGraphicFramePr>
        <xdr:cNvPr id="108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117474</xdr:colOff>
      <xdr:row>16</xdr:row>
      <xdr:rowOff>22224</xdr:rowOff>
    </xdr:from>
    <xdr:to>
      <xdr:col>30</xdr:col>
      <xdr:colOff>596899</xdr:colOff>
      <xdr:row>36</xdr:row>
      <xdr:rowOff>177799</xdr:rowOff>
    </xdr:to>
    <xdr:graphicFrame macro="">
      <xdr:nvGraphicFramePr>
        <xdr:cNvPr id="1085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1</xdr:row>
      <xdr:rowOff>47625</xdr:rowOff>
    </xdr:from>
    <xdr:to>
      <xdr:col>28</xdr:col>
      <xdr:colOff>371475</xdr:colOff>
      <xdr:row>15</xdr:row>
      <xdr:rowOff>123825</xdr:rowOff>
    </xdr:to>
    <xdr:graphicFrame macro="">
      <xdr:nvGraphicFramePr>
        <xdr:cNvPr id="5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79374</xdr:colOff>
      <xdr:row>15</xdr:row>
      <xdr:rowOff>187324</xdr:rowOff>
    </xdr:from>
    <xdr:to>
      <xdr:col>30</xdr:col>
      <xdr:colOff>609599</xdr:colOff>
      <xdr:row>36</xdr:row>
      <xdr:rowOff>165099</xdr:rowOff>
    </xdr:to>
    <xdr:graphicFrame macro="">
      <xdr:nvGraphicFramePr>
        <xdr:cNvPr id="51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79375</xdr:colOff>
      <xdr:row>1</xdr:row>
      <xdr:rowOff>47625</xdr:rowOff>
    </xdr:from>
    <xdr:to>
      <xdr:col>28</xdr:col>
      <xdr:colOff>384175</xdr:colOff>
      <xdr:row>15</xdr:row>
      <xdr:rowOff>123825</xdr:rowOff>
    </xdr:to>
    <xdr:graphicFrame macro="">
      <xdr:nvGraphicFramePr>
        <xdr:cNvPr id="1116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104774</xdr:colOff>
      <xdr:row>15</xdr:row>
      <xdr:rowOff>187324</xdr:rowOff>
    </xdr:from>
    <xdr:to>
      <xdr:col>30</xdr:col>
      <xdr:colOff>596899</xdr:colOff>
      <xdr:row>36</xdr:row>
      <xdr:rowOff>165099</xdr:rowOff>
    </xdr:to>
    <xdr:graphicFrame macro="">
      <xdr:nvGraphicFramePr>
        <xdr:cNvPr id="1116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1</xdr:row>
      <xdr:rowOff>60325</xdr:rowOff>
    </xdr:from>
    <xdr:to>
      <xdr:col>28</xdr:col>
      <xdr:colOff>371475</xdr:colOff>
      <xdr:row>15</xdr:row>
      <xdr:rowOff>136525</xdr:rowOff>
    </xdr:to>
    <xdr:graphicFrame macro="">
      <xdr:nvGraphicFramePr>
        <xdr:cNvPr id="1147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92074</xdr:colOff>
      <xdr:row>16</xdr:row>
      <xdr:rowOff>9524</xdr:rowOff>
    </xdr:from>
    <xdr:to>
      <xdr:col>30</xdr:col>
      <xdr:colOff>596899</xdr:colOff>
      <xdr:row>36</xdr:row>
      <xdr:rowOff>177799</xdr:rowOff>
    </xdr:to>
    <xdr:graphicFrame macro="">
      <xdr:nvGraphicFramePr>
        <xdr:cNvPr id="1147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92075</xdr:colOff>
      <xdr:row>1</xdr:row>
      <xdr:rowOff>60325</xdr:rowOff>
    </xdr:from>
    <xdr:to>
      <xdr:col>28</xdr:col>
      <xdr:colOff>396875</xdr:colOff>
      <xdr:row>15</xdr:row>
      <xdr:rowOff>136525</xdr:rowOff>
    </xdr:to>
    <xdr:graphicFrame macro="">
      <xdr:nvGraphicFramePr>
        <xdr:cNvPr id="1177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104774</xdr:colOff>
      <xdr:row>16</xdr:row>
      <xdr:rowOff>34924</xdr:rowOff>
    </xdr:from>
    <xdr:to>
      <xdr:col>31</xdr:col>
      <xdr:colOff>12699</xdr:colOff>
      <xdr:row>36</xdr:row>
      <xdr:rowOff>165099</xdr:rowOff>
    </xdr:to>
    <xdr:graphicFrame macro="">
      <xdr:nvGraphicFramePr>
        <xdr:cNvPr id="1177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79375</xdr:colOff>
      <xdr:row>1</xdr:row>
      <xdr:rowOff>34925</xdr:rowOff>
    </xdr:from>
    <xdr:to>
      <xdr:col>28</xdr:col>
      <xdr:colOff>384175</xdr:colOff>
      <xdr:row>15</xdr:row>
      <xdr:rowOff>111125</xdr:rowOff>
    </xdr:to>
    <xdr:graphicFrame macro="">
      <xdr:nvGraphicFramePr>
        <xdr:cNvPr id="1208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92074</xdr:colOff>
      <xdr:row>15</xdr:row>
      <xdr:rowOff>161924</xdr:rowOff>
    </xdr:from>
    <xdr:to>
      <xdr:col>30</xdr:col>
      <xdr:colOff>596899</xdr:colOff>
      <xdr:row>36</xdr:row>
      <xdr:rowOff>190499</xdr:rowOff>
    </xdr:to>
    <xdr:graphicFrame macro="">
      <xdr:nvGraphicFramePr>
        <xdr:cNvPr id="1208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117475</xdr:colOff>
      <xdr:row>1</xdr:row>
      <xdr:rowOff>85725</xdr:rowOff>
    </xdr:from>
    <xdr:to>
      <xdr:col>28</xdr:col>
      <xdr:colOff>422275</xdr:colOff>
      <xdr:row>15</xdr:row>
      <xdr:rowOff>161925</xdr:rowOff>
    </xdr:to>
    <xdr:graphicFrame macro="">
      <xdr:nvGraphicFramePr>
        <xdr:cNvPr id="1239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130174</xdr:colOff>
      <xdr:row>16</xdr:row>
      <xdr:rowOff>60324</xdr:rowOff>
    </xdr:from>
    <xdr:to>
      <xdr:col>30</xdr:col>
      <xdr:colOff>596899</xdr:colOff>
      <xdr:row>36</xdr:row>
      <xdr:rowOff>165099</xdr:rowOff>
    </xdr:to>
    <xdr:graphicFrame macro="">
      <xdr:nvGraphicFramePr>
        <xdr:cNvPr id="1239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79375</xdr:colOff>
      <xdr:row>1</xdr:row>
      <xdr:rowOff>73025</xdr:rowOff>
    </xdr:from>
    <xdr:to>
      <xdr:col>28</xdr:col>
      <xdr:colOff>384175</xdr:colOff>
      <xdr:row>15</xdr:row>
      <xdr:rowOff>149225</xdr:rowOff>
    </xdr:to>
    <xdr:graphicFrame macro="">
      <xdr:nvGraphicFramePr>
        <xdr:cNvPr id="1269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104774</xdr:colOff>
      <xdr:row>16</xdr:row>
      <xdr:rowOff>47624</xdr:rowOff>
    </xdr:from>
    <xdr:to>
      <xdr:col>30</xdr:col>
      <xdr:colOff>596899</xdr:colOff>
      <xdr:row>36</xdr:row>
      <xdr:rowOff>177799</xdr:rowOff>
    </xdr:to>
    <xdr:graphicFrame macro="">
      <xdr:nvGraphicFramePr>
        <xdr:cNvPr id="1269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79375</xdr:colOff>
      <xdr:row>1</xdr:row>
      <xdr:rowOff>47625</xdr:rowOff>
    </xdr:from>
    <xdr:to>
      <xdr:col>28</xdr:col>
      <xdr:colOff>384175</xdr:colOff>
      <xdr:row>15</xdr:row>
      <xdr:rowOff>123825</xdr:rowOff>
    </xdr:to>
    <xdr:graphicFrame macro="">
      <xdr:nvGraphicFramePr>
        <xdr:cNvPr id="1300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104774</xdr:colOff>
      <xdr:row>15</xdr:row>
      <xdr:rowOff>161924</xdr:rowOff>
    </xdr:from>
    <xdr:to>
      <xdr:col>30</xdr:col>
      <xdr:colOff>609599</xdr:colOff>
      <xdr:row>37</xdr:row>
      <xdr:rowOff>25399</xdr:rowOff>
    </xdr:to>
    <xdr:graphicFrame macro="">
      <xdr:nvGraphicFramePr>
        <xdr:cNvPr id="1300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92075</xdr:colOff>
      <xdr:row>1</xdr:row>
      <xdr:rowOff>73025</xdr:rowOff>
    </xdr:from>
    <xdr:to>
      <xdr:col>28</xdr:col>
      <xdr:colOff>396875</xdr:colOff>
      <xdr:row>15</xdr:row>
      <xdr:rowOff>149225</xdr:rowOff>
    </xdr:to>
    <xdr:graphicFrame macro="">
      <xdr:nvGraphicFramePr>
        <xdr:cNvPr id="133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117474</xdr:colOff>
      <xdr:row>15</xdr:row>
      <xdr:rowOff>187324</xdr:rowOff>
    </xdr:from>
    <xdr:to>
      <xdr:col>30</xdr:col>
      <xdr:colOff>596899</xdr:colOff>
      <xdr:row>36</xdr:row>
      <xdr:rowOff>177799</xdr:rowOff>
    </xdr:to>
    <xdr:graphicFrame macro="">
      <xdr:nvGraphicFramePr>
        <xdr:cNvPr id="1331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79375</xdr:colOff>
      <xdr:row>1</xdr:row>
      <xdr:rowOff>47625</xdr:rowOff>
    </xdr:from>
    <xdr:to>
      <xdr:col>28</xdr:col>
      <xdr:colOff>384175</xdr:colOff>
      <xdr:row>15</xdr:row>
      <xdr:rowOff>123825</xdr:rowOff>
    </xdr:to>
    <xdr:graphicFrame macro="">
      <xdr:nvGraphicFramePr>
        <xdr:cNvPr id="136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104774</xdr:colOff>
      <xdr:row>15</xdr:row>
      <xdr:rowOff>161924</xdr:rowOff>
    </xdr:from>
    <xdr:to>
      <xdr:col>30</xdr:col>
      <xdr:colOff>571499</xdr:colOff>
      <xdr:row>36</xdr:row>
      <xdr:rowOff>177799</xdr:rowOff>
    </xdr:to>
    <xdr:graphicFrame macro="">
      <xdr:nvGraphicFramePr>
        <xdr:cNvPr id="136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</xdr:colOff>
      <xdr:row>1</xdr:row>
      <xdr:rowOff>60325</xdr:rowOff>
    </xdr:from>
    <xdr:to>
      <xdr:col>28</xdr:col>
      <xdr:colOff>358775</xdr:colOff>
      <xdr:row>15</xdr:row>
      <xdr:rowOff>136525</xdr:rowOff>
    </xdr:to>
    <xdr:graphicFrame macro="">
      <xdr:nvGraphicFramePr>
        <xdr:cNvPr id="139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92074</xdr:colOff>
      <xdr:row>16</xdr:row>
      <xdr:rowOff>9524</xdr:rowOff>
    </xdr:from>
    <xdr:to>
      <xdr:col>30</xdr:col>
      <xdr:colOff>609599</xdr:colOff>
      <xdr:row>37</xdr:row>
      <xdr:rowOff>25399</xdr:rowOff>
    </xdr:to>
    <xdr:graphicFrame macro="">
      <xdr:nvGraphicFramePr>
        <xdr:cNvPr id="1392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1</xdr:row>
      <xdr:rowOff>60325</xdr:rowOff>
    </xdr:from>
    <xdr:to>
      <xdr:col>28</xdr:col>
      <xdr:colOff>371475</xdr:colOff>
      <xdr:row>15</xdr:row>
      <xdr:rowOff>136525</xdr:rowOff>
    </xdr:to>
    <xdr:graphicFrame macro="">
      <xdr:nvGraphicFramePr>
        <xdr:cNvPr id="8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92074</xdr:colOff>
      <xdr:row>16</xdr:row>
      <xdr:rowOff>9524</xdr:rowOff>
    </xdr:from>
    <xdr:to>
      <xdr:col>31</xdr:col>
      <xdr:colOff>25399</xdr:colOff>
      <xdr:row>37</xdr:row>
      <xdr:rowOff>25399</xdr:rowOff>
    </xdr:to>
    <xdr:graphicFrame macro="">
      <xdr:nvGraphicFramePr>
        <xdr:cNvPr id="8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1</xdr:row>
      <xdr:rowOff>22225</xdr:rowOff>
    </xdr:from>
    <xdr:to>
      <xdr:col>28</xdr:col>
      <xdr:colOff>371475</xdr:colOff>
      <xdr:row>15</xdr:row>
      <xdr:rowOff>98425</xdr:rowOff>
    </xdr:to>
    <xdr:graphicFrame macro="">
      <xdr:nvGraphicFramePr>
        <xdr:cNvPr id="142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79374</xdr:colOff>
      <xdr:row>16</xdr:row>
      <xdr:rowOff>22224</xdr:rowOff>
    </xdr:from>
    <xdr:to>
      <xdr:col>30</xdr:col>
      <xdr:colOff>596899</xdr:colOff>
      <xdr:row>36</xdr:row>
      <xdr:rowOff>177799</xdr:rowOff>
    </xdr:to>
    <xdr:graphicFrame macro="">
      <xdr:nvGraphicFramePr>
        <xdr:cNvPr id="1423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79375</xdr:colOff>
      <xdr:row>1</xdr:row>
      <xdr:rowOff>60325</xdr:rowOff>
    </xdr:from>
    <xdr:to>
      <xdr:col>28</xdr:col>
      <xdr:colOff>384175</xdr:colOff>
      <xdr:row>15</xdr:row>
      <xdr:rowOff>136525</xdr:rowOff>
    </xdr:to>
    <xdr:graphicFrame macro="">
      <xdr:nvGraphicFramePr>
        <xdr:cNvPr id="1454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92074</xdr:colOff>
      <xdr:row>16</xdr:row>
      <xdr:rowOff>34924</xdr:rowOff>
    </xdr:from>
    <xdr:to>
      <xdr:col>31</xdr:col>
      <xdr:colOff>12699</xdr:colOff>
      <xdr:row>36</xdr:row>
      <xdr:rowOff>177799</xdr:rowOff>
    </xdr:to>
    <xdr:graphicFrame macro="">
      <xdr:nvGraphicFramePr>
        <xdr:cNvPr id="1454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92075</xdr:colOff>
      <xdr:row>1</xdr:row>
      <xdr:rowOff>34925</xdr:rowOff>
    </xdr:from>
    <xdr:to>
      <xdr:col>28</xdr:col>
      <xdr:colOff>396875</xdr:colOff>
      <xdr:row>15</xdr:row>
      <xdr:rowOff>111125</xdr:rowOff>
    </xdr:to>
    <xdr:graphicFrame macro="">
      <xdr:nvGraphicFramePr>
        <xdr:cNvPr id="1484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92074</xdr:colOff>
      <xdr:row>16</xdr:row>
      <xdr:rowOff>9524</xdr:rowOff>
    </xdr:from>
    <xdr:to>
      <xdr:col>30</xdr:col>
      <xdr:colOff>596899</xdr:colOff>
      <xdr:row>36</xdr:row>
      <xdr:rowOff>165099</xdr:rowOff>
    </xdr:to>
    <xdr:graphicFrame macro="">
      <xdr:nvGraphicFramePr>
        <xdr:cNvPr id="1484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</xdr:colOff>
      <xdr:row>1</xdr:row>
      <xdr:rowOff>60325</xdr:rowOff>
    </xdr:from>
    <xdr:to>
      <xdr:col>28</xdr:col>
      <xdr:colOff>358775</xdr:colOff>
      <xdr:row>15</xdr:row>
      <xdr:rowOff>136525</xdr:rowOff>
    </xdr:to>
    <xdr:graphicFrame macro="">
      <xdr:nvGraphicFramePr>
        <xdr:cNvPr id="11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92074</xdr:colOff>
      <xdr:row>16</xdr:row>
      <xdr:rowOff>22224</xdr:rowOff>
    </xdr:from>
    <xdr:to>
      <xdr:col>30</xdr:col>
      <xdr:colOff>596899</xdr:colOff>
      <xdr:row>36</xdr:row>
      <xdr:rowOff>165099</xdr:rowOff>
    </xdr:to>
    <xdr:graphicFrame macro="">
      <xdr:nvGraphicFramePr>
        <xdr:cNvPr id="112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</xdr:colOff>
      <xdr:row>1</xdr:row>
      <xdr:rowOff>60325</xdr:rowOff>
    </xdr:from>
    <xdr:to>
      <xdr:col>28</xdr:col>
      <xdr:colOff>358775</xdr:colOff>
      <xdr:row>15</xdr:row>
      <xdr:rowOff>136525</xdr:rowOff>
    </xdr:to>
    <xdr:graphicFrame macro="">
      <xdr:nvGraphicFramePr>
        <xdr:cNvPr id="14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53975</xdr:colOff>
      <xdr:row>16</xdr:row>
      <xdr:rowOff>47624</xdr:rowOff>
    </xdr:from>
    <xdr:to>
      <xdr:col>31</xdr:col>
      <xdr:colOff>50801</xdr:colOff>
      <xdr:row>36</xdr:row>
      <xdr:rowOff>190499</xdr:rowOff>
    </xdr:to>
    <xdr:graphicFrame macro="">
      <xdr:nvGraphicFramePr>
        <xdr:cNvPr id="143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92075</xdr:colOff>
      <xdr:row>1</xdr:row>
      <xdr:rowOff>60325</xdr:rowOff>
    </xdr:from>
    <xdr:to>
      <xdr:col>28</xdr:col>
      <xdr:colOff>396875</xdr:colOff>
      <xdr:row>15</xdr:row>
      <xdr:rowOff>136525</xdr:rowOff>
    </xdr:to>
    <xdr:graphicFrame macro="">
      <xdr:nvGraphicFramePr>
        <xdr:cNvPr id="174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79374</xdr:colOff>
      <xdr:row>16</xdr:row>
      <xdr:rowOff>22224</xdr:rowOff>
    </xdr:from>
    <xdr:to>
      <xdr:col>30</xdr:col>
      <xdr:colOff>609599</xdr:colOff>
      <xdr:row>36</xdr:row>
      <xdr:rowOff>190499</xdr:rowOff>
    </xdr:to>
    <xdr:graphicFrame macro="">
      <xdr:nvGraphicFramePr>
        <xdr:cNvPr id="174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1</xdr:row>
      <xdr:rowOff>34925</xdr:rowOff>
    </xdr:from>
    <xdr:to>
      <xdr:col>28</xdr:col>
      <xdr:colOff>371475</xdr:colOff>
      <xdr:row>15</xdr:row>
      <xdr:rowOff>111125</xdr:rowOff>
    </xdr:to>
    <xdr:graphicFrame macro="">
      <xdr:nvGraphicFramePr>
        <xdr:cNvPr id="204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79374</xdr:colOff>
      <xdr:row>16</xdr:row>
      <xdr:rowOff>22224</xdr:rowOff>
    </xdr:from>
    <xdr:to>
      <xdr:col>30</xdr:col>
      <xdr:colOff>584199</xdr:colOff>
      <xdr:row>36</xdr:row>
      <xdr:rowOff>165099</xdr:rowOff>
    </xdr:to>
    <xdr:graphicFrame macro="">
      <xdr:nvGraphicFramePr>
        <xdr:cNvPr id="204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1</xdr:row>
      <xdr:rowOff>60325</xdr:rowOff>
    </xdr:from>
    <xdr:to>
      <xdr:col>28</xdr:col>
      <xdr:colOff>371475</xdr:colOff>
      <xdr:row>15</xdr:row>
      <xdr:rowOff>136525</xdr:rowOff>
    </xdr:to>
    <xdr:graphicFrame macro="">
      <xdr:nvGraphicFramePr>
        <xdr:cNvPr id="235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79374</xdr:colOff>
      <xdr:row>16</xdr:row>
      <xdr:rowOff>34924</xdr:rowOff>
    </xdr:from>
    <xdr:to>
      <xdr:col>30</xdr:col>
      <xdr:colOff>596899</xdr:colOff>
      <xdr:row>36</xdr:row>
      <xdr:rowOff>165099</xdr:rowOff>
    </xdr:to>
    <xdr:graphicFrame macro="">
      <xdr:nvGraphicFramePr>
        <xdr:cNvPr id="235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1</xdr:row>
      <xdr:rowOff>34925</xdr:rowOff>
    </xdr:from>
    <xdr:to>
      <xdr:col>28</xdr:col>
      <xdr:colOff>371475</xdr:colOff>
      <xdr:row>15</xdr:row>
      <xdr:rowOff>111125</xdr:rowOff>
    </xdr:to>
    <xdr:graphicFrame macro="">
      <xdr:nvGraphicFramePr>
        <xdr:cNvPr id="266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53974</xdr:colOff>
      <xdr:row>15</xdr:row>
      <xdr:rowOff>174624</xdr:rowOff>
    </xdr:from>
    <xdr:to>
      <xdr:col>30</xdr:col>
      <xdr:colOff>596899</xdr:colOff>
      <xdr:row>36</xdr:row>
      <xdr:rowOff>190499</xdr:rowOff>
    </xdr:to>
    <xdr:graphicFrame macro="">
      <xdr:nvGraphicFramePr>
        <xdr:cNvPr id="266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23"/>
  <sheetViews>
    <sheetView tabSelected="1" workbookViewId="0">
      <selection activeCell="C11" sqref="C11"/>
    </sheetView>
  </sheetViews>
  <sheetFormatPr defaultRowHeight="15"/>
  <cols>
    <col min="1" max="1" width="8.7109375" customWidth="1"/>
  </cols>
  <sheetData>
    <row r="1" spans="1:3">
      <c r="A1" s="2" t="s">
        <v>75</v>
      </c>
    </row>
    <row r="2" spans="1:3">
      <c r="A2" t="s">
        <v>70</v>
      </c>
    </row>
    <row r="3" spans="1:3">
      <c r="A3" t="s">
        <v>76</v>
      </c>
    </row>
    <row r="4" spans="1:3">
      <c r="A4" t="s">
        <v>77</v>
      </c>
    </row>
    <row r="6" spans="1:3" s="2" customFormat="1">
      <c r="A6" s="2" t="s">
        <v>71</v>
      </c>
    </row>
    <row r="7" spans="1:3">
      <c r="A7" t="s">
        <v>74</v>
      </c>
    </row>
    <row r="8" spans="1:3">
      <c r="A8" s="2" t="s">
        <v>53</v>
      </c>
    </row>
    <row r="9" spans="1:3">
      <c r="B9" t="s">
        <v>51</v>
      </c>
      <c r="C9" t="s">
        <v>83</v>
      </c>
    </row>
    <row r="10" spans="1:3">
      <c r="B10" t="s">
        <v>52</v>
      </c>
      <c r="C10" t="s">
        <v>84</v>
      </c>
    </row>
    <row r="11" spans="1:3">
      <c r="A11" s="2" t="s">
        <v>54</v>
      </c>
    </row>
    <row r="12" spans="1:3">
      <c r="B12" t="s">
        <v>55</v>
      </c>
      <c r="C12" t="s">
        <v>56</v>
      </c>
    </row>
    <row r="13" spans="1:3">
      <c r="B13" t="s">
        <v>60</v>
      </c>
      <c r="C13" t="s">
        <v>78</v>
      </c>
    </row>
    <row r="14" spans="1:3">
      <c r="B14" t="s">
        <v>61</v>
      </c>
      <c r="C14" t="s">
        <v>79</v>
      </c>
    </row>
    <row r="15" spans="1:3">
      <c r="B15" t="s">
        <v>57</v>
      </c>
      <c r="C15" t="s">
        <v>80</v>
      </c>
    </row>
    <row r="16" spans="1:3">
      <c r="B16" t="s">
        <v>58</v>
      </c>
      <c r="C16" t="s">
        <v>81</v>
      </c>
    </row>
    <row r="17" spans="1:3">
      <c r="B17" t="s">
        <v>59</v>
      </c>
      <c r="C17" t="s">
        <v>82</v>
      </c>
    </row>
    <row r="18" spans="1:3">
      <c r="A18" s="2" t="s">
        <v>62</v>
      </c>
    </row>
    <row r="19" spans="1:3">
      <c r="B19" t="s">
        <v>63</v>
      </c>
      <c r="C19" t="s">
        <v>64</v>
      </c>
    </row>
    <row r="20" spans="1:3">
      <c r="B20" t="s">
        <v>65</v>
      </c>
      <c r="C20" t="s">
        <v>66</v>
      </c>
    </row>
    <row r="22" spans="1:3" s="2" customFormat="1">
      <c r="A22" s="2" t="s">
        <v>72</v>
      </c>
    </row>
    <row r="23" spans="1:3">
      <c r="A23" t="s">
        <v>73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"AA_phi_ind_1.4A"</f>
        <v>AA_phi_ind_1.4A</v>
      </c>
      <c r="C1" s="1" t="str">
        <f>"AA_phi_ind_2A"</f>
        <v>AA_phi_ind_2A</v>
      </c>
      <c r="D1" s="1" t="str">
        <f>"AA_phi_ind_3A"</f>
        <v>AA_phi_ind_3A</v>
      </c>
      <c r="E1" s="1" t="str">
        <f>"AA_phi_ind_4A"</f>
        <v>AA_phi_ind_4A</v>
      </c>
      <c r="F1" s="1" t="str">
        <f>"AA_phi_ind_5A"</f>
        <v>AA_phi_ind_5A</v>
      </c>
      <c r="G1" s="1" t="str">
        <f>"AA_phi_ind_6A"</f>
        <v>AA_phi_ind_6A</v>
      </c>
      <c r="H1" s="1" t="str">
        <f>"AA_phi_ind_7A"</f>
        <v>AA_phi_ind_7A</v>
      </c>
      <c r="I1" s="1" t="str">
        <f>"AA_phi_ind_8A"</f>
        <v>AA_phi_ind_8A</v>
      </c>
      <c r="J1" s="1" t="str">
        <f>"AA_phi_ind_9A"</f>
        <v>AA_phi_ind_9A</v>
      </c>
      <c r="K1" s="1" t="str">
        <f>"AA_phi_ind_10A"</f>
        <v>AA_phi_ind_10A</v>
      </c>
      <c r="L1" s="1" t="str">
        <f>"AA_phi_ind_11A"</f>
        <v>AA_phi_ind_11A</v>
      </c>
      <c r="M1" s="1" t="str">
        <f>"AA_phi_ind_12A"</f>
        <v>AA_phi_ind_12A</v>
      </c>
      <c r="N1" s="1" t="str">
        <f>"AA_phi_ind_13A"</f>
        <v>AA_phi_ind_13A</v>
      </c>
      <c r="O1" s="1" t="str">
        <f>"AA_phi_ind_14A"</f>
        <v>AA_phi_ind_14A</v>
      </c>
      <c r="P1" s="1" t="str">
        <f>"AA_phi_ind_15A"</f>
        <v>AA_phi_ind_15A</v>
      </c>
      <c r="Q1" s="1" t="str">
        <f>"AA_phi_ind_16A"</f>
        <v>AA_phi_ind_16A</v>
      </c>
      <c r="R1" s="1" t="str">
        <f>"AA_phi_ind_17A"</f>
        <v>AA_phi_ind_17A</v>
      </c>
      <c r="S1" s="1" t="str">
        <f>"AA_phi_ind_18A"</f>
        <v>AA_phi_ind_18A</v>
      </c>
      <c r="T1" s="1" t="str">
        <f>"AA_phi_ind_19A"</f>
        <v>AA_phi_ind_19A</v>
      </c>
      <c r="U1" s="1" t="str">
        <f>"AA_phi_ind_20A"</f>
        <v>AA_phi_ind_20A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2.7229130000000001E-2</v>
      </c>
      <c r="C3">
        <v>2.7592627000000002E-2</v>
      </c>
      <c r="D3">
        <v>2.7095563999999999E-2</v>
      </c>
      <c r="E3">
        <v>2.6770754000000001E-2</v>
      </c>
      <c r="F3">
        <v>2.6892444000000001E-2</v>
      </c>
      <c r="G3">
        <v>2.6637008E-2</v>
      </c>
      <c r="H3">
        <v>2.6957115E-2</v>
      </c>
      <c r="I3">
        <v>2.7215151E-2</v>
      </c>
      <c r="J3">
        <v>2.7218800000000001E-2</v>
      </c>
      <c r="K3">
        <v>2.6834868000000001E-2</v>
      </c>
      <c r="L3">
        <v>2.9197989000000001E-2</v>
      </c>
      <c r="M3">
        <v>2.9207911E-2</v>
      </c>
      <c r="N3">
        <v>2.9188028000000001E-2</v>
      </c>
      <c r="O3">
        <v>2.8593416999999999E-2</v>
      </c>
      <c r="P3">
        <v>2.8608266E-2</v>
      </c>
      <c r="Q3">
        <v>2.8550688000000001E-2</v>
      </c>
      <c r="R3">
        <v>2.7839037000000001E-2</v>
      </c>
      <c r="S3">
        <v>2.8572759E-2</v>
      </c>
      <c r="T3">
        <v>2.811607E-2</v>
      </c>
      <c r="U3">
        <v>2.7934865999999999E-2</v>
      </c>
    </row>
    <row r="4" spans="1:24">
      <c r="A4" t="s">
        <v>1</v>
      </c>
      <c r="B4">
        <v>2.4446356999999998E-2</v>
      </c>
      <c r="C4">
        <v>2.5087679000000002E-2</v>
      </c>
      <c r="D4">
        <v>2.5086977999999999E-2</v>
      </c>
      <c r="E4">
        <v>2.5035799000000001E-2</v>
      </c>
      <c r="F4">
        <v>2.5194813E-2</v>
      </c>
      <c r="G4">
        <v>2.4804567999999999E-2</v>
      </c>
      <c r="H4">
        <v>2.5307626E-2</v>
      </c>
      <c r="I4">
        <v>2.5920762E-2</v>
      </c>
      <c r="J4">
        <v>2.6464615E-2</v>
      </c>
      <c r="K4">
        <v>2.6103068E-2</v>
      </c>
      <c r="L4">
        <v>2.8146146E-2</v>
      </c>
      <c r="M4">
        <v>2.8455057999999998E-2</v>
      </c>
      <c r="N4">
        <v>2.8287244999999999E-2</v>
      </c>
      <c r="O4">
        <v>2.7926258999999998E-2</v>
      </c>
      <c r="P4">
        <v>2.8087502E-2</v>
      </c>
      <c r="Q4">
        <v>2.8454780999999998E-2</v>
      </c>
      <c r="R4">
        <v>2.8260574E-2</v>
      </c>
      <c r="S4">
        <v>2.8352967999999999E-2</v>
      </c>
      <c r="T4">
        <v>2.7825689000000001E-2</v>
      </c>
      <c r="U4">
        <v>2.7899837E-2</v>
      </c>
    </row>
    <row r="5" spans="1:24">
      <c r="A5" t="s">
        <v>2</v>
      </c>
      <c r="B5">
        <v>2.4715516999999999E-2</v>
      </c>
      <c r="C5">
        <v>2.5421539E-2</v>
      </c>
      <c r="D5">
        <v>2.533287E-2</v>
      </c>
      <c r="E5">
        <v>2.5197351E-2</v>
      </c>
      <c r="F5">
        <v>2.5453974000000001E-2</v>
      </c>
      <c r="G5">
        <v>2.5556661000000001E-2</v>
      </c>
      <c r="H5">
        <v>2.5830280000000001E-2</v>
      </c>
      <c r="I5">
        <v>2.6118286000000001E-2</v>
      </c>
      <c r="J5">
        <v>2.6432659000000001E-2</v>
      </c>
      <c r="K5">
        <v>2.6171817999999999E-2</v>
      </c>
      <c r="L5">
        <v>2.8317489000000001E-2</v>
      </c>
      <c r="M5">
        <v>2.8512270999999999E-2</v>
      </c>
      <c r="N5">
        <v>2.8748975999999999E-2</v>
      </c>
      <c r="O5">
        <v>2.8679485000000001E-2</v>
      </c>
      <c r="P5">
        <v>2.9103569999999999E-2</v>
      </c>
      <c r="Q5">
        <v>2.9327751999999999E-2</v>
      </c>
      <c r="R5">
        <v>2.8343259999999999E-2</v>
      </c>
      <c r="S5">
        <v>2.8737878000000001E-2</v>
      </c>
      <c r="T5">
        <v>2.8498969999999998E-2</v>
      </c>
      <c r="U5">
        <v>2.8489159E-2</v>
      </c>
    </row>
    <row r="6" spans="1:24">
      <c r="A6" t="s">
        <v>3</v>
      </c>
      <c r="B6">
        <v>1.9203145000000001E-2</v>
      </c>
      <c r="C6">
        <v>1.9456971E-2</v>
      </c>
      <c r="D6">
        <v>1.8663216E-2</v>
      </c>
      <c r="E6">
        <v>1.8456398999999998E-2</v>
      </c>
      <c r="F6">
        <v>1.8265255000000001E-2</v>
      </c>
      <c r="G6">
        <v>1.7868893E-2</v>
      </c>
      <c r="H6">
        <v>1.7604046000000002E-2</v>
      </c>
      <c r="I6">
        <v>1.7313697999999999E-2</v>
      </c>
      <c r="J6">
        <v>1.7885655E-2</v>
      </c>
      <c r="K6">
        <v>1.767813E-2</v>
      </c>
      <c r="L6">
        <v>1.9079466999999999E-2</v>
      </c>
      <c r="M6">
        <v>1.9039622999999999E-2</v>
      </c>
      <c r="N6">
        <v>1.8917805999999999E-2</v>
      </c>
      <c r="O6">
        <v>1.8503795999999999E-2</v>
      </c>
      <c r="P6">
        <v>1.8321820999999999E-2</v>
      </c>
      <c r="Q6">
        <v>1.8141747999999999E-2</v>
      </c>
      <c r="R6">
        <v>1.8110767E-2</v>
      </c>
      <c r="S6">
        <v>1.8211422000000001E-2</v>
      </c>
      <c r="T6">
        <v>1.8233052E-2</v>
      </c>
      <c r="U6">
        <v>1.8290661E-2</v>
      </c>
    </row>
    <row r="7" spans="1:24">
      <c r="A7" t="s">
        <v>4</v>
      </c>
      <c r="B7">
        <v>1.9809054E-2</v>
      </c>
      <c r="C7">
        <v>2.0278389000000001E-2</v>
      </c>
      <c r="D7">
        <v>1.9625710000000001E-2</v>
      </c>
      <c r="E7">
        <v>1.9187856E-2</v>
      </c>
      <c r="F7">
        <v>1.8997639E-2</v>
      </c>
      <c r="G7">
        <v>1.8507255E-2</v>
      </c>
      <c r="H7">
        <v>1.8285893000000001E-2</v>
      </c>
      <c r="I7">
        <v>1.8310350999999999E-2</v>
      </c>
      <c r="J7">
        <v>1.8924481999999999E-2</v>
      </c>
      <c r="K7">
        <v>1.8752326999999999E-2</v>
      </c>
      <c r="L7">
        <v>2.0461999000000002E-2</v>
      </c>
      <c r="M7">
        <v>2.0784304E-2</v>
      </c>
      <c r="N7">
        <v>2.0785114E-2</v>
      </c>
      <c r="O7">
        <v>2.0423118000000001E-2</v>
      </c>
      <c r="P7">
        <v>2.0220492E-2</v>
      </c>
      <c r="Q7">
        <v>2.0145087999999998E-2</v>
      </c>
      <c r="R7">
        <v>2.0233205000000001E-2</v>
      </c>
      <c r="S7">
        <v>2.0373881E-2</v>
      </c>
      <c r="T7">
        <v>2.0372662999999999E-2</v>
      </c>
      <c r="U7">
        <v>2.0408415999999999E-2</v>
      </c>
    </row>
    <row r="8" spans="1:24">
      <c r="A8" t="s">
        <v>5</v>
      </c>
      <c r="B8">
        <v>1.9272062999999999E-2</v>
      </c>
      <c r="C8">
        <v>1.9799719E-2</v>
      </c>
      <c r="D8">
        <v>1.8932345999999999E-2</v>
      </c>
      <c r="E8">
        <v>1.8090274E-2</v>
      </c>
      <c r="F8">
        <v>1.8075021E-2</v>
      </c>
      <c r="G8">
        <v>1.7724444999999998E-2</v>
      </c>
      <c r="H8">
        <v>1.7455499999999999E-2</v>
      </c>
      <c r="I8">
        <v>1.6983811000000001E-2</v>
      </c>
      <c r="J8">
        <v>1.7375168999999999E-2</v>
      </c>
      <c r="K8">
        <v>1.7559295999999999E-2</v>
      </c>
      <c r="L8">
        <v>1.9174943E-2</v>
      </c>
      <c r="M8">
        <v>1.9122679E-2</v>
      </c>
      <c r="N8">
        <v>1.8889435999999999E-2</v>
      </c>
      <c r="O8">
        <v>1.8570237E-2</v>
      </c>
      <c r="P8">
        <v>1.8146293000000001E-2</v>
      </c>
      <c r="Q8">
        <v>1.7940714999999999E-2</v>
      </c>
      <c r="R8">
        <v>1.7930979E-2</v>
      </c>
      <c r="S8">
        <v>1.7838487E-2</v>
      </c>
      <c r="T8">
        <v>1.8062258000000001E-2</v>
      </c>
      <c r="U8">
        <v>1.8130509E-2</v>
      </c>
    </row>
    <row r="9" spans="1:24">
      <c r="A9" t="s">
        <v>6</v>
      </c>
      <c r="B9">
        <v>1.9327813999999999E-2</v>
      </c>
      <c r="C9">
        <v>1.9942768E-2</v>
      </c>
      <c r="D9">
        <v>1.9335695999999999E-2</v>
      </c>
      <c r="E9">
        <v>1.8652318000000001E-2</v>
      </c>
      <c r="F9">
        <v>1.8494723000000001E-2</v>
      </c>
      <c r="G9">
        <v>1.8100577999999999E-2</v>
      </c>
      <c r="H9">
        <v>1.7836596999999999E-2</v>
      </c>
      <c r="I9">
        <v>1.7526501999999999E-2</v>
      </c>
      <c r="J9">
        <v>1.7952789E-2</v>
      </c>
      <c r="K9">
        <v>1.7562069E-2</v>
      </c>
      <c r="L9">
        <v>1.9010242E-2</v>
      </c>
      <c r="M9">
        <v>1.9436397000000001E-2</v>
      </c>
      <c r="N9">
        <v>1.9227335000000002E-2</v>
      </c>
      <c r="O9">
        <v>1.8677427999999999E-2</v>
      </c>
      <c r="P9">
        <v>1.8558549000000001E-2</v>
      </c>
      <c r="Q9">
        <v>1.8253756999999999E-2</v>
      </c>
      <c r="R9">
        <v>1.8063089000000001E-2</v>
      </c>
      <c r="S9">
        <v>1.8077645E-2</v>
      </c>
      <c r="T9">
        <v>1.7970310999999999E-2</v>
      </c>
      <c r="U9">
        <v>1.7954360999999999E-2</v>
      </c>
    </row>
    <row r="10" spans="1:24">
      <c r="A10" t="s">
        <v>7</v>
      </c>
      <c r="B10">
        <v>2.1880586E-2</v>
      </c>
      <c r="C10">
        <v>2.2209304999999999E-2</v>
      </c>
      <c r="D10">
        <v>2.1665864E-2</v>
      </c>
      <c r="E10">
        <v>2.1349670000000001E-2</v>
      </c>
      <c r="F10">
        <v>2.1418408999999999E-2</v>
      </c>
      <c r="G10">
        <v>2.1337707000000001E-2</v>
      </c>
      <c r="H10">
        <v>2.1689955E-2</v>
      </c>
      <c r="I10">
        <v>2.1409187E-2</v>
      </c>
      <c r="J10">
        <v>2.1875863999999998E-2</v>
      </c>
      <c r="K10">
        <v>2.1867365E-2</v>
      </c>
      <c r="L10">
        <v>2.4192189999999999E-2</v>
      </c>
      <c r="M10">
        <v>2.4098102E-2</v>
      </c>
      <c r="N10">
        <v>2.3984261E-2</v>
      </c>
      <c r="O10">
        <v>2.3334484999999999E-2</v>
      </c>
      <c r="P10">
        <v>2.3589282999999999E-2</v>
      </c>
      <c r="Q10">
        <v>2.3415617999999999E-2</v>
      </c>
      <c r="R10">
        <v>2.2645596E-2</v>
      </c>
      <c r="S10">
        <v>2.2799611000000001E-2</v>
      </c>
      <c r="T10">
        <v>2.2741438999999999E-2</v>
      </c>
      <c r="U10">
        <v>2.3216232999999999E-2</v>
      </c>
    </row>
    <row r="11" spans="1:24">
      <c r="A11" t="s">
        <v>8</v>
      </c>
      <c r="B11">
        <v>2.1955526E-2</v>
      </c>
      <c r="C11">
        <v>2.2298371000000001E-2</v>
      </c>
      <c r="D11">
        <v>2.1790542E-2</v>
      </c>
      <c r="E11">
        <v>2.1441980999999999E-2</v>
      </c>
      <c r="F11">
        <v>2.1464027E-2</v>
      </c>
      <c r="G11">
        <v>2.1471756000000002E-2</v>
      </c>
      <c r="H11">
        <v>2.1709142000000001E-2</v>
      </c>
      <c r="I11">
        <v>2.1199802E-2</v>
      </c>
      <c r="J11">
        <v>2.1366596000000002E-2</v>
      </c>
      <c r="K11">
        <v>2.1004691999999998E-2</v>
      </c>
      <c r="L11">
        <v>2.3089862999999999E-2</v>
      </c>
      <c r="M11">
        <v>2.3316585000000001E-2</v>
      </c>
      <c r="N11">
        <v>2.3426387E-2</v>
      </c>
      <c r="O11">
        <v>2.2959576999999998E-2</v>
      </c>
      <c r="P11">
        <v>2.3110926E-2</v>
      </c>
      <c r="Q11">
        <v>2.2844698E-2</v>
      </c>
      <c r="R11">
        <v>2.2442548999999999E-2</v>
      </c>
      <c r="S11">
        <v>2.2666341E-2</v>
      </c>
      <c r="T11">
        <v>2.2985441999999998E-2</v>
      </c>
      <c r="U11">
        <v>2.2877228999999999E-2</v>
      </c>
    </row>
    <row r="12" spans="1:24">
      <c r="A12" t="s">
        <v>9</v>
      </c>
      <c r="B12">
        <v>1.8394915000000001E-2</v>
      </c>
      <c r="C12">
        <v>1.8766438999999999E-2</v>
      </c>
      <c r="D12">
        <v>1.8535837999999999E-2</v>
      </c>
      <c r="E12">
        <v>1.7938914E-2</v>
      </c>
      <c r="F12">
        <v>1.7701898000000001E-2</v>
      </c>
      <c r="G12">
        <v>1.8042168000000001E-2</v>
      </c>
      <c r="H12">
        <v>1.8009919999999999E-2</v>
      </c>
      <c r="I12">
        <v>1.7845903999999999E-2</v>
      </c>
      <c r="J12">
        <v>1.8086531999999999E-2</v>
      </c>
      <c r="K12">
        <v>1.7850807E-2</v>
      </c>
      <c r="L12">
        <v>1.9276593000000002E-2</v>
      </c>
      <c r="M12">
        <v>1.9653278999999999E-2</v>
      </c>
      <c r="N12">
        <v>1.9248222999999998E-2</v>
      </c>
      <c r="O12">
        <v>1.9067707E-2</v>
      </c>
      <c r="P12">
        <v>1.9227061E-2</v>
      </c>
      <c r="Q12">
        <v>1.9175746E-2</v>
      </c>
      <c r="R12">
        <v>1.8523023E-2</v>
      </c>
      <c r="S12">
        <v>1.9050529E-2</v>
      </c>
      <c r="T12">
        <v>1.9051937000000001E-2</v>
      </c>
      <c r="U12">
        <v>1.8917034999999999E-2</v>
      </c>
    </row>
    <row r="13" spans="1:24">
      <c r="A13" t="s">
        <v>10</v>
      </c>
      <c r="B13">
        <v>1.8365976999999999E-2</v>
      </c>
      <c r="C13">
        <v>1.8576141000000001E-2</v>
      </c>
      <c r="D13">
        <v>1.8272828000000001E-2</v>
      </c>
      <c r="E13">
        <v>1.7848493999999999E-2</v>
      </c>
      <c r="F13">
        <v>1.8006141999999999E-2</v>
      </c>
      <c r="G13">
        <v>1.7777576999999999E-2</v>
      </c>
      <c r="H13">
        <v>1.7876646999999999E-2</v>
      </c>
      <c r="I13">
        <v>1.7629005E-2</v>
      </c>
      <c r="J13">
        <v>1.7698934E-2</v>
      </c>
      <c r="K13">
        <v>1.7596334000000002E-2</v>
      </c>
      <c r="L13">
        <v>1.8995892E-2</v>
      </c>
      <c r="M13">
        <v>1.9266555000000001E-2</v>
      </c>
      <c r="N13">
        <v>1.9047132000000001E-2</v>
      </c>
      <c r="O13">
        <v>1.8987601999999999E-2</v>
      </c>
      <c r="P13">
        <v>1.8717896000000001E-2</v>
      </c>
      <c r="Q13">
        <v>1.9061637999999999E-2</v>
      </c>
      <c r="R13">
        <v>1.8273205000000001E-2</v>
      </c>
      <c r="S13">
        <v>1.8381188E-2</v>
      </c>
      <c r="T13">
        <v>1.8662519999999998E-2</v>
      </c>
      <c r="U13">
        <v>1.8710159000000001E-2</v>
      </c>
    </row>
    <row r="14" spans="1:24">
      <c r="A14" t="s">
        <v>11</v>
      </c>
      <c r="B14">
        <v>1.8408831E-2</v>
      </c>
      <c r="C14">
        <v>1.8855408000000001E-2</v>
      </c>
      <c r="D14">
        <v>1.8426830000000002E-2</v>
      </c>
      <c r="E14">
        <v>1.8278301E-2</v>
      </c>
      <c r="F14">
        <v>1.8279763000000001E-2</v>
      </c>
      <c r="G14">
        <v>1.8262818E-2</v>
      </c>
      <c r="H14">
        <v>1.8415838E-2</v>
      </c>
      <c r="I14">
        <v>1.8375991000000001E-2</v>
      </c>
      <c r="J14">
        <v>1.8431408E-2</v>
      </c>
      <c r="K14">
        <v>1.8095696000000001E-2</v>
      </c>
      <c r="L14">
        <v>1.9703114000000001E-2</v>
      </c>
      <c r="M14">
        <v>1.9859472E-2</v>
      </c>
      <c r="N14">
        <v>1.9839248E-2</v>
      </c>
      <c r="O14">
        <v>2.0089941E-2</v>
      </c>
      <c r="P14">
        <v>2.0582339000000002E-2</v>
      </c>
      <c r="Q14">
        <v>2.0575501E-2</v>
      </c>
      <c r="R14">
        <v>1.9718800000000002E-2</v>
      </c>
      <c r="S14">
        <v>1.9937221000000001E-2</v>
      </c>
      <c r="T14">
        <v>1.9846549000000002E-2</v>
      </c>
      <c r="U14">
        <v>2.0040988999999999E-2</v>
      </c>
    </row>
    <row r="15" spans="1:24">
      <c r="A15" t="s">
        <v>12</v>
      </c>
      <c r="B15">
        <v>1.8039725999999999E-2</v>
      </c>
      <c r="C15">
        <v>1.8418763000000001E-2</v>
      </c>
      <c r="D15">
        <v>1.8009371999999999E-2</v>
      </c>
      <c r="E15">
        <v>1.7386558E-2</v>
      </c>
      <c r="F15">
        <v>1.7106524000000001E-2</v>
      </c>
      <c r="G15">
        <v>1.6948851000000001E-2</v>
      </c>
      <c r="H15">
        <v>1.7012909E-2</v>
      </c>
      <c r="I15">
        <v>1.7028056E-2</v>
      </c>
      <c r="J15">
        <v>1.7162838999999999E-2</v>
      </c>
      <c r="K15">
        <v>1.7039084999999999E-2</v>
      </c>
      <c r="L15">
        <v>1.8590866000000001E-2</v>
      </c>
      <c r="M15">
        <v>1.9027573999999998E-2</v>
      </c>
      <c r="N15">
        <v>1.9017429999999998E-2</v>
      </c>
      <c r="O15">
        <v>1.8766901999999999E-2</v>
      </c>
      <c r="P15">
        <v>1.9330261000000001E-2</v>
      </c>
      <c r="Q15">
        <v>1.9344585000000001E-2</v>
      </c>
      <c r="R15">
        <v>1.8792699999999999E-2</v>
      </c>
      <c r="S15">
        <v>1.8917831E-2</v>
      </c>
      <c r="T15">
        <v>1.8724592000000002E-2</v>
      </c>
      <c r="U15">
        <v>1.8595924999999999E-2</v>
      </c>
    </row>
    <row r="16" spans="1:24">
      <c r="A16" t="s">
        <v>13</v>
      </c>
      <c r="B16">
        <v>2.3136885999999999E-2</v>
      </c>
      <c r="C16">
        <v>2.3607222000000001E-2</v>
      </c>
      <c r="D16">
        <v>2.3171385999999999E-2</v>
      </c>
      <c r="E16">
        <v>2.2760399000000001E-2</v>
      </c>
      <c r="F16">
        <v>2.2716917E-2</v>
      </c>
      <c r="G16">
        <v>2.2627815999999999E-2</v>
      </c>
      <c r="H16">
        <v>2.3097065999999999E-2</v>
      </c>
      <c r="I16">
        <v>2.3150260999999998E-2</v>
      </c>
      <c r="J16">
        <v>2.3473503E-2</v>
      </c>
      <c r="K16">
        <v>2.2768974000000001E-2</v>
      </c>
      <c r="L16">
        <v>2.4889340999999999E-2</v>
      </c>
      <c r="M16">
        <v>2.5097136999999999E-2</v>
      </c>
      <c r="N16">
        <v>2.4990887999999999E-2</v>
      </c>
      <c r="O16">
        <v>2.4527136000000001E-2</v>
      </c>
      <c r="P16">
        <v>2.4913145000000001E-2</v>
      </c>
      <c r="Q16">
        <v>2.5012853000000002E-2</v>
      </c>
      <c r="R16">
        <v>2.4540365000000001E-2</v>
      </c>
      <c r="S16">
        <v>2.4722422000000001E-2</v>
      </c>
      <c r="T16">
        <v>2.4763271E-2</v>
      </c>
      <c r="U16">
        <v>2.4780763000000001E-2</v>
      </c>
    </row>
    <row r="17" spans="1:21">
      <c r="A17" t="s">
        <v>14</v>
      </c>
      <c r="B17">
        <v>2.3054654000000001E-2</v>
      </c>
      <c r="C17">
        <v>2.3539528000000001E-2</v>
      </c>
      <c r="D17">
        <v>2.3151958E-2</v>
      </c>
      <c r="E17">
        <v>2.2769185000000001E-2</v>
      </c>
      <c r="F17">
        <v>2.2875653999999999E-2</v>
      </c>
      <c r="G17">
        <v>2.2784470000000001E-2</v>
      </c>
      <c r="H17">
        <v>2.2982538E-2</v>
      </c>
      <c r="I17">
        <v>2.3080328000000001E-2</v>
      </c>
      <c r="J17">
        <v>2.3515388000000002E-2</v>
      </c>
      <c r="K17">
        <v>2.3131102000000001E-2</v>
      </c>
      <c r="L17">
        <v>2.5047822000000001E-2</v>
      </c>
      <c r="M17">
        <v>2.4981725999999999E-2</v>
      </c>
      <c r="N17">
        <v>2.4810039999999998E-2</v>
      </c>
      <c r="O17">
        <v>2.4492737000000001E-2</v>
      </c>
      <c r="P17">
        <v>2.4692011999999999E-2</v>
      </c>
      <c r="Q17">
        <v>2.5136016000000001E-2</v>
      </c>
      <c r="R17">
        <v>2.4656997999999999E-2</v>
      </c>
      <c r="S17">
        <v>2.4671255E-2</v>
      </c>
      <c r="T17">
        <v>2.4732280999999998E-2</v>
      </c>
      <c r="U17">
        <v>2.4381318999999999E-2</v>
      </c>
    </row>
    <row r="18" spans="1:21">
      <c r="A18" t="s">
        <v>15</v>
      </c>
      <c r="B18">
        <v>2.3750205999999999E-2</v>
      </c>
      <c r="C18">
        <v>2.4259117E-2</v>
      </c>
      <c r="D18">
        <v>2.3775350000000001E-2</v>
      </c>
      <c r="E18">
        <v>2.3486797E-2</v>
      </c>
      <c r="F18">
        <v>2.3541245999999998E-2</v>
      </c>
      <c r="G18">
        <v>2.3218685999999999E-2</v>
      </c>
      <c r="H18">
        <v>2.3538119999999999E-2</v>
      </c>
      <c r="I18">
        <v>2.3647681E-2</v>
      </c>
      <c r="J18">
        <v>2.4113565999999999E-2</v>
      </c>
      <c r="K18">
        <v>2.3754384E-2</v>
      </c>
      <c r="L18">
        <v>2.5729511E-2</v>
      </c>
      <c r="M18">
        <v>2.5745763000000001E-2</v>
      </c>
      <c r="N18">
        <v>2.5711721E-2</v>
      </c>
      <c r="O18">
        <v>2.5365538999999999E-2</v>
      </c>
      <c r="P18">
        <v>2.5367897E-2</v>
      </c>
      <c r="Q18">
        <v>2.5411405000000001E-2</v>
      </c>
      <c r="R18">
        <v>2.4759125E-2</v>
      </c>
      <c r="S18">
        <v>2.5073115E-2</v>
      </c>
      <c r="T18">
        <v>2.5179585000000001E-2</v>
      </c>
      <c r="U18">
        <v>2.5234124E-2</v>
      </c>
    </row>
    <row r="19" spans="1:21">
      <c r="A19" t="s">
        <v>16</v>
      </c>
      <c r="B19">
        <v>2.2512941000000002E-2</v>
      </c>
      <c r="C19">
        <v>2.2937406E-2</v>
      </c>
      <c r="D19">
        <v>2.2561826E-2</v>
      </c>
      <c r="E19">
        <v>2.2043924999999999E-2</v>
      </c>
      <c r="F19">
        <v>2.2019578000000001E-2</v>
      </c>
      <c r="G19">
        <v>2.189837E-2</v>
      </c>
      <c r="H19">
        <v>2.2014957000000002E-2</v>
      </c>
      <c r="I19">
        <v>2.2028128000000001E-2</v>
      </c>
      <c r="J19">
        <v>2.2304811000000001E-2</v>
      </c>
      <c r="K19">
        <v>2.1747579999999999E-2</v>
      </c>
      <c r="L19">
        <v>2.3517567999999999E-2</v>
      </c>
      <c r="M19">
        <v>2.3889190000000001E-2</v>
      </c>
      <c r="N19">
        <v>2.3760694999999998E-2</v>
      </c>
      <c r="O19">
        <v>2.3474583E-2</v>
      </c>
      <c r="P19">
        <v>2.3551216E-2</v>
      </c>
      <c r="Q19">
        <v>2.3831846E-2</v>
      </c>
      <c r="R19">
        <v>2.3225889E-2</v>
      </c>
      <c r="S19">
        <v>2.3268184000000001E-2</v>
      </c>
      <c r="T19">
        <v>2.3307308999999998E-2</v>
      </c>
      <c r="U19">
        <v>2.3148973999999999E-2</v>
      </c>
    </row>
    <row r="20" spans="1:21">
      <c r="A20" t="s">
        <v>17</v>
      </c>
      <c r="B20">
        <v>2.2634806E-2</v>
      </c>
      <c r="C20">
        <v>2.2926541000000002E-2</v>
      </c>
      <c r="D20">
        <v>2.2418324E-2</v>
      </c>
      <c r="E20">
        <v>2.1817131E-2</v>
      </c>
      <c r="F20">
        <v>2.1795385E-2</v>
      </c>
      <c r="G20">
        <v>2.1563698999999999E-2</v>
      </c>
      <c r="H20">
        <v>2.1882469000000002E-2</v>
      </c>
      <c r="I20">
        <v>2.1887481E-2</v>
      </c>
      <c r="J20">
        <v>2.2137521E-2</v>
      </c>
      <c r="K20">
        <v>2.1801437999999999E-2</v>
      </c>
      <c r="L20">
        <v>2.3576929999999999E-2</v>
      </c>
      <c r="M20">
        <v>2.3504707999999999E-2</v>
      </c>
      <c r="N20">
        <v>2.3330573E-2</v>
      </c>
      <c r="O20">
        <v>2.3051133000000001E-2</v>
      </c>
      <c r="P20">
        <v>2.3288514E-2</v>
      </c>
      <c r="Q20">
        <v>2.3225961E-2</v>
      </c>
      <c r="R20">
        <v>2.2593489000000001E-2</v>
      </c>
      <c r="S20">
        <v>2.2697835999999999E-2</v>
      </c>
      <c r="T20">
        <v>2.2489184999999998E-2</v>
      </c>
      <c r="U20">
        <v>2.2434316999999999E-2</v>
      </c>
    </row>
    <row r="21" spans="1:21">
      <c r="A21" t="s">
        <v>18</v>
      </c>
      <c r="B21">
        <v>2.2547718000000001E-2</v>
      </c>
      <c r="C21">
        <v>2.2807473000000002E-2</v>
      </c>
      <c r="D21">
        <v>2.2338189000000001E-2</v>
      </c>
      <c r="E21">
        <v>2.175767E-2</v>
      </c>
      <c r="F21">
        <v>2.180006E-2</v>
      </c>
      <c r="G21">
        <v>2.1522427E-2</v>
      </c>
      <c r="H21">
        <v>2.1870364E-2</v>
      </c>
      <c r="I21">
        <v>2.1803093999999999E-2</v>
      </c>
      <c r="J21">
        <v>2.2112054999999999E-2</v>
      </c>
      <c r="K21">
        <v>2.1599894000000001E-2</v>
      </c>
      <c r="L21">
        <v>2.3266810999999998E-2</v>
      </c>
      <c r="M21">
        <v>2.3491637999999999E-2</v>
      </c>
      <c r="N21">
        <v>2.3357503000000002E-2</v>
      </c>
      <c r="O21">
        <v>2.3184517000000002E-2</v>
      </c>
      <c r="P21">
        <v>2.3309881000000001E-2</v>
      </c>
      <c r="Q21">
        <v>2.3303276000000001E-2</v>
      </c>
      <c r="R21">
        <v>2.2652683999999999E-2</v>
      </c>
      <c r="S21">
        <v>2.2874243999999998E-2</v>
      </c>
      <c r="T21">
        <v>2.2798331000000002E-2</v>
      </c>
      <c r="U21">
        <v>2.2558506999999998E-2</v>
      </c>
    </row>
    <row r="22" spans="1:21">
      <c r="A22" t="s">
        <v>19</v>
      </c>
      <c r="B22">
        <v>2.2373655999999999E-2</v>
      </c>
      <c r="C22">
        <v>2.2703869000000002E-2</v>
      </c>
      <c r="D22">
        <v>2.2272126999999999E-2</v>
      </c>
      <c r="E22">
        <v>2.1663563E-2</v>
      </c>
      <c r="F22">
        <v>2.1520774999999999E-2</v>
      </c>
      <c r="G22">
        <v>2.152741E-2</v>
      </c>
      <c r="H22">
        <v>2.1700185E-2</v>
      </c>
      <c r="I22">
        <v>2.1811863000000001E-2</v>
      </c>
      <c r="J22">
        <v>2.2019871999999999E-2</v>
      </c>
      <c r="K22">
        <v>2.1634666E-2</v>
      </c>
      <c r="L22">
        <v>2.3401801E-2</v>
      </c>
      <c r="M22">
        <v>2.3549575E-2</v>
      </c>
      <c r="N22">
        <v>2.3248192000000001E-2</v>
      </c>
      <c r="O22">
        <v>2.3083208000000001E-2</v>
      </c>
      <c r="P22">
        <v>2.3170573999999999E-2</v>
      </c>
      <c r="Q22">
        <v>2.3257498000000001E-2</v>
      </c>
      <c r="R22">
        <v>2.2699878999999999E-2</v>
      </c>
      <c r="S22">
        <v>2.2762378999999999E-2</v>
      </c>
      <c r="T22">
        <v>2.2853417000000001E-2</v>
      </c>
      <c r="U22">
        <v>2.2744219999999999E-2</v>
      </c>
    </row>
    <row r="23" spans="1:21">
      <c r="A23" t="s">
        <v>20</v>
      </c>
      <c r="B23">
        <v>2.2709093999999999E-2</v>
      </c>
      <c r="C23">
        <v>2.3028984999999998E-2</v>
      </c>
      <c r="D23">
        <v>2.2571569E-2</v>
      </c>
      <c r="E23">
        <v>2.1959389999999999E-2</v>
      </c>
      <c r="F23">
        <v>2.1819808E-2</v>
      </c>
      <c r="G23">
        <v>2.1693533000000001E-2</v>
      </c>
      <c r="H23">
        <v>2.194689E-2</v>
      </c>
      <c r="I23">
        <v>2.2124623999999999E-2</v>
      </c>
      <c r="J23">
        <v>2.2327290999999999E-2</v>
      </c>
      <c r="K23">
        <v>2.1785615000000001E-2</v>
      </c>
      <c r="L23">
        <v>2.3384327E-2</v>
      </c>
      <c r="M23">
        <v>2.3590703000000001E-2</v>
      </c>
      <c r="N23">
        <v>2.3443519999999999E-2</v>
      </c>
      <c r="O23">
        <v>2.3251465999999998E-2</v>
      </c>
      <c r="P23">
        <v>2.3297569000000001E-2</v>
      </c>
      <c r="Q23">
        <v>2.3368389999999999E-2</v>
      </c>
      <c r="R23">
        <v>2.2459377999999999E-2</v>
      </c>
      <c r="S23">
        <v>2.2618118999999999E-2</v>
      </c>
      <c r="T23">
        <v>2.2665768999999999E-2</v>
      </c>
      <c r="U23">
        <v>2.2417311999999998E-2</v>
      </c>
    </row>
    <row r="24" spans="1:21">
      <c r="A24" t="s">
        <v>21</v>
      </c>
      <c r="B24">
        <v>2.2516325E-2</v>
      </c>
      <c r="C24">
        <v>2.2787094000000001E-2</v>
      </c>
      <c r="D24">
        <v>2.2325485999999999E-2</v>
      </c>
      <c r="E24">
        <v>2.1779166999999999E-2</v>
      </c>
      <c r="F24">
        <v>2.1771977000000001E-2</v>
      </c>
      <c r="G24">
        <v>2.1660560999999998E-2</v>
      </c>
      <c r="H24">
        <v>2.1710991999999998E-2</v>
      </c>
      <c r="I24">
        <v>2.1745774999999998E-2</v>
      </c>
      <c r="J24">
        <v>2.1971125000000001E-2</v>
      </c>
      <c r="K24">
        <v>2.1482002E-2</v>
      </c>
      <c r="L24">
        <v>2.3329197999999999E-2</v>
      </c>
      <c r="M24">
        <v>2.3528749000000002E-2</v>
      </c>
      <c r="N24">
        <v>2.3152709E-2</v>
      </c>
      <c r="O24">
        <v>2.2939872E-2</v>
      </c>
      <c r="P24">
        <v>2.3170883E-2</v>
      </c>
      <c r="Q24">
        <v>2.3356535000000001E-2</v>
      </c>
      <c r="R24">
        <v>2.2544956000000001E-2</v>
      </c>
      <c r="S24">
        <v>2.2851092999999999E-2</v>
      </c>
      <c r="T24">
        <v>2.2578933999999998E-2</v>
      </c>
      <c r="U24">
        <v>2.2406908E-2</v>
      </c>
    </row>
    <row r="25" spans="1:21">
      <c r="A25" t="s">
        <v>34</v>
      </c>
      <c r="B25">
        <v>2.2667682000000001E-2</v>
      </c>
      <c r="C25">
        <v>2.2967517E-2</v>
      </c>
      <c r="D25">
        <v>2.2459215000000001E-2</v>
      </c>
      <c r="E25">
        <v>2.2017104999999999E-2</v>
      </c>
      <c r="F25">
        <v>2.1871686000000001E-2</v>
      </c>
      <c r="G25">
        <v>2.186227E-2</v>
      </c>
      <c r="H25">
        <v>2.2076551E-2</v>
      </c>
      <c r="I25">
        <v>2.2170855E-2</v>
      </c>
      <c r="J25">
        <v>2.2365268000000001E-2</v>
      </c>
      <c r="K25">
        <v>2.1864932E-2</v>
      </c>
      <c r="L25">
        <v>2.3520676000000001E-2</v>
      </c>
      <c r="M25">
        <v>2.3501293999999999E-2</v>
      </c>
      <c r="N25">
        <v>2.3215117E-2</v>
      </c>
      <c r="O25">
        <v>2.3166539E-2</v>
      </c>
      <c r="P25">
        <v>2.3213287999999999E-2</v>
      </c>
      <c r="Q25">
        <v>2.3278759999999999E-2</v>
      </c>
      <c r="R25">
        <v>2.2673150999999999E-2</v>
      </c>
      <c r="S25">
        <v>2.2568781E-2</v>
      </c>
      <c r="T25">
        <v>2.2438465000000001E-2</v>
      </c>
      <c r="U25">
        <v>2.2373013000000001E-2</v>
      </c>
    </row>
    <row r="26" spans="1:21">
      <c r="A26" t="s">
        <v>22</v>
      </c>
      <c r="B26">
        <v>2.2980998999999998E-2</v>
      </c>
      <c r="C26">
        <v>2.3523832000000001E-2</v>
      </c>
      <c r="D26">
        <v>2.3173752999999998E-2</v>
      </c>
      <c r="E26">
        <v>2.2965103000000001E-2</v>
      </c>
      <c r="F26">
        <v>2.3077026E-2</v>
      </c>
      <c r="G26">
        <v>2.3178423E-2</v>
      </c>
      <c r="H26">
        <v>2.3462378999999998E-2</v>
      </c>
      <c r="I26">
        <v>2.3457542000000001E-2</v>
      </c>
      <c r="J26">
        <v>2.3841454000000002E-2</v>
      </c>
      <c r="K26">
        <v>2.3378679999999999E-2</v>
      </c>
      <c r="L26">
        <v>2.5251068000000002E-2</v>
      </c>
      <c r="M26">
        <v>2.5414320000000001E-2</v>
      </c>
      <c r="N26">
        <v>2.5267126000000001E-2</v>
      </c>
      <c r="O26">
        <v>2.5023688999999998E-2</v>
      </c>
      <c r="P26">
        <v>2.5211767999999999E-2</v>
      </c>
      <c r="Q26">
        <v>2.5275443000000002E-2</v>
      </c>
      <c r="R26">
        <v>2.4569316000000001E-2</v>
      </c>
      <c r="S26">
        <v>2.4883287E-2</v>
      </c>
      <c r="T26">
        <v>2.4711881000000002E-2</v>
      </c>
      <c r="U26">
        <v>2.4798619000000001E-2</v>
      </c>
    </row>
    <row r="27" spans="1:21">
      <c r="A27" t="s">
        <v>23</v>
      </c>
      <c r="B27">
        <v>2.2497451000000002E-2</v>
      </c>
      <c r="C27">
        <v>2.2802540999999999E-2</v>
      </c>
      <c r="D27">
        <v>2.2307859999999999E-2</v>
      </c>
      <c r="E27">
        <v>2.1822028E-2</v>
      </c>
      <c r="F27">
        <v>2.1675261000000001E-2</v>
      </c>
      <c r="G27">
        <v>2.1737320000000001E-2</v>
      </c>
      <c r="H27">
        <v>2.1844125999999998E-2</v>
      </c>
      <c r="I27">
        <v>2.1843234E-2</v>
      </c>
      <c r="J27">
        <v>2.2117568000000001E-2</v>
      </c>
      <c r="K27">
        <v>2.1648113E-2</v>
      </c>
      <c r="L27">
        <v>2.3551910999999998E-2</v>
      </c>
      <c r="M27">
        <v>2.3561176E-2</v>
      </c>
      <c r="N27">
        <v>2.3372675999999998E-2</v>
      </c>
      <c r="O27">
        <v>2.2962224E-2</v>
      </c>
      <c r="P27">
        <v>2.3038263E-2</v>
      </c>
      <c r="Q27">
        <v>2.30853E-2</v>
      </c>
      <c r="R27">
        <v>2.2707146000000001E-2</v>
      </c>
      <c r="S27">
        <v>2.2777599999999999E-2</v>
      </c>
      <c r="T27">
        <v>2.2620494000000001E-2</v>
      </c>
      <c r="U27">
        <v>2.2549579E-2</v>
      </c>
    </row>
    <row r="28" spans="1:21">
      <c r="A28" t="s">
        <v>24</v>
      </c>
      <c r="B28">
        <v>2.2522871999999999E-2</v>
      </c>
      <c r="C28">
        <v>2.2823479000000001E-2</v>
      </c>
      <c r="D28">
        <v>2.2382017000000001E-2</v>
      </c>
      <c r="E28">
        <v>2.1815047000000001E-2</v>
      </c>
      <c r="F28">
        <v>2.1709348999999999E-2</v>
      </c>
      <c r="G28">
        <v>2.1672588E-2</v>
      </c>
      <c r="H28">
        <v>2.1776145E-2</v>
      </c>
      <c r="I28">
        <v>2.1641657000000002E-2</v>
      </c>
      <c r="J28">
        <v>2.2034914999999999E-2</v>
      </c>
      <c r="K28">
        <v>2.1627277E-2</v>
      </c>
      <c r="L28">
        <v>2.3461176E-2</v>
      </c>
      <c r="M28">
        <v>2.3565078E-2</v>
      </c>
      <c r="N28">
        <v>2.3348540000000001E-2</v>
      </c>
      <c r="O28">
        <v>2.3146291999999999E-2</v>
      </c>
      <c r="P28">
        <v>2.3232834000000001E-2</v>
      </c>
      <c r="Q28">
        <v>2.3288341000000001E-2</v>
      </c>
      <c r="R28">
        <v>2.2707727E-2</v>
      </c>
      <c r="S28">
        <v>2.2776289000000002E-2</v>
      </c>
      <c r="T28">
        <v>2.2527801E-2</v>
      </c>
      <c r="U28">
        <v>2.2389919000000001E-2</v>
      </c>
    </row>
    <row r="29" spans="1:21">
      <c r="A29" t="s">
        <v>25</v>
      </c>
      <c r="B29">
        <v>2.2290483E-2</v>
      </c>
      <c r="C29">
        <v>2.2480085E-2</v>
      </c>
      <c r="D29">
        <v>2.2042796E-2</v>
      </c>
      <c r="E29">
        <v>2.1472886E-2</v>
      </c>
      <c r="F29">
        <v>2.1246129999999998E-2</v>
      </c>
      <c r="G29">
        <v>2.1047287000000001E-2</v>
      </c>
      <c r="H29">
        <v>2.1113256E-2</v>
      </c>
      <c r="I29">
        <v>2.0835685E-2</v>
      </c>
      <c r="J29">
        <v>2.1122795E-2</v>
      </c>
      <c r="K29">
        <v>2.0653706000000001E-2</v>
      </c>
      <c r="L29">
        <v>2.2311805000000001E-2</v>
      </c>
      <c r="M29">
        <v>2.2609285999999999E-2</v>
      </c>
      <c r="N29">
        <v>2.2431932000000002E-2</v>
      </c>
      <c r="O29">
        <v>2.2138918E-2</v>
      </c>
      <c r="P29">
        <v>2.2172180999999999E-2</v>
      </c>
      <c r="Q29">
        <v>2.2363871E-2</v>
      </c>
      <c r="R29">
        <v>2.1828859999999999E-2</v>
      </c>
      <c r="S29">
        <v>2.1924201000000001E-2</v>
      </c>
      <c r="T29">
        <v>2.2103092000000001E-2</v>
      </c>
      <c r="U29">
        <v>2.2016820999999999E-2</v>
      </c>
    </row>
    <row r="30" spans="1:21">
      <c r="A30" t="s">
        <v>26</v>
      </c>
      <c r="B30">
        <v>2.5707346999999998E-2</v>
      </c>
      <c r="C30">
        <v>2.6372700999999998E-2</v>
      </c>
      <c r="D30">
        <v>2.6223406000000001E-2</v>
      </c>
      <c r="E30">
        <v>2.6017874E-2</v>
      </c>
      <c r="F30">
        <v>2.6200166E-2</v>
      </c>
      <c r="G30">
        <v>2.6058072000000002E-2</v>
      </c>
      <c r="H30">
        <v>2.6524058999999999E-2</v>
      </c>
      <c r="I30">
        <v>2.7111264E-2</v>
      </c>
      <c r="J30">
        <v>2.7512683999999999E-2</v>
      </c>
      <c r="K30">
        <v>2.7175331E-2</v>
      </c>
      <c r="L30">
        <v>2.9185106999999998E-2</v>
      </c>
      <c r="M30">
        <v>2.9082126999999999E-2</v>
      </c>
      <c r="N30">
        <v>2.9378351E-2</v>
      </c>
      <c r="O30">
        <v>2.9032364000000001E-2</v>
      </c>
      <c r="P30">
        <v>2.8904071E-2</v>
      </c>
      <c r="Q30">
        <v>2.9140157999999999E-2</v>
      </c>
      <c r="R30">
        <v>2.8930008E-2</v>
      </c>
      <c r="S30">
        <v>2.9301146E-2</v>
      </c>
      <c r="T30">
        <v>2.9081224999999999E-2</v>
      </c>
      <c r="U30">
        <v>2.9064899000000002E-2</v>
      </c>
    </row>
    <row r="31" spans="1:21">
      <c r="A31" t="s">
        <v>27</v>
      </c>
      <c r="B31">
        <v>2.5886735000000001E-2</v>
      </c>
      <c r="C31">
        <v>2.6645187000000001E-2</v>
      </c>
      <c r="D31">
        <v>2.6265908000000001E-2</v>
      </c>
      <c r="E31">
        <v>2.5947294999999999E-2</v>
      </c>
      <c r="F31">
        <v>2.5842845E-2</v>
      </c>
      <c r="G31">
        <v>2.5742443E-2</v>
      </c>
      <c r="H31">
        <v>2.614758E-2</v>
      </c>
      <c r="I31">
        <v>2.6560355000000001E-2</v>
      </c>
      <c r="J31">
        <v>2.6673123E-2</v>
      </c>
      <c r="K31">
        <v>2.6313501999999999E-2</v>
      </c>
      <c r="L31">
        <v>2.8475467000000001E-2</v>
      </c>
      <c r="M31">
        <v>2.8536601000000002E-2</v>
      </c>
      <c r="N31">
        <v>2.8530384999999998E-2</v>
      </c>
      <c r="O31">
        <v>2.8338111999999999E-2</v>
      </c>
      <c r="P31">
        <v>2.8468771E-2</v>
      </c>
      <c r="Q31">
        <v>2.8647531E-2</v>
      </c>
      <c r="R31">
        <v>2.7993583999999998E-2</v>
      </c>
      <c r="S31">
        <v>2.8195113000000001E-2</v>
      </c>
      <c r="T31">
        <v>2.7871026E-2</v>
      </c>
      <c r="U31">
        <v>2.7846526E-2</v>
      </c>
    </row>
    <row r="32" spans="1:21">
      <c r="A32" t="s">
        <v>28</v>
      </c>
      <c r="B32">
        <v>2.6353321999999998E-2</v>
      </c>
      <c r="C32">
        <v>2.7367240000000001E-2</v>
      </c>
      <c r="D32">
        <v>2.7405613999999998E-2</v>
      </c>
      <c r="E32">
        <v>2.7757450999999999E-2</v>
      </c>
      <c r="F32">
        <v>2.7960459E-2</v>
      </c>
      <c r="G32">
        <v>2.8248479999999999E-2</v>
      </c>
      <c r="H32">
        <v>2.8844076999999999E-2</v>
      </c>
      <c r="I32">
        <v>2.9600459999999999E-2</v>
      </c>
      <c r="J32">
        <v>3.0154297E-2</v>
      </c>
      <c r="K32">
        <v>2.9975953999999999E-2</v>
      </c>
      <c r="L32">
        <v>3.2458931000000003E-2</v>
      </c>
      <c r="M32">
        <v>3.2485950999999999E-2</v>
      </c>
      <c r="N32">
        <v>3.2586530000000002E-2</v>
      </c>
      <c r="O32">
        <v>3.2135230000000001E-2</v>
      </c>
      <c r="P32">
        <v>3.2189883000000002E-2</v>
      </c>
      <c r="Q32">
        <v>3.2671726999999998E-2</v>
      </c>
      <c r="R32">
        <v>3.2005596999999997E-2</v>
      </c>
      <c r="S32">
        <v>3.2300606000000003E-2</v>
      </c>
      <c r="T32">
        <v>3.2082982000000003E-2</v>
      </c>
      <c r="U32">
        <v>3.1902209000000001E-2</v>
      </c>
    </row>
    <row r="33" spans="1:21">
      <c r="A33" t="s">
        <v>29</v>
      </c>
      <c r="B33">
        <v>2.6638959E-2</v>
      </c>
      <c r="C33">
        <v>2.7670059E-2</v>
      </c>
      <c r="D33">
        <v>2.7751325E-2</v>
      </c>
      <c r="E33">
        <v>2.7845964000000001E-2</v>
      </c>
      <c r="F33">
        <v>2.8291456E-2</v>
      </c>
      <c r="G33">
        <v>2.8636768E-2</v>
      </c>
      <c r="H33">
        <v>2.9532867000000001E-2</v>
      </c>
      <c r="I33">
        <v>3.0073717E-2</v>
      </c>
      <c r="J33">
        <v>3.0765481000000001E-2</v>
      </c>
      <c r="K33">
        <v>3.0322634000000001E-2</v>
      </c>
      <c r="L33">
        <v>3.2823268000000003E-2</v>
      </c>
      <c r="M33">
        <v>3.2717254000000001E-2</v>
      </c>
      <c r="N33">
        <v>3.3133253000000001E-2</v>
      </c>
      <c r="O33">
        <v>3.2955605999999998E-2</v>
      </c>
      <c r="P33">
        <v>3.3126712000000003E-2</v>
      </c>
      <c r="Q33">
        <v>3.3509754000000003E-2</v>
      </c>
      <c r="R33">
        <v>3.2727733000000002E-2</v>
      </c>
      <c r="S33">
        <v>3.3259138000000001E-2</v>
      </c>
      <c r="T33">
        <v>3.2899715000000003E-2</v>
      </c>
      <c r="U33">
        <v>3.2840452999999999E-2</v>
      </c>
    </row>
    <row r="34" spans="1:21">
      <c r="A34" t="s">
        <v>30</v>
      </c>
      <c r="B34">
        <v>2.6585332999999999E-2</v>
      </c>
      <c r="C34">
        <v>2.7615153999999999E-2</v>
      </c>
      <c r="D34">
        <v>2.7583407000000001E-2</v>
      </c>
      <c r="E34">
        <v>2.77863E-2</v>
      </c>
      <c r="F34">
        <v>2.8115834999999999E-2</v>
      </c>
      <c r="G34">
        <v>2.8525636E-2</v>
      </c>
      <c r="H34">
        <v>2.9453764E-2</v>
      </c>
      <c r="I34">
        <v>3.0455703000000001E-2</v>
      </c>
      <c r="J34">
        <v>3.1026416000000001E-2</v>
      </c>
      <c r="K34">
        <v>3.0559309E-2</v>
      </c>
      <c r="L34">
        <v>3.2838083999999997E-2</v>
      </c>
      <c r="M34">
        <v>3.2762125000000003E-2</v>
      </c>
      <c r="N34">
        <v>3.2976795000000003E-2</v>
      </c>
      <c r="O34">
        <v>3.2831277999999998E-2</v>
      </c>
      <c r="P34">
        <v>3.2851933999999999E-2</v>
      </c>
      <c r="Q34">
        <v>3.3416551000000003E-2</v>
      </c>
      <c r="R34">
        <v>3.2753183999999998E-2</v>
      </c>
      <c r="S34">
        <v>3.3208024000000003E-2</v>
      </c>
      <c r="T34">
        <v>3.3262547000000003E-2</v>
      </c>
      <c r="U34">
        <v>3.3139101999999997E-2</v>
      </c>
    </row>
    <row r="35" spans="1:21">
      <c r="A35" t="s">
        <v>31</v>
      </c>
      <c r="B35">
        <v>1.939432E-2</v>
      </c>
      <c r="C35">
        <v>1.9974707000000001E-2</v>
      </c>
      <c r="D35">
        <v>1.9790377000000001E-2</v>
      </c>
      <c r="E35">
        <v>1.9422391000000001E-2</v>
      </c>
      <c r="F35">
        <v>1.9507793999999998E-2</v>
      </c>
      <c r="G35">
        <v>1.9402334E-2</v>
      </c>
      <c r="H35">
        <v>1.9769894E-2</v>
      </c>
      <c r="I35">
        <v>1.9715310999999999E-2</v>
      </c>
      <c r="J35">
        <v>1.9827569E-2</v>
      </c>
      <c r="K35">
        <v>1.9495292000000001E-2</v>
      </c>
      <c r="L35">
        <v>2.1212651999999999E-2</v>
      </c>
      <c r="M35">
        <v>2.1430307999999999E-2</v>
      </c>
      <c r="N35">
        <v>2.1433890000000001E-2</v>
      </c>
      <c r="O35">
        <v>2.1211331999999999E-2</v>
      </c>
      <c r="P35">
        <v>2.1056438E-2</v>
      </c>
      <c r="Q35">
        <v>2.1062332999999999E-2</v>
      </c>
      <c r="R35">
        <v>2.0842289999999999E-2</v>
      </c>
      <c r="S35">
        <v>2.1151553999999999E-2</v>
      </c>
      <c r="T35">
        <v>2.0982028999999999E-2</v>
      </c>
      <c r="U35">
        <v>2.0736734999999999E-2</v>
      </c>
    </row>
    <row r="36" spans="1:21">
      <c r="A36" t="s">
        <v>32</v>
      </c>
      <c r="B36">
        <v>1.9492064E-2</v>
      </c>
      <c r="C36">
        <v>2.0082137E-2</v>
      </c>
      <c r="D36">
        <v>1.9855055999999999E-2</v>
      </c>
      <c r="E36">
        <v>1.9586000999999999E-2</v>
      </c>
      <c r="F36">
        <v>1.9606420999999999E-2</v>
      </c>
      <c r="G36">
        <v>1.9603659999999998E-2</v>
      </c>
      <c r="H36">
        <v>1.9883919999999999E-2</v>
      </c>
      <c r="I36">
        <v>2.0030163E-2</v>
      </c>
      <c r="J36">
        <v>2.0438927999999999E-2</v>
      </c>
      <c r="K36">
        <v>2.0131838999999999E-2</v>
      </c>
      <c r="L36">
        <v>2.1846170000000002E-2</v>
      </c>
      <c r="M36">
        <v>2.2231765000000001E-2</v>
      </c>
      <c r="N36">
        <v>2.2219457000000001E-2</v>
      </c>
      <c r="O36">
        <v>2.1914333000000001E-2</v>
      </c>
      <c r="P36">
        <v>2.2167797999999999E-2</v>
      </c>
      <c r="Q36">
        <v>2.2336023E-2</v>
      </c>
      <c r="R36">
        <v>2.2111082000000001E-2</v>
      </c>
      <c r="S36">
        <v>2.2451269999999999E-2</v>
      </c>
      <c r="T36">
        <v>2.2126466000000001E-2</v>
      </c>
      <c r="U36">
        <v>2.2059642000000001E-2</v>
      </c>
    </row>
    <row r="37" spans="1:21">
      <c r="A37" t="s">
        <v>33</v>
      </c>
      <c r="B37">
        <v>1.9054392E-2</v>
      </c>
      <c r="C37">
        <v>1.9368017000000001E-2</v>
      </c>
      <c r="D37">
        <v>1.9018054E-2</v>
      </c>
      <c r="E37">
        <v>1.8654242000000001E-2</v>
      </c>
      <c r="F37">
        <v>1.8707313E-2</v>
      </c>
      <c r="G37">
        <v>1.8642617E-2</v>
      </c>
      <c r="H37">
        <v>1.8737679E-2</v>
      </c>
      <c r="I37">
        <v>1.8646412000000001E-2</v>
      </c>
      <c r="J37">
        <v>1.8795226000000002E-2</v>
      </c>
      <c r="K37">
        <v>1.8465353E-2</v>
      </c>
      <c r="L37">
        <v>2.0019891000000001E-2</v>
      </c>
      <c r="M37">
        <v>2.0064505E-2</v>
      </c>
      <c r="N37">
        <v>2.0074140000000001E-2</v>
      </c>
      <c r="O37">
        <v>1.9779155E-2</v>
      </c>
      <c r="P37">
        <v>1.9631315E-2</v>
      </c>
      <c r="Q37">
        <v>1.9485695000000001E-2</v>
      </c>
      <c r="R37">
        <v>1.9199647E-2</v>
      </c>
      <c r="S37">
        <v>1.9549618000000001E-2</v>
      </c>
      <c r="T37">
        <v>1.9395405000000001E-2</v>
      </c>
      <c r="U37">
        <v>1.9362239E-2</v>
      </c>
    </row>
  </sheetData>
  <phoneticPr fontId="0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"AA_phi_pat_1.4A"</f>
        <v>AA_phi_pat_1.4A</v>
      </c>
      <c r="C1" s="1" t="str">
        <f>"AA_phi_pat_2A"</f>
        <v>AA_phi_pat_2A</v>
      </c>
      <c r="D1" s="1" t="str">
        <f>"AA_phi_pat_3A"</f>
        <v>AA_phi_pat_3A</v>
      </c>
      <c r="E1" s="1" t="str">
        <f>"AA_phi_pat_4A"</f>
        <v>AA_phi_pat_4A</v>
      </c>
      <c r="F1" s="1" t="str">
        <f>"AA_phi_pat_5A"</f>
        <v>AA_phi_pat_5A</v>
      </c>
      <c r="G1" s="1" t="str">
        <f>"AA_phi_pat_6A"</f>
        <v>AA_phi_pat_6A</v>
      </c>
      <c r="H1" s="1" t="str">
        <f>"AA_phi_pat_7A"</f>
        <v>AA_phi_pat_7A</v>
      </c>
      <c r="I1" s="1" t="str">
        <f>"AA_phi_pat_8A"</f>
        <v>AA_phi_pat_8A</v>
      </c>
      <c r="J1" s="1" t="str">
        <f>"AA_phi_pat_9A"</f>
        <v>AA_phi_pat_9A</v>
      </c>
      <c r="K1" s="1" t="str">
        <f>"AA_phi_pat_10A"</f>
        <v>AA_phi_pat_10A</v>
      </c>
      <c r="L1" s="1" t="str">
        <f>"AA_phi_pat_11A"</f>
        <v>AA_phi_pat_11A</v>
      </c>
      <c r="M1" s="1" t="str">
        <f>"AA_phi_pat_12A"</f>
        <v>AA_phi_pat_12A</v>
      </c>
      <c r="N1" s="1" t="str">
        <f>"AA_phi_pat_13A"</f>
        <v>AA_phi_pat_13A</v>
      </c>
      <c r="O1" s="1" t="str">
        <f>"AA_phi_pat_14A"</f>
        <v>AA_phi_pat_14A</v>
      </c>
      <c r="P1" s="1" t="str">
        <f>"AA_phi_pat_15A"</f>
        <v>AA_phi_pat_15A</v>
      </c>
      <c r="Q1" s="1" t="str">
        <f>"AA_phi_pat_16A"</f>
        <v>AA_phi_pat_16A</v>
      </c>
      <c r="R1" s="1" t="str">
        <f>"AA_phi_pat_17A"</f>
        <v>AA_phi_pat_17A</v>
      </c>
      <c r="S1" s="1" t="str">
        <f>"AA_phi_pat_18A"</f>
        <v>AA_phi_pat_18A</v>
      </c>
      <c r="T1" s="1" t="str">
        <f>"AA_phi_pat_19A"</f>
        <v>AA_phi_pat_19A</v>
      </c>
      <c r="U1" s="1" t="str">
        <f>"AA_phi_pat_20A"</f>
        <v>AA_phi_pat_20A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7.0394003E-3</v>
      </c>
      <c r="C3">
        <v>6.9736852000000004E-3</v>
      </c>
      <c r="D3">
        <v>6.6768783000000003E-3</v>
      </c>
      <c r="E3">
        <v>6.5983250000000004E-3</v>
      </c>
      <c r="F3">
        <v>6.5474119000000002E-3</v>
      </c>
      <c r="G3">
        <v>6.4294249999999999E-3</v>
      </c>
      <c r="H3">
        <v>6.4591411999999999E-3</v>
      </c>
      <c r="I3">
        <v>6.4828754000000001E-3</v>
      </c>
      <c r="J3">
        <v>6.4619960999999998E-3</v>
      </c>
      <c r="K3">
        <v>6.3466047999999999E-3</v>
      </c>
      <c r="L3">
        <v>6.8813581000000002E-3</v>
      </c>
      <c r="M3">
        <v>6.8637063000000003E-3</v>
      </c>
      <c r="N3">
        <v>6.8456856999999996E-3</v>
      </c>
      <c r="O3">
        <v>6.6895434000000002E-3</v>
      </c>
      <c r="P3">
        <v>6.6856657999999998E-3</v>
      </c>
      <c r="Q3">
        <v>6.6643943999999998E-3</v>
      </c>
      <c r="R3">
        <v>6.5178260999999996E-3</v>
      </c>
      <c r="S3">
        <v>6.6861552000000001E-3</v>
      </c>
      <c r="T3">
        <v>6.7119887000000001E-3</v>
      </c>
      <c r="U3">
        <v>6.8199154999999999E-3</v>
      </c>
    </row>
    <row r="4" spans="1:24">
      <c r="A4" t="s">
        <v>1</v>
      </c>
      <c r="B4">
        <v>6.3140284999999999E-3</v>
      </c>
      <c r="C4">
        <v>6.3401888999999999E-3</v>
      </c>
      <c r="D4">
        <v>6.1883138999999998E-3</v>
      </c>
      <c r="E4">
        <v>6.1695598999999997E-3</v>
      </c>
      <c r="F4">
        <v>6.1314856000000001E-3</v>
      </c>
      <c r="G4">
        <v>5.9825097999999998E-3</v>
      </c>
      <c r="H4">
        <v>6.0584056000000004E-3</v>
      </c>
      <c r="I4">
        <v>6.1687953E-3</v>
      </c>
      <c r="J4">
        <v>6.2731378999999997E-3</v>
      </c>
      <c r="K4">
        <v>6.1659538000000003E-3</v>
      </c>
      <c r="L4">
        <v>6.6276154999999996E-3</v>
      </c>
      <c r="M4">
        <v>6.6769966000000004E-3</v>
      </c>
      <c r="N4">
        <v>6.6228121999999997E-3</v>
      </c>
      <c r="O4">
        <v>6.5310964999999999E-3</v>
      </c>
      <c r="P4">
        <v>6.5594134000000002E-3</v>
      </c>
      <c r="Q4">
        <v>6.6375108000000004E-3</v>
      </c>
      <c r="R4">
        <v>6.5862726999999996E-3</v>
      </c>
      <c r="S4">
        <v>6.5937228999999997E-3</v>
      </c>
      <c r="T4">
        <v>6.5578696999999998E-3</v>
      </c>
      <c r="U4">
        <v>6.5859886999999999E-3</v>
      </c>
    </row>
    <row r="5" spans="1:24">
      <c r="A5" t="s">
        <v>2</v>
      </c>
      <c r="B5">
        <v>6.3898996000000003E-3</v>
      </c>
      <c r="C5">
        <v>6.4251641999999998E-3</v>
      </c>
      <c r="D5">
        <v>6.2448330999999996E-3</v>
      </c>
      <c r="E5">
        <v>6.2364163000000004E-3</v>
      </c>
      <c r="F5">
        <v>6.2214573999999998E-3</v>
      </c>
      <c r="G5">
        <v>6.1892186999999996E-3</v>
      </c>
      <c r="H5">
        <v>6.2133259999999999E-3</v>
      </c>
      <c r="I5">
        <v>6.2456600999999997E-3</v>
      </c>
      <c r="J5">
        <v>6.2929546000000001E-3</v>
      </c>
      <c r="K5">
        <v>6.2065106000000004E-3</v>
      </c>
      <c r="L5">
        <v>6.6936775E-3</v>
      </c>
      <c r="M5">
        <v>6.7193946000000003E-3</v>
      </c>
      <c r="N5">
        <v>6.7554512000000001E-3</v>
      </c>
      <c r="O5">
        <v>6.7220661000000001E-3</v>
      </c>
      <c r="P5">
        <v>6.8082841999999996E-3</v>
      </c>
      <c r="Q5">
        <v>6.8451837000000001E-3</v>
      </c>
      <c r="R5">
        <v>6.6164084999999996E-3</v>
      </c>
      <c r="S5">
        <v>6.6985530000000003E-3</v>
      </c>
      <c r="T5">
        <v>6.6876779000000003E-3</v>
      </c>
      <c r="U5">
        <v>6.7164180999999996E-3</v>
      </c>
    </row>
    <row r="6" spans="1:24">
      <c r="A6" t="s">
        <v>3</v>
      </c>
      <c r="B6">
        <v>5.0343308000000003E-3</v>
      </c>
      <c r="C6">
        <v>5.0023207E-3</v>
      </c>
      <c r="D6">
        <v>4.6638395000000001E-3</v>
      </c>
      <c r="E6">
        <v>4.5335977000000001E-3</v>
      </c>
      <c r="F6">
        <v>4.4327917999999996E-3</v>
      </c>
      <c r="G6">
        <v>4.3012657999999997E-3</v>
      </c>
      <c r="H6">
        <v>4.2082504000000003E-3</v>
      </c>
      <c r="I6">
        <v>4.1183881000000002E-3</v>
      </c>
      <c r="J6">
        <v>4.2352318000000002E-3</v>
      </c>
      <c r="K6">
        <v>4.1707489E-3</v>
      </c>
      <c r="L6">
        <v>4.4884536999999997E-3</v>
      </c>
      <c r="M6">
        <v>4.4696811000000001E-3</v>
      </c>
      <c r="N6">
        <v>4.4305328999999999E-3</v>
      </c>
      <c r="O6">
        <v>4.3251979999999997E-3</v>
      </c>
      <c r="P6">
        <v>4.2785918000000003E-3</v>
      </c>
      <c r="Q6">
        <v>4.2305071999999997E-3</v>
      </c>
      <c r="R6">
        <v>4.2190226000000004E-3</v>
      </c>
      <c r="S6">
        <v>4.2377020999999999E-3</v>
      </c>
      <c r="T6">
        <v>4.2389636000000003E-3</v>
      </c>
      <c r="U6">
        <v>4.2466585999999997E-3</v>
      </c>
    </row>
    <row r="7" spans="1:24">
      <c r="A7" t="s">
        <v>4</v>
      </c>
      <c r="B7">
        <v>5.2517001000000002E-3</v>
      </c>
      <c r="C7">
        <v>5.2292980000000003E-3</v>
      </c>
      <c r="D7">
        <v>4.9144471999999998E-3</v>
      </c>
      <c r="E7">
        <v>4.7189016000000004E-3</v>
      </c>
      <c r="F7">
        <v>4.6156262999999999E-3</v>
      </c>
      <c r="G7">
        <v>4.4565847999999998E-3</v>
      </c>
      <c r="H7">
        <v>4.3702936000000001E-3</v>
      </c>
      <c r="I7">
        <v>4.3514874000000004E-3</v>
      </c>
      <c r="J7">
        <v>4.4780751000000002E-3</v>
      </c>
      <c r="K7">
        <v>4.4220485999999998E-3</v>
      </c>
      <c r="L7">
        <v>4.8115644999999997E-3</v>
      </c>
      <c r="M7">
        <v>4.8768594999999996E-3</v>
      </c>
      <c r="N7">
        <v>4.8671095000000003E-3</v>
      </c>
      <c r="O7">
        <v>4.7739260000000004E-3</v>
      </c>
      <c r="P7">
        <v>4.7165886000000001E-3</v>
      </c>
      <c r="Q7">
        <v>4.6927985000000004E-3</v>
      </c>
      <c r="R7">
        <v>4.7045322000000001E-3</v>
      </c>
      <c r="S7">
        <v>4.7292471999999999E-3</v>
      </c>
      <c r="T7">
        <v>4.7251586999999999E-3</v>
      </c>
      <c r="U7">
        <v>4.7282162000000004E-3</v>
      </c>
    </row>
    <row r="8" spans="1:24">
      <c r="A8" t="s">
        <v>5</v>
      </c>
      <c r="B8">
        <v>5.1106642999999997E-3</v>
      </c>
      <c r="C8">
        <v>5.1072957000000002E-3</v>
      </c>
      <c r="D8">
        <v>4.7442815000000001E-3</v>
      </c>
      <c r="E8">
        <v>4.4523914999999997E-3</v>
      </c>
      <c r="F8">
        <v>4.3946569999999997E-3</v>
      </c>
      <c r="G8">
        <v>4.2715087000000001E-3</v>
      </c>
      <c r="H8">
        <v>4.1792909999999999E-3</v>
      </c>
      <c r="I8">
        <v>4.0444247000000003E-3</v>
      </c>
      <c r="J8">
        <v>4.1202931000000002E-3</v>
      </c>
      <c r="K8">
        <v>4.1476013000000004E-3</v>
      </c>
      <c r="L8">
        <v>4.5181763999999998E-3</v>
      </c>
      <c r="M8">
        <v>4.4951402E-3</v>
      </c>
      <c r="N8">
        <v>4.4312793999999999E-3</v>
      </c>
      <c r="O8">
        <v>4.3470389E-3</v>
      </c>
      <c r="P8">
        <v>4.2385664000000002E-3</v>
      </c>
      <c r="Q8">
        <v>4.1856113999999998E-3</v>
      </c>
      <c r="R8">
        <v>4.1776783999999999E-3</v>
      </c>
      <c r="S8">
        <v>4.1486229999999997E-3</v>
      </c>
      <c r="T8">
        <v>4.1976677999999998E-3</v>
      </c>
      <c r="U8">
        <v>4.2104241000000004E-3</v>
      </c>
    </row>
    <row r="9" spans="1:24">
      <c r="A9" t="s">
        <v>6</v>
      </c>
      <c r="B9">
        <v>5.1248594999999996E-3</v>
      </c>
      <c r="C9">
        <v>5.1435240999999996E-3</v>
      </c>
      <c r="D9">
        <v>4.8432424999999999E-3</v>
      </c>
      <c r="E9">
        <v>4.590495E-3</v>
      </c>
      <c r="F9">
        <v>4.4962930999999998E-3</v>
      </c>
      <c r="G9">
        <v>4.3611131000000003E-3</v>
      </c>
      <c r="H9">
        <v>4.2671575000000003E-3</v>
      </c>
      <c r="I9">
        <v>4.1713095000000004E-3</v>
      </c>
      <c r="J9">
        <v>4.2544165999999998E-3</v>
      </c>
      <c r="K9">
        <v>4.146935E-3</v>
      </c>
      <c r="L9">
        <v>4.4767703000000002E-3</v>
      </c>
      <c r="M9">
        <v>4.567265E-3</v>
      </c>
      <c r="N9">
        <v>4.5081875E-3</v>
      </c>
      <c r="O9">
        <v>4.3699801999999999E-3</v>
      </c>
      <c r="P9">
        <v>4.3326257999999999E-3</v>
      </c>
      <c r="Q9">
        <v>4.2561428000000004E-3</v>
      </c>
      <c r="R9">
        <v>4.2055859000000003E-3</v>
      </c>
      <c r="S9">
        <v>4.2038928000000001E-3</v>
      </c>
      <c r="T9">
        <v>4.1756205999999999E-3</v>
      </c>
      <c r="U9">
        <v>4.1678278000000001E-3</v>
      </c>
    </row>
    <row r="10" spans="1:24">
      <c r="A10" t="s">
        <v>7</v>
      </c>
      <c r="B10">
        <v>5.8104428000000001E-3</v>
      </c>
      <c r="C10">
        <v>5.7370596999999999E-3</v>
      </c>
      <c r="D10">
        <v>5.4335258999999997E-3</v>
      </c>
      <c r="E10">
        <v>5.2557932E-3</v>
      </c>
      <c r="F10">
        <v>5.2055870000000002E-3</v>
      </c>
      <c r="G10">
        <v>5.1389751000000001E-3</v>
      </c>
      <c r="H10">
        <v>5.1872697999999998E-3</v>
      </c>
      <c r="I10">
        <v>5.0902645999999999E-3</v>
      </c>
      <c r="J10">
        <v>5.1775522999999999E-3</v>
      </c>
      <c r="K10">
        <v>5.1538963000000004E-3</v>
      </c>
      <c r="L10">
        <v>5.6841555000000004E-3</v>
      </c>
      <c r="M10">
        <v>5.6518493000000001E-3</v>
      </c>
      <c r="N10">
        <v>5.6107086E-3</v>
      </c>
      <c r="O10">
        <v>5.4490453999999997E-3</v>
      </c>
      <c r="P10">
        <v>5.4971813E-3</v>
      </c>
      <c r="Q10">
        <v>5.4516931999999997E-3</v>
      </c>
      <c r="R10">
        <v>5.2634123999999996E-3</v>
      </c>
      <c r="S10">
        <v>5.2918330999999997E-3</v>
      </c>
      <c r="T10">
        <v>5.273181E-3</v>
      </c>
      <c r="U10">
        <v>5.3796651999999997E-3</v>
      </c>
    </row>
    <row r="11" spans="1:24">
      <c r="A11" t="s">
        <v>8</v>
      </c>
      <c r="B11">
        <v>5.8352993999999997E-3</v>
      </c>
      <c r="C11">
        <v>5.7649234999999997E-3</v>
      </c>
      <c r="D11">
        <v>5.4706293E-3</v>
      </c>
      <c r="E11">
        <v>5.2834474000000003E-3</v>
      </c>
      <c r="F11">
        <v>5.2216062000000002E-3</v>
      </c>
      <c r="G11">
        <v>5.1761842000000004E-3</v>
      </c>
      <c r="H11">
        <v>5.1972846999999997E-3</v>
      </c>
      <c r="I11">
        <v>5.0467630000000001E-3</v>
      </c>
      <c r="J11">
        <v>5.0633168000000003E-3</v>
      </c>
      <c r="K11">
        <v>4.9579847000000002E-3</v>
      </c>
      <c r="L11">
        <v>5.4359747999999999E-3</v>
      </c>
      <c r="M11">
        <v>5.4770176999999996E-3</v>
      </c>
      <c r="N11">
        <v>5.4895602999999998E-3</v>
      </c>
      <c r="O11">
        <v>5.3686769999999997E-3</v>
      </c>
      <c r="P11">
        <v>5.3950463999999998E-3</v>
      </c>
      <c r="Q11">
        <v>5.3258860000000002E-3</v>
      </c>
      <c r="R11">
        <v>5.2221739E-3</v>
      </c>
      <c r="S11">
        <v>5.2666919999999999E-3</v>
      </c>
      <c r="T11">
        <v>5.3387801E-3</v>
      </c>
      <c r="U11">
        <v>5.3101097999999998E-3</v>
      </c>
    </row>
    <row r="12" spans="1:24">
      <c r="A12" t="s">
        <v>9</v>
      </c>
      <c r="B12">
        <v>4.8921206E-3</v>
      </c>
      <c r="C12">
        <v>4.8535247000000004E-3</v>
      </c>
      <c r="D12">
        <v>4.6527189999999996E-3</v>
      </c>
      <c r="E12">
        <v>4.4202366999999999E-3</v>
      </c>
      <c r="F12">
        <v>4.3065678000000001E-3</v>
      </c>
      <c r="G12">
        <v>4.3497426000000004E-3</v>
      </c>
      <c r="H12">
        <v>4.3131992999999999E-3</v>
      </c>
      <c r="I12">
        <v>4.2481044999999997E-3</v>
      </c>
      <c r="J12">
        <v>4.2837216000000001E-3</v>
      </c>
      <c r="K12">
        <v>4.2131384999999997E-3</v>
      </c>
      <c r="L12">
        <v>4.5356340999999998E-3</v>
      </c>
      <c r="M12">
        <v>4.6125823000000002E-3</v>
      </c>
      <c r="N12">
        <v>4.5068640999999998E-3</v>
      </c>
      <c r="O12">
        <v>4.4573918000000001E-3</v>
      </c>
      <c r="P12">
        <v>4.4867759999999996E-3</v>
      </c>
      <c r="Q12">
        <v>4.4714137999999999E-3</v>
      </c>
      <c r="R12">
        <v>4.3108132999999998E-3</v>
      </c>
      <c r="S12">
        <v>4.4281570999999999E-3</v>
      </c>
      <c r="T12">
        <v>4.4271750000000002E-3</v>
      </c>
      <c r="U12">
        <v>4.3933786999999997E-3</v>
      </c>
    </row>
    <row r="13" spans="1:24">
      <c r="A13" t="s">
        <v>10</v>
      </c>
      <c r="B13">
        <v>4.8809754999999998E-3</v>
      </c>
      <c r="C13">
        <v>4.8013800000000001E-3</v>
      </c>
      <c r="D13">
        <v>4.5856958999999997E-3</v>
      </c>
      <c r="E13">
        <v>4.3960279000000001E-3</v>
      </c>
      <c r="F13">
        <v>4.3778708000000001E-3</v>
      </c>
      <c r="G13">
        <v>4.2848367999999996E-3</v>
      </c>
      <c r="H13">
        <v>4.2771459999999999E-3</v>
      </c>
      <c r="I13">
        <v>4.1942591999999997E-3</v>
      </c>
      <c r="J13">
        <v>4.1944807999999998E-3</v>
      </c>
      <c r="K13">
        <v>4.1559678999999999E-3</v>
      </c>
      <c r="L13">
        <v>4.4701480999999998E-3</v>
      </c>
      <c r="M13">
        <v>4.5237979000000003E-3</v>
      </c>
      <c r="N13">
        <v>4.4631525000000003E-3</v>
      </c>
      <c r="O13">
        <v>4.4416118999999997E-3</v>
      </c>
      <c r="P13">
        <v>4.3701073000000003E-3</v>
      </c>
      <c r="Q13">
        <v>4.4450699000000002E-3</v>
      </c>
      <c r="R13">
        <v>4.2527494999999998E-3</v>
      </c>
      <c r="S13">
        <v>4.2727245000000001E-3</v>
      </c>
      <c r="T13">
        <v>4.3367320000000003E-3</v>
      </c>
      <c r="U13">
        <v>4.3458220999999997E-3</v>
      </c>
    </row>
    <row r="14" spans="1:24">
      <c r="A14" t="s">
        <v>11</v>
      </c>
      <c r="B14">
        <v>4.8967124999999998E-3</v>
      </c>
      <c r="C14">
        <v>4.8776441E-3</v>
      </c>
      <c r="D14">
        <v>4.6282639000000004E-3</v>
      </c>
      <c r="E14">
        <v>4.5070088999999997E-3</v>
      </c>
      <c r="F14">
        <v>4.4495608000000002E-3</v>
      </c>
      <c r="G14">
        <v>4.4048498E-3</v>
      </c>
      <c r="H14">
        <v>4.4091553000000002E-3</v>
      </c>
      <c r="I14">
        <v>4.3736039999999997E-3</v>
      </c>
      <c r="J14">
        <v>4.3686599999999999E-3</v>
      </c>
      <c r="K14">
        <v>4.2712367000000001E-3</v>
      </c>
      <c r="L14">
        <v>4.6369740999999999E-3</v>
      </c>
      <c r="M14">
        <v>4.6625299999999998E-3</v>
      </c>
      <c r="N14">
        <v>4.6453453E-3</v>
      </c>
      <c r="O14">
        <v>4.6971939000000004E-3</v>
      </c>
      <c r="P14">
        <v>4.8046559000000004E-3</v>
      </c>
      <c r="Q14">
        <v>4.7964356000000001E-3</v>
      </c>
      <c r="R14">
        <v>4.5903617999999997E-3</v>
      </c>
      <c r="S14">
        <v>4.6357806000000001E-3</v>
      </c>
      <c r="T14">
        <v>4.6103042999999996E-3</v>
      </c>
      <c r="U14">
        <v>4.6527809000000003E-3</v>
      </c>
    </row>
    <row r="15" spans="1:24">
      <c r="A15" t="s">
        <v>12</v>
      </c>
      <c r="B15">
        <v>4.6578636000000001E-3</v>
      </c>
      <c r="C15">
        <v>4.6519567000000003E-3</v>
      </c>
      <c r="D15">
        <v>4.4370581999999999E-3</v>
      </c>
      <c r="E15">
        <v>4.3007564000000003E-3</v>
      </c>
      <c r="F15">
        <v>4.1820434999999996E-3</v>
      </c>
      <c r="G15">
        <v>4.1062929999999996E-3</v>
      </c>
      <c r="H15">
        <v>4.0949899999999997E-3</v>
      </c>
      <c r="I15">
        <v>4.0766224000000004E-3</v>
      </c>
      <c r="J15">
        <v>4.0894062000000004E-3</v>
      </c>
      <c r="K15">
        <v>4.0468559999999997E-3</v>
      </c>
      <c r="L15">
        <v>4.4017298999999999E-3</v>
      </c>
      <c r="M15">
        <v>4.4955704000000001E-3</v>
      </c>
      <c r="N15">
        <v>4.4797943000000002E-3</v>
      </c>
      <c r="O15">
        <v>4.4135423E-3</v>
      </c>
      <c r="P15">
        <v>4.5367274000000001E-3</v>
      </c>
      <c r="Q15">
        <v>4.5482344000000001E-3</v>
      </c>
      <c r="R15">
        <v>4.4323675999999998E-3</v>
      </c>
      <c r="S15">
        <v>4.4756546000000001E-3</v>
      </c>
      <c r="T15">
        <v>4.4980365999999997E-3</v>
      </c>
      <c r="U15">
        <v>4.5541729999999999E-3</v>
      </c>
    </row>
    <row r="16" spans="1:24">
      <c r="A16" t="s">
        <v>13</v>
      </c>
      <c r="B16">
        <v>6.1511602000000002E-3</v>
      </c>
      <c r="C16">
        <v>6.1060693000000001E-3</v>
      </c>
      <c r="D16">
        <v>5.8183805000000003E-3</v>
      </c>
      <c r="E16">
        <v>5.6092347999999997E-3</v>
      </c>
      <c r="F16">
        <v>5.5278641999999996E-3</v>
      </c>
      <c r="G16">
        <v>5.4529347000000002E-3</v>
      </c>
      <c r="H16">
        <v>5.5262554E-3</v>
      </c>
      <c r="I16">
        <v>5.5060567999999999E-3</v>
      </c>
      <c r="J16">
        <v>5.5594043999999997E-3</v>
      </c>
      <c r="K16">
        <v>5.3718313999999998E-3</v>
      </c>
      <c r="L16">
        <v>5.8548241000000003E-3</v>
      </c>
      <c r="M16">
        <v>5.8902054999999997E-3</v>
      </c>
      <c r="N16">
        <v>5.8498405999999996E-3</v>
      </c>
      <c r="O16">
        <v>5.7310518000000003E-3</v>
      </c>
      <c r="P16">
        <v>5.8112876000000003E-3</v>
      </c>
      <c r="Q16">
        <v>5.8287112000000004E-3</v>
      </c>
      <c r="R16">
        <v>5.7083265999999999E-3</v>
      </c>
      <c r="S16">
        <v>5.7420138999999997E-3</v>
      </c>
      <c r="T16">
        <v>5.747884E-3</v>
      </c>
      <c r="U16">
        <v>5.7485927999999997E-3</v>
      </c>
    </row>
    <row r="17" spans="1:21">
      <c r="A17" t="s">
        <v>14</v>
      </c>
      <c r="B17">
        <v>6.1269547000000002E-3</v>
      </c>
      <c r="C17">
        <v>6.0833221999999996E-3</v>
      </c>
      <c r="D17">
        <v>5.8107133999999996E-3</v>
      </c>
      <c r="E17">
        <v>5.6081810000000003E-3</v>
      </c>
      <c r="F17">
        <v>5.5620977999999996E-3</v>
      </c>
      <c r="G17">
        <v>5.4904734999999998E-3</v>
      </c>
      <c r="H17">
        <v>5.4951180000000002E-3</v>
      </c>
      <c r="I17">
        <v>5.4880338999999997E-3</v>
      </c>
      <c r="J17">
        <v>5.5686453999999998E-3</v>
      </c>
      <c r="K17">
        <v>5.4571604999999997E-3</v>
      </c>
      <c r="L17">
        <v>5.8900732999999997E-3</v>
      </c>
      <c r="M17">
        <v>5.8630280999999998E-3</v>
      </c>
      <c r="N17">
        <v>5.8079361999999997E-3</v>
      </c>
      <c r="O17">
        <v>5.7228315E-3</v>
      </c>
      <c r="P17">
        <v>5.7576867000000004E-3</v>
      </c>
      <c r="Q17">
        <v>5.8531724000000004E-3</v>
      </c>
      <c r="R17">
        <v>5.7339653999999999E-3</v>
      </c>
      <c r="S17">
        <v>5.7274741000000002E-3</v>
      </c>
      <c r="T17">
        <v>5.7373792E-3</v>
      </c>
      <c r="U17">
        <v>5.6526242000000003E-3</v>
      </c>
    </row>
    <row r="18" spans="1:21">
      <c r="A18" t="s">
        <v>15</v>
      </c>
      <c r="B18">
        <v>6.3131591000000001E-3</v>
      </c>
      <c r="C18">
        <v>6.2713296999999998E-3</v>
      </c>
      <c r="D18">
        <v>5.9676356999999996E-3</v>
      </c>
      <c r="E18">
        <v>5.7852548000000004E-3</v>
      </c>
      <c r="F18">
        <v>5.7246596999999998E-3</v>
      </c>
      <c r="G18">
        <v>5.5950488999999999E-3</v>
      </c>
      <c r="H18">
        <v>5.6303530000000003E-3</v>
      </c>
      <c r="I18">
        <v>5.6246459E-3</v>
      </c>
      <c r="J18">
        <v>5.7104853999999997E-3</v>
      </c>
      <c r="K18">
        <v>5.603963E-3</v>
      </c>
      <c r="L18">
        <v>6.0525047999999996E-3</v>
      </c>
      <c r="M18">
        <v>6.0445153999999996E-3</v>
      </c>
      <c r="N18">
        <v>6.0216654E-3</v>
      </c>
      <c r="O18">
        <v>5.9299599000000001E-3</v>
      </c>
      <c r="P18">
        <v>5.9179113999999998E-3</v>
      </c>
      <c r="Q18">
        <v>5.9230005999999997E-3</v>
      </c>
      <c r="R18">
        <v>5.7591144000000002E-3</v>
      </c>
      <c r="S18">
        <v>5.8245915000000002E-3</v>
      </c>
      <c r="T18">
        <v>5.8447602000000001E-3</v>
      </c>
      <c r="U18">
        <v>5.8543099999999997E-3</v>
      </c>
    </row>
    <row r="19" spans="1:21">
      <c r="A19" t="s">
        <v>16</v>
      </c>
      <c r="B19">
        <v>5.8047408000000003E-3</v>
      </c>
      <c r="C19">
        <v>5.7893833E-3</v>
      </c>
      <c r="D19">
        <v>5.5618654000000002E-3</v>
      </c>
      <c r="E19">
        <v>5.4819821000000003E-3</v>
      </c>
      <c r="F19">
        <v>5.4093407999999997E-3</v>
      </c>
      <c r="G19">
        <v>5.3311060000000004E-3</v>
      </c>
      <c r="H19">
        <v>5.3235888E-3</v>
      </c>
      <c r="I19">
        <v>5.2944751999999999E-3</v>
      </c>
      <c r="J19">
        <v>5.3368844000000002E-3</v>
      </c>
      <c r="K19">
        <v>5.1840608999999998E-3</v>
      </c>
      <c r="L19">
        <v>5.5901058999999996E-3</v>
      </c>
      <c r="M19">
        <v>5.6606620000000003E-3</v>
      </c>
      <c r="N19">
        <v>5.6151276999999999E-3</v>
      </c>
      <c r="O19">
        <v>5.5362032999999996E-3</v>
      </c>
      <c r="P19">
        <v>5.5468002999999998E-3</v>
      </c>
      <c r="Q19">
        <v>5.6006106999999996E-3</v>
      </c>
      <c r="R19">
        <v>5.4679713E-3</v>
      </c>
      <c r="S19">
        <v>5.5133789000000001E-3</v>
      </c>
      <c r="T19">
        <v>5.5285823000000003E-3</v>
      </c>
      <c r="U19">
        <v>5.5852686000000002E-3</v>
      </c>
    </row>
    <row r="20" spans="1:21">
      <c r="A20" t="s">
        <v>17</v>
      </c>
      <c r="B20">
        <v>5.8336387999999998E-3</v>
      </c>
      <c r="C20">
        <v>5.7873437000000002E-3</v>
      </c>
      <c r="D20">
        <v>5.5276611999999998E-3</v>
      </c>
      <c r="E20">
        <v>5.4214327000000001E-3</v>
      </c>
      <c r="F20">
        <v>5.3480313999999998E-3</v>
      </c>
      <c r="G20">
        <v>5.2469539999999999E-3</v>
      </c>
      <c r="H20">
        <v>5.2893078000000003E-3</v>
      </c>
      <c r="I20">
        <v>5.2621452999999999E-3</v>
      </c>
      <c r="J20">
        <v>5.2987108999999998E-3</v>
      </c>
      <c r="K20">
        <v>5.1995777000000002E-3</v>
      </c>
      <c r="L20">
        <v>5.6046550000000001E-3</v>
      </c>
      <c r="M20">
        <v>5.5688713000000001E-3</v>
      </c>
      <c r="N20">
        <v>5.5116773999999997E-3</v>
      </c>
      <c r="O20">
        <v>5.4363053999999999E-3</v>
      </c>
      <c r="P20">
        <v>5.4807956000000003E-3</v>
      </c>
      <c r="Q20">
        <v>5.4625031000000001E-3</v>
      </c>
      <c r="R20">
        <v>5.3213284999999999E-3</v>
      </c>
      <c r="S20">
        <v>5.3453323999999997E-3</v>
      </c>
      <c r="T20">
        <v>5.3485516000000002E-3</v>
      </c>
      <c r="U20">
        <v>5.4076015999999999E-3</v>
      </c>
    </row>
    <row r="21" spans="1:21">
      <c r="A21" t="s">
        <v>18</v>
      </c>
      <c r="B21">
        <v>5.8127687999999997E-3</v>
      </c>
      <c r="C21">
        <v>5.7578873999999999E-3</v>
      </c>
      <c r="D21">
        <v>5.5091827999999999E-3</v>
      </c>
      <c r="E21">
        <v>5.4066903000000001E-3</v>
      </c>
      <c r="F21">
        <v>5.3496257999999996E-3</v>
      </c>
      <c r="G21">
        <v>5.2379621000000001E-3</v>
      </c>
      <c r="H21">
        <v>5.2882750000000003E-3</v>
      </c>
      <c r="I21">
        <v>5.2449302999999997E-3</v>
      </c>
      <c r="J21">
        <v>5.2975443999999997E-3</v>
      </c>
      <c r="K21">
        <v>5.1560546000000004E-3</v>
      </c>
      <c r="L21">
        <v>5.5356807999999997E-3</v>
      </c>
      <c r="M21">
        <v>5.5735656000000001E-3</v>
      </c>
      <c r="N21">
        <v>5.5250763E-3</v>
      </c>
      <c r="O21">
        <v>5.4743225E-3</v>
      </c>
      <c r="P21">
        <v>5.4930294999999997E-3</v>
      </c>
      <c r="Q21">
        <v>5.4808239999999996E-3</v>
      </c>
      <c r="R21">
        <v>5.3375666000000004E-3</v>
      </c>
      <c r="S21">
        <v>5.3993128000000001E-3</v>
      </c>
      <c r="T21">
        <v>5.4317367999999998E-3</v>
      </c>
      <c r="U21">
        <v>5.4269256000000002E-3</v>
      </c>
    </row>
    <row r="22" spans="1:21">
      <c r="A22" t="s">
        <v>19</v>
      </c>
      <c r="B22">
        <v>5.7683665999999998E-3</v>
      </c>
      <c r="C22">
        <v>5.7303375E-3</v>
      </c>
      <c r="D22">
        <v>5.4903369999999996E-3</v>
      </c>
      <c r="E22">
        <v>5.3904163999999996E-3</v>
      </c>
      <c r="F22">
        <v>5.2899262000000004E-3</v>
      </c>
      <c r="G22">
        <v>5.2455328000000001E-3</v>
      </c>
      <c r="H22">
        <v>5.2534113999999996E-3</v>
      </c>
      <c r="I22">
        <v>5.2482300000000004E-3</v>
      </c>
      <c r="J22">
        <v>5.275053E-3</v>
      </c>
      <c r="K22">
        <v>5.1660938000000003E-3</v>
      </c>
      <c r="L22">
        <v>5.5736954999999998E-3</v>
      </c>
      <c r="M22">
        <v>5.5882553999999996E-3</v>
      </c>
      <c r="N22">
        <v>5.5025676000000001E-3</v>
      </c>
      <c r="O22">
        <v>5.4526185E-3</v>
      </c>
      <c r="P22">
        <v>5.4648370000000002E-3</v>
      </c>
      <c r="Q22">
        <v>5.4735946000000002E-3</v>
      </c>
      <c r="R22">
        <v>5.3393868999999997E-3</v>
      </c>
      <c r="S22">
        <v>5.398328E-3</v>
      </c>
      <c r="T22">
        <v>5.4321279999999996E-3</v>
      </c>
      <c r="U22">
        <v>5.4499413999999999E-3</v>
      </c>
    </row>
    <row r="23" spans="1:21">
      <c r="A23" t="s">
        <v>20</v>
      </c>
      <c r="B23">
        <v>5.8540162000000001E-3</v>
      </c>
      <c r="C23">
        <v>5.8137396999999999E-3</v>
      </c>
      <c r="D23">
        <v>5.5657132E-3</v>
      </c>
      <c r="E23">
        <v>5.4581085999999999E-3</v>
      </c>
      <c r="F23">
        <v>5.3552175000000004E-3</v>
      </c>
      <c r="G23">
        <v>5.2787983E-3</v>
      </c>
      <c r="H23">
        <v>5.3051356000000001E-3</v>
      </c>
      <c r="I23">
        <v>5.3200163E-3</v>
      </c>
      <c r="J23">
        <v>5.3450171999999997E-3</v>
      </c>
      <c r="K23">
        <v>5.1962490999999996E-3</v>
      </c>
      <c r="L23">
        <v>5.5601466000000004E-3</v>
      </c>
      <c r="M23">
        <v>5.5939498999999998E-3</v>
      </c>
      <c r="N23">
        <v>5.5426586999999996E-3</v>
      </c>
      <c r="O23">
        <v>5.4859975E-3</v>
      </c>
      <c r="P23">
        <v>5.4866037999999999E-3</v>
      </c>
      <c r="Q23">
        <v>5.4976922000000003E-3</v>
      </c>
      <c r="R23">
        <v>5.2930494000000003E-3</v>
      </c>
      <c r="S23">
        <v>5.3345998999999996E-3</v>
      </c>
      <c r="T23">
        <v>5.3834952000000004E-3</v>
      </c>
      <c r="U23">
        <v>5.3935149000000002E-3</v>
      </c>
    </row>
    <row r="24" spans="1:21">
      <c r="A24" t="s">
        <v>21</v>
      </c>
      <c r="B24">
        <v>5.8062226E-3</v>
      </c>
      <c r="C24">
        <v>5.7530076999999999E-3</v>
      </c>
      <c r="D24">
        <v>5.5051483000000002E-3</v>
      </c>
      <c r="E24">
        <v>5.4216808999999998E-3</v>
      </c>
      <c r="F24">
        <v>5.3531671999999999E-3</v>
      </c>
      <c r="G24">
        <v>5.2783168000000002E-3</v>
      </c>
      <c r="H24">
        <v>5.2548092999999997E-3</v>
      </c>
      <c r="I24">
        <v>5.2330982999999999E-3</v>
      </c>
      <c r="J24">
        <v>5.2614519000000002E-3</v>
      </c>
      <c r="K24">
        <v>5.1237395999999998E-3</v>
      </c>
      <c r="L24">
        <v>5.5473381999999998E-3</v>
      </c>
      <c r="M24">
        <v>5.5789016E-3</v>
      </c>
      <c r="N24">
        <v>5.4734553999999996E-3</v>
      </c>
      <c r="O24">
        <v>5.4117920999999999E-3</v>
      </c>
      <c r="P24">
        <v>5.4547531000000002E-3</v>
      </c>
      <c r="Q24">
        <v>5.4902405999999997E-3</v>
      </c>
      <c r="R24">
        <v>5.3060353000000003E-3</v>
      </c>
      <c r="S24">
        <v>5.4084518999999998E-3</v>
      </c>
      <c r="T24">
        <v>5.3786258E-3</v>
      </c>
      <c r="U24">
        <v>5.4007103000000001E-3</v>
      </c>
    </row>
    <row r="25" spans="1:21">
      <c r="A25" t="s">
        <v>34</v>
      </c>
      <c r="B25">
        <v>5.8450797000000002E-3</v>
      </c>
      <c r="C25">
        <v>5.8000255000000001E-3</v>
      </c>
      <c r="D25">
        <v>5.541476E-3</v>
      </c>
      <c r="E25">
        <v>5.4686316E-3</v>
      </c>
      <c r="F25">
        <v>5.3639802999999996E-3</v>
      </c>
      <c r="G25">
        <v>5.3163011999999999E-3</v>
      </c>
      <c r="H25">
        <v>5.3327838000000001E-3</v>
      </c>
      <c r="I25">
        <v>5.3280871E-3</v>
      </c>
      <c r="J25">
        <v>5.3508147000000004E-3</v>
      </c>
      <c r="K25">
        <v>5.2094995E-3</v>
      </c>
      <c r="L25">
        <v>5.5846515999999997E-3</v>
      </c>
      <c r="M25">
        <v>5.5663613999999998E-3</v>
      </c>
      <c r="N25">
        <v>5.4869107E-3</v>
      </c>
      <c r="O25">
        <v>5.4644988999999998E-3</v>
      </c>
      <c r="P25">
        <v>5.4644905000000004E-3</v>
      </c>
      <c r="Q25">
        <v>5.4796649999999999E-3</v>
      </c>
      <c r="R25">
        <v>5.3443001000000002E-3</v>
      </c>
      <c r="S25">
        <v>5.3173331999999997E-3</v>
      </c>
      <c r="T25">
        <v>5.3653307000000004E-3</v>
      </c>
      <c r="U25">
        <v>5.3866039999999997E-3</v>
      </c>
    </row>
    <row r="26" spans="1:21">
      <c r="A26" t="s">
        <v>22</v>
      </c>
      <c r="B26">
        <v>6.1105760000000004E-3</v>
      </c>
      <c r="C26">
        <v>6.0860310000000004E-3</v>
      </c>
      <c r="D26">
        <v>5.8209333E-3</v>
      </c>
      <c r="E26">
        <v>5.6620422E-3</v>
      </c>
      <c r="F26">
        <v>5.6162672000000004E-3</v>
      </c>
      <c r="G26">
        <v>5.5882431999999998E-3</v>
      </c>
      <c r="H26">
        <v>5.6169419999999998E-3</v>
      </c>
      <c r="I26">
        <v>5.5827200000000002E-3</v>
      </c>
      <c r="J26">
        <v>5.6504277000000002E-3</v>
      </c>
      <c r="K26">
        <v>5.5171717000000002E-3</v>
      </c>
      <c r="L26">
        <v>5.9427706999999998E-3</v>
      </c>
      <c r="M26">
        <v>5.9660794000000001E-3</v>
      </c>
      <c r="N26">
        <v>5.9175338000000003E-3</v>
      </c>
      <c r="O26">
        <v>5.8508520000000001E-3</v>
      </c>
      <c r="P26">
        <v>5.8839410000000002E-3</v>
      </c>
      <c r="Q26">
        <v>5.8924258E-3</v>
      </c>
      <c r="R26">
        <v>5.7184588999999999E-3</v>
      </c>
      <c r="S26">
        <v>5.7821725000000001E-3</v>
      </c>
      <c r="T26">
        <v>5.7379077000000002E-3</v>
      </c>
      <c r="U26">
        <v>5.7549643999999997E-3</v>
      </c>
    </row>
    <row r="27" spans="1:21">
      <c r="A27" t="s">
        <v>23</v>
      </c>
      <c r="B27">
        <v>5.8004544000000002E-3</v>
      </c>
      <c r="C27">
        <v>5.7546087000000003E-3</v>
      </c>
      <c r="D27">
        <v>5.4983716000000004E-3</v>
      </c>
      <c r="E27">
        <v>5.4274685999999997E-3</v>
      </c>
      <c r="F27">
        <v>5.3241373999999998E-3</v>
      </c>
      <c r="G27">
        <v>5.2905525000000002E-3</v>
      </c>
      <c r="H27">
        <v>5.2798408999999999E-3</v>
      </c>
      <c r="I27">
        <v>5.2495505999999997E-3</v>
      </c>
      <c r="J27">
        <v>5.2934028000000003E-3</v>
      </c>
      <c r="K27">
        <v>5.1617045000000002E-3</v>
      </c>
      <c r="L27">
        <v>5.6007621E-3</v>
      </c>
      <c r="M27">
        <v>5.5836052999999998E-3</v>
      </c>
      <c r="N27">
        <v>5.5241346999999998E-3</v>
      </c>
      <c r="O27">
        <v>5.4194205000000001E-3</v>
      </c>
      <c r="P27">
        <v>5.4283263000000003E-3</v>
      </c>
      <c r="Q27">
        <v>5.4342211E-3</v>
      </c>
      <c r="R27">
        <v>5.3453826999999999E-3</v>
      </c>
      <c r="S27">
        <v>5.4112411999999999E-3</v>
      </c>
      <c r="T27">
        <v>5.3908908999999996E-3</v>
      </c>
      <c r="U27">
        <v>5.4341075000000003E-3</v>
      </c>
    </row>
    <row r="28" spans="1:21">
      <c r="A28" t="s">
        <v>24</v>
      </c>
      <c r="B28">
        <v>5.8068787000000004E-3</v>
      </c>
      <c r="C28">
        <v>5.7602208000000002E-3</v>
      </c>
      <c r="D28">
        <v>5.518808E-3</v>
      </c>
      <c r="E28">
        <v>5.4279501000000004E-3</v>
      </c>
      <c r="F28">
        <v>5.3364904999999999E-3</v>
      </c>
      <c r="G28">
        <v>5.2794911999999999E-3</v>
      </c>
      <c r="H28">
        <v>5.2673872999999998E-3</v>
      </c>
      <c r="I28">
        <v>5.2041146000000003E-3</v>
      </c>
      <c r="J28">
        <v>5.2722651000000004E-3</v>
      </c>
      <c r="K28">
        <v>5.1546092000000002E-3</v>
      </c>
      <c r="L28">
        <v>5.5745467999999999E-3</v>
      </c>
      <c r="M28">
        <v>5.5814488000000004E-3</v>
      </c>
      <c r="N28">
        <v>5.5153401999999997E-3</v>
      </c>
      <c r="O28">
        <v>5.4561658999999997E-3</v>
      </c>
      <c r="P28">
        <v>5.4647741E-3</v>
      </c>
      <c r="Q28">
        <v>5.4650428000000001E-3</v>
      </c>
      <c r="R28">
        <v>5.3409976000000003E-3</v>
      </c>
      <c r="S28">
        <v>5.3949467999999997E-3</v>
      </c>
      <c r="T28">
        <v>5.3602195999999996E-3</v>
      </c>
      <c r="U28">
        <v>5.3629777000000003E-3</v>
      </c>
    </row>
    <row r="29" spans="1:21">
      <c r="A29" t="s">
        <v>25</v>
      </c>
      <c r="B29">
        <v>5.7421918000000001E-3</v>
      </c>
      <c r="C29">
        <v>5.6694411000000004E-3</v>
      </c>
      <c r="D29">
        <v>5.4295715E-3</v>
      </c>
      <c r="E29">
        <v>5.3452876999999996E-3</v>
      </c>
      <c r="F29">
        <v>5.2244975000000004E-3</v>
      </c>
      <c r="G29">
        <v>5.1317764000000004E-3</v>
      </c>
      <c r="H29">
        <v>5.1165014E-3</v>
      </c>
      <c r="I29">
        <v>5.0230142999999998E-3</v>
      </c>
      <c r="J29">
        <v>5.0688660999999996E-3</v>
      </c>
      <c r="K29">
        <v>4.9372963000000004E-3</v>
      </c>
      <c r="L29">
        <v>5.3174631000000002E-3</v>
      </c>
      <c r="M29">
        <v>5.3717983000000002E-3</v>
      </c>
      <c r="N29">
        <v>5.3157574000000001E-3</v>
      </c>
      <c r="O29">
        <v>5.2401326E-3</v>
      </c>
      <c r="P29">
        <v>5.2391738E-3</v>
      </c>
      <c r="Q29">
        <v>5.2746125000000003E-3</v>
      </c>
      <c r="R29">
        <v>5.1536554999999998E-3</v>
      </c>
      <c r="S29">
        <v>5.1965806999999999E-3</v>
      </c>
      <c r="T29">
        <v>5.3121308000000002E-3</v>
      </c>
      <c r="U29">
        <v>5.3367125999999997E-3</v>
      </c>
    </row>
    <row r="30" spans="1:21">
      <c r="A30" t="s">
        <v>26</v>
      </c>
      <c r="B30">
        <v>6.6621372999999999E-3</v>
      </c>
      <c r="C30">
        <v>6.6965478E-3</v>
      </c>
      <c r="D30">
        <v>6.5068258000000002E-3</v>
      </c>
      <c r="E30">
        <v>6.4431786999999997E-3</v>
      </c>
      <c r="F30">
        <v>6.4128665000000003E-3</v>
      </c>
      <c r="G30">
        <v>6.3251304000000001E-3</v>
      </c>
      <c r="H30">
        <v>6.3994726999999996E-3</v>
      </c>
      <c r="I30">
        <v>6.5034102000000003E-3</v>
      </c>
      <c r="J30">
        <v>6.5725356999999998E-3</v>
      </c>
      <c r="K30">
        <v>6.4699071999999996E-3</v>
      </c>
      <c r="L30">
        <v>6.9305547999999996E-3</v>
      </c>
      <c r="M30">
        <v>6.8898824999999997E-3</v>
      </c>
      <c r="N30">
        <v>6.9471257999999996E-3</v>
      </c>
      <c r="O30">
        <v>6.8536485000000001E-3</v>
      </c>
      <c r="P30">
        <v>6.8154321000000002E-3</v>
      </c>
      <c r="Q30">
        <v>6.8549602000000003E-3</v>
      </c>
      <c r="R30">
        <v>6.8034832E-3</v>
      </c>
      <c r="S30">
        <v>6.8978620999999999E-3</v>
      </c>
      <c r="T30">
        <v>6.8732686000000003E-3</v>
      </c>
      <c r="U30">
        <v>6.8994280999999996E-3</v>
      </c>
    </row>
    <row r="31" spans="1:21">
      <c r="A31" t="s">
        <v>27</v>
      </c>
      <c r="B31">
        <v>6.6929477999999997E-3</v>
      </c>
      <c r="C31">
        <v>6.7406072999999997E-3</v>
      </c>
      <c r="D31">
        <v>6.4852199999999999E-3</v>
      </c>
      <c r="E31">
        <v>6.4319972999999997E-3</v>
      </c>
      <c r="F31">
        <v>6.3293482999999999E-3</v>
      </c>
      <c r="G31">
        <v>6.2495129999999999E-3</v>
      </c>
      <c r="H31">
        <v>6.3034385000000004E-3</v>
      </c>
      <c r="I31">
        <v>6.3642491999999998E-3</v>
      </c>
      <c r="J31">
        <v>6.3614398000000003E-3</v>
      </c>
      <c r="K31">
        <v>6.2540755999999998E-3</v>
      </c>
      <c r="L31">
        <v>6.7460890999999999E-3</v>
      </c>
      <c r="M31">
        <v>6.743303E-3</v>
      </c>
      <c r="N31">
        <v>6.7228330000000001E-3</v>
      </c>
      <c r="O31">
        <v>6.6606536999999997E-3</v>
      </c>
      <c r="P31">
        <v>6.6762962E-3</v>
      </c>
      <c r="Q31">
        <v>6.7068003000000003E-3</v>
      </c>
      <c r="R31">
        <v>6.5539995999999998E-3</v>
      </c>
      <c r="S31">
        <v>6.5946872000000002E-3</v>
      </c>
      <c r="T31">
        <v>6.5711666999999996E-3</v>
      </c>
      <c r="U31">
        <v>6.5831513999999999E-3</v>
      </c>
    </row>
    <row r="32" spans="1:21">
      <c r="A32" t="s">
        <v>28</v>
      </c>
      <c r="B32">
        <v>6.9991345999999999E-3</v>
      </c>
      <c r="C32">
        <v>7.0667439000000002E-3</v>
      </c>
      <c r="D32">
        <v>6.8749036000000001E-3</v>
      </c>
      <c r="E32">
        <v>6.8348031E-3</v>
      </c>
      <c r="F32">
        <v>6.8005742999999999E-3</v>
      </c>
      <c r="G32">
        <v>6.8069682000000001E-3</v>
      </c>
      <c r="H32">
        <v>6.9008105999999996E-3</v>
      </c>
      <c r="I32">
        <v>7.0446212999999997E-3</v>
      </c>
      <c r="J32">
        <v>7.1482975000000002E-3</v>
      </c>
      <c r="K32">
        <v>7.0790699999999998E-3</v>
      </c>
      <c r="L32">
        <v>7.6446895999999999E-3</v>
      </c>
      <c r="M32">
        <v>7.6348045999999996E-3</v>
      </c>
      <c r="N32">
        <v>7.6426039000000003E-3</v>
      </c>
      <c r="O32">
        <v>7.5203949000000004E-3</v>
      </c>
      <c r="P32">
        <v>7.5226724000000003E-3</v>
      </c>
      <c r="Q32">
        <v>7.6288730000000004E-3</v>
      </c>
      <c r="R32">
        <v>7.4627757999999999E-3</v>
      </c>
      <c r="S32">
        <v>7.5186901000000002E-3</v>
      </c>
      <c r="T32">
        <v>7.4658896999999997E-3</v>
      </c>
      <c r="U32">
        <v>7.4206181E-3</v>
      </c>
    </row>
    <row r="33" spans="1:21">
      <c r="A33" t="s">
        <v>29</v>
      </c>
      <c r="B33">
        <v>7.0772450000000002E-3</v>
      </c>
      <c r="C33">
        <v>7.1500903000000001E-3</v>
      </c>
      <c r="D33">
        <v>6.9635836E-3</v>
      </c>
      <c r="E33">
        <v>6.8586319999999999E-3</v>
      </c>
      <c r="F33">
        <v>6.8813911999999998E-3</v>
      </c>
      <c r="G33">
        <v>6.9024228000000003E-3</v>
      </c>
      <c r="H33">
        <v>7.0690205000000002E-3</v>
      </c>
      <c r="I33">
        <v>7.1597555999999996E-3</v>
      </c>
      <c r="J33">
        <v>7.2915688999999999E-3</v>
      </c>
      <c r="K33">
        <v>7.1575320000000003E-3</v>
      </c>
      <c r="L33">
        <v>7.7271754999999999E-3</v>
      </c>
      <c r="M33">
        <v>7.6827900000000001E-3</v>
      </c>
      <c r="N33">
        <v>7.7624E-3</v>
      </c>
      <c r="O33">
        <v>7.7080433E-3</v>
      </c>
      <c r="P33">
        <v>7.7320313999999996E-3</v>
      </c>
      <c r="Q33">
        <v>7.8137590999999996E-3</v>
      </c>
      <c r="R33">
        <v>7.6169901999999998E-3</v>
      </c>
      <c r="S33">
        <v>7.7303145E-3</v>
      </c>
      <c r="T33">
        <v>7.6406490999999998E-3</v>
      </c>
      <c r="U33">
        <v>7.6241475000000001E-3</v>
      </c>
    </row>
    <row r="34" spans="1:21">
      <c r="A34" t="s">
        <v>30</v>
      </c>
      <c r="B34">
        <v>7.0629660000000004E-3</v>
      </c>
      <c r="C34">
        <v>7.1349628000000002E-3</v>
      </c>
      <c r="D34">
        <v>6.9204723000000001E-3</v>
      </c>
      <c r="E34">
        <v>6.8440306999999999E-3</v>
      </c>
      <c r="F34">
        <v>6.8375644999999997E-3</v>
      </c>
      <c r="G34">
        <v>6.8740983999999996E-3</v>
      </c>
      <c r="H34">
        <v>7.0525733999999996E-3</v>
      </c>
      <c r="I34">
        <v>7.2527225000000002E-3</v>
      </c>
      <c r="J34">
        <v>7.3547730999999998E-3</v>
      </c>
      <c r="K34">
        <v>7.2165355000000002E-3</v>
      </c>
      <c r="L34">
        <v>7.7318949999999999E-3</v>
      </c>
      <c r="M34">
        <v>7.6997940999999999E-3</v>
      </c>
      <c r="N34">
        <v>7.7301738999999998E-3</v>
      </c>
      <c r="O34">
        <v>7.6831114000000004E-3</v>
      </c>
      <c r="P34">
        <v>7.6698666000000002E-3</v>
      </c>
      <c r="Q34">
        <v>7.7951988E-3</v>
      </c>
      <c r="R34">
        <v>7.6249311999999998E-3</v>
      </c>
      <c r="S34">
        <v>7.7222944000000003E-3</v>
      </c>
      <c r="T34">
        <v>7.7278757999999998E-3</v>
      </c>
      <c r="U34">
        <v>7.6971868999999998E-3</v>
      </c>
    </row>
    <row r="35" spans="1:21">
      <c r="A35" t="s">
        <v>31</v>
      </c>
      <c r="B35">
        <v>5.0113266000000002E-3</v>
      </c>
      <c r="C35">
        <v>5.0485492999999999E-3</v>
      </c>
      <c r="D35">
        <v>4.8807067999999997E-3</v>
      </c>
      <c r="E35">
        <v>4.8018688999999998E-3</v>
      </c>
      <c r="F35">
        <v>4.7638276999999998E-3</v>
      </c>
      <c r="G35">
        <v>4.6962490000000004E-3</v>
      </c>
      <c r="H35">
        <v>4.7505437000000001E-3</v>
      </c>
      <c r="I35">
        <v>4.7106127999999997E-3</v>
      </c>
      <c r="J35">
        <v>4.7157570000000001E-3</v>
      </c>
      <c r="K35">
        <v>4.6186852E-3</v>
      </c>
      <c r="L35">
        <v>5.0087292E-3</v>
      </c>
      <c r="M35">
        <v>5.0468761000000001E-3</v>
      </c>
      <c r="N35">
        <v>5.0356495000000003E-3</v>
      </c>
      <c r="O35">
        <v>4.9734940000000002E-3</v>
      </c>
      <c r="P35">
        <v>4.9256100000000004E-3</v>
      </c>
      <c r="Q35">
        <v>4.9187861999999997E-3</v>
      </c>
      <c r="R35">
        <v>4.9050882999999998E-3</v>
      </c>
      <c r="S35">
        <v>5.0017163000000003E-3</v>
      </c>
      <c r="T35">
        <v>5.0367336E-3</v>
      </c>
      <c r="U35">
        <v>5.1297065999999997E-3</v>
      </c>
    </row>
    <row r="36" spans="1:21">
      <c r="A36" t="s">
        <v>32</v>
      </c>
      <c r="B36">
        <v>5.0357602999999999E-3</v>
      </c>
      <c r="C36">
        <v>5.0757644000000001E-3</v>
      </c>
      <c r="D36">
        <v>4.8971804999999998E-3</v>
      </c>
      <c r="E36">
        <v>4.8495834000000003E-3</v>
      </c>
      <c r="F36">
        <v>4.7972863999999997E-3</v>
      </c>
      <c r="G36">
        <v>4.7545456E-3</v>
      </c>
      <c r="H36">
        <v>4.7891530999999996E-3</v>
      </c>
      <c r="I36">
        <v>4.7969952999999997E-3</v>
      </c>
      <c r="J36">
        <v>4.8736986000000003E-3</v>
      </c>
      <c r="K36">
        <v>4.7821625999999997E-3</v>
      </c>
      <c r="L36">
        <v>5.1756933999999996E-3</v>
      </c>
      <c r="M36">
        <v>5.2510732999999999E-3</v>
      </c>
      <c r="N36">
        <v>5.23677E-3</v>
      </c>
      <c r="O36">
        <v>5.1554375999999999E-3</v>
      </c>
      <c r="P36">
        <v>5.2065508999999998E-3</v>
      </c>
      <c r="Q36">
        <v>5.2370359E-3</v>
      </c>
      <c r="R36">
        <v>5.2100788000000002E-3</v>
      </c>
      <c r="S36">
        <v>5.2849975999999998E-3</v>
      </c>
      <c r="T36">
        <v>5.3360452999999999E-3</v>
      </c>
      <c r="U36">
        <v>5.3632185000000001E-3</v>
      </c>
    </row>
    <row r="37" spans="1:21">
      <c r="A37" t="s">
        <v>33</v>
      </c>
      <c r="B37">
        <v>4.9130898000000001E-3</v>
      </c>
      <c r="C37">
        <v>4.8843984999999996E-3</v>
      </c>
      <c r="D37">
        <v>4.6799490000000001E-3</v>
      </c>
      <c r="E37">
        <v>4.6071339999999997E-3</v>
      </c>
      <c r="F37">
        <v>4.5608990000000002E-3</v>
      </c>
      <c r="G37">
        <v>4.5025869999999997E-3</v>
      </c>
      <c r="H37">
        <v>4.4929831999999999E-3</v>
      </c>
      <c r="I37">
        <v>4.4436053999999999E-3</v>
      </c>
      <c r="J37">
        <v>4.4579891999999999E-3</v>
      </c>
      <c r="K37">
        <v>4.3609002999999997E-3</v>
      </c>
      <c r="L37">
        <v>4.7143586000000003E-3</v>
      </c>
      <c r="M37">
        <v>4.7101234000000002E-3</v>
      </c>
      <c r="N37">
        <v>4.6982858000000002E-3</v>
      </c>
      <c r="O37">
        <v>4.6214628999999997E-3</v>
      </c>
      <c r="P37">
        <v>4.5779287E-3</v>
      </c>
      <c r="Q37">
        <v>4.5365281000000002E-3</v>
      </c>
      <c r="R37">
        <v>4.4870982000000002E-3</v>
      </c>
      <c r="S37">
        <v>4.5755552000000003E-3</v>
      </c>
      <c r="T37">
        <v>4.7567342000000004E-3</v>
      </c>
      <c r="U37">
        <v>4.7915746E-3</v>
      </c>
    </row>
  </sheetData>
  <phoneticPr fontId="0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"AA_T_phi_den_1.4A"</f>
        <v>AA_T_phi_den_1.4A</v>
      </c>
      <c r="C1" s="1" t="str">
        <f>"AA_T_phi_den_2A"</f>
        <v>AA_T_phi_den_2A</v>
      </c>
      <c r="D1" s="1" t="str">
        <f>"AA_T_phi_den_3A"</f>
        <v>AA_T_phi_den_3A</v>
      </c>
      <c r="E1" s="1" t="str">
        <f>"AA_T_phi_den_4A"</f>
        <v>AA_T_phi_den_4A</v>
      </c>
      <c r="F1" s="1" t="str">
        <f>"AA_T_phi_den_5A"</f>
        <v>AA_T_phi_den_5A</v>
      </c>
      <c r="G1" s="1" t="str">
        <f>"AA_T_phi_den_6A"</f>
        <v>AA_T_phi_den_6A</v>
      </c>
      <c r="H1" s="1" t="str">
        <f>"AA_T_phi_den_7A"</f>
        <v>AA_T_phi_den_7A</v>
      </c>
      <c r="I1" s="1" t="str">
        <f>"AA_T_phi_den_8A"</f>
        <v>AA_T_phi_den_8A</v>
      </c>
      <c r="J1" s="1" t="str">
        <f>"AA_T_phi_den_9A"</f>
        <v>AA_T_phi_den_9A</v>
      </c>
      <c r="K1" s="1" t="str">
        <f>"AA_T_phi_den_10A"</f>
        <v>AA_T_phi_den_10A</v>
      </c>
      <c r="L1" s="1" t="str">
        <f>"AA_T_phi_den_11A"</f>
        <v>AA_T_phi_den_11A</v>
      </c>
      <c r="M1" s="1" t="str">
        <f>"AA_T_phi_den_12A"</f>
        <v>AA_T_phi_den_12A</v>
      </c>
      <c r="N1" s="1" t="str">
        <f>"AA_T_phi_den_13A"</f>
        <v>AA_T_phi_den_13A</v>
      </c>
      <c r="O1" s="1" t="str">
        <f>"AA_T_phi_den_14A"</f>
        <v>AA_T_phi_den_14A</v>
      </c>
      <c r="P1" s="1" t="str">
        <f>"AA_T_phi_den_15A"</f>
        <v>AA_T_phi_den_15A</v>
      </c>
      <c r="Q1" s="1" t="str">
        <f>"AA_T_phi_den_16A"</f>
        <v>AA_T_phi_den_16A</v>
      </c>
      <c r="R1" s="1" t="str">
        <f>"AA_T_phi_den_17A"</f>
        <v>AA_T_phi_den_17A</v>
      </c>
      <c r="S1" s="1" t="str">
        <f>"AA_T_phi_den_18A"</f>
        <v>AA_T_phi_den_18A</v>
      </c>
      <c r="T1" s="1" t="str">
        <f>"AA_T_phi_den_19A"</f>
        <v>AA_T_phi_den_19A</v>
      </c>
      <c r="U1" s="1" t="str">
        <f>"AA_T_phi_den_20A"</f>
        <v>AA_T_phi_den_20A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1.9848189885851877E-2</v>
      </c>
      <c r="C3">
        <v>2.0675902187161407E-2</v>
      </c>
      <c r="D3">
        <v>2.1025691331126899E-2</v>
      </c>
      <c r="E3">
        <v>2.1088568623449579E-2</v>
      </c>
      <c r="F3">
        <v>2.1426696819706964E-2</v>
      </c>
      <c r="G3">
        <v>2.1590806485582613E-2</v>
      </c>
      <c r="H3">
        <v>2.1943079974120674E-2</v>
      </c>
      <c r="I3">
        <v>2.2502368953310752E-2</v>
      </c>
      <c r="J3">
        <v>2.2651148324344193E-2</v>
      </c>
      <c r="K3">
        <v>2.2296622784161134E-2</v>
      </c>
      <c r="L3">
        <v>2.4211323902577044E-2</v>
      </c>
      <c r="M3">
        <v>2.4384407927211488E-2</v>
      </c>
      <c r="N3">
        <v>2.4540451944202686E-2</v>
      </c>
      <c r="O3">
        <v>2.4373857615239788E-2</v>
      </c>
      <c r="P3">
        <v>2.435957172026176E-2</v>
      </c>
      <c r="Q3">
        <v>2.4635159074952066E-2</v>
      </c>
      <c r="R3">
        <v>2.4046061366074702E-2</v>
      </c>
      <c r="S3">
        <v>2.4902447303833265E-2</v>
      </c>
      <c r="T3">
        <v>2.4481508861921627E-2</v>
      </c>
      <c r="U3">
        <v>2.4492263770904958E-2</v>
      </c>
    </row>
    <row r="4" spans="1:24">
      <c r="A4" t="s">
        <v>1</v>
      </c>
      <c r="B4">
        <v>1.780675644910153E-2</v>
      </c>
      <c r="C4">
        <v>1.8802532362535474E-2</v>
      </c>
      <c r="D4">
        <v>1.9362091324445711E-2</v>
      </c>
      <c r="E4">
        <v>1.9484580681713232E-2</v>
      </c>
      <c r="F4">
        <v>1.9470512040787976E-2</v>
      </c>
      <c r="G4">
        <v>1.9311525407434964E-2</v>
      </c>
      <c r="H4">
        <v>1.9616432855159599E-2</v>
      </c>
      <c r="I4">
        <v>1.9854399766246984E-2</v>
      </c>
      <c r="J4">
        <v>2.0163241620213806E-2</v>
      </c>
      <c r="K4">
        <v>1.9792231251947342E-2</v>
      </c>
      <c r="L4">
        <v>2.1132364964299342E-2</v>
      </c>
      <c r="M4">
        <v>2.1302557489570703E-2</v>
      </c>
      <c r="N4">
        <v>2.1243607807837059E-2</v>
      </c>
      <c r="O4">
        <v>2.0951047104624441E-2</v>
      </c>
      <c r="P4">
        <v>2.1063449543133828E-2</v>
      </c>
      <c r="Q4">
        <v>2.1419184628747576E-2</v>
      </c>
      <c r="R4">
        <v>2.1249355109687108E-2</v>
      </c>
      <c r="S4">
        <v>2.1317401815833421E-2</v>
      </c>
      <c r="T4">
        <v>2.1143156932734677E-2</v>
      </c>
      <c r="U4">
        <v>2.1204141220999201E-2</v>
      </c>
    </row>
    <row r="5" spans="1:24">
      <c r="A5" t="s">
        <v>2</v>
      </c>
      <c r="B5">
        <v>2.0479997031195317E-2</v>
      </c>
      <c r="C5">
        <v>2.2124693458591135E-2</v>
      </c>
      <c r="D5">
        <v>2.2768998036461572E-2</v>
      </c>
      <c r="E5">
        <v>2.2990327453913658E-2</v>
      </c>
      <c r="F5">
        <v>2.3408987523376657E-2</v>
      </c>
      <c r="G5">
        <v>2.3595540171600201E-2</v>
      </c>
      <c r="H5">
        <v>2.3964803128135575E-2</v>
      </c>
      <c r="I5">
        <v>2.440351832294526E-2</v>
      </c>
      <c r="J5">
        <v>2.4787794343260131E-2</v>
      </c>
      <c r="K5">
        <v>2.4527252728336991E-2</v>
      </c>
      <c r="L5">
        <v>2.6518025402621676E-2</v>
      </c>
      <c r="M5">
        <v>2.6755125955489487E-2</v>
      </c>
      <c r="N5">
        <v>2.6982896327304946E-2</v>
      </c>
      <c r="O5">
        <v>2.6970664973243592E-2</v>
      </c>
      <c r="P5">
        <v>2.7361455837005201E-2</v>
      </c>
      <c r="Q5">
        <v>2.7714028749436487E-2</v>
      </c>
      <c r="R5">
        <v>2.6767541420067834E-2</v>
      </c>
      <c r="S5">
        <v>2.7158062339560491E-2</v>
      </c>
      <c r="T5">
        <v>2.6936002237711459E-2</v>
      </c>
      <c r="U5">
        <v>2.6928743389035923E-2</v>
      </c>
    </row>
    <row r="6" spans="1:24">
      <c r="A6" t="s">
        <v>3</v>
      </c>
      <c r="B6">
        <v>1.4681320898464455E-2</v>
      </c>
      <c r="C6">
        <v>1.6368409685601076E-2</v>
      </c>
      <c r="D6">
        <v>1.6025261976814181E-2</v>
      </c>
      <c r="E6">
        <v>1.6173782027495698E-2</v>
      </c>
      <c r="F6">
        <v>1.6230674595037933E-2</v>
      </c>
      <c r="G6">
        <v>1.6136853519676069E-2</v>
      </c>
      <c r="H6">
        <v>1.6062703312385324E-2</v>
      </c>
      <c r="I6">
        <v>1.5874010330645102E-2</v>
      </c>
      <c r="J6">
        <v>1.6476012910122958E-2</v>
      </c>
      <c r="K6">
        <v>1.6332545900390155E-2</v>
      </c>
      <c r="L6">
        <v>1.7712451099061634E-2</v>
      </c>
      <c r="M6">
        <v>1.782215071447554E-2</v>
      </c>
      <c r="N6">
        <v>1.7674973803782423E-2</v>
      </c>
      <c r="O6">
        <v>1.7393051167224248E-2</v>
      </c>
      <c r="P6">
        <v>1.7317701995520393E-2</v>
      </c>
      <c r="Q6">
        <v>1.7129000920671315E-2</v>
      </c>
      <c r="R6">
        <v>1.7119979675675294E-2</v>
      </c>
      <c r="S6">
        <v>1.7225619594681815E-2</v>
      </c>
      <c r="T6">
        <v>1.7324132362150226E-2</v>
      </c>
      <c r="U6">
        <v>1.7415447961806475E-2</v>
      </c>
    </row>
    <row r="7" spans="1:24">
      <c r="A7" t="s">
        <v>4</v>
      </c>
      <c r="B7">
        <v>1.5517896502048781E-2</v>
      </c>
      <c r="C7">
        <v>1.7233572788867418E-2</v>
      </c>
      <c r="D7">
        <v>1.7172911344013463E-2</v>
      </c>
      <c r="E7">
        <v>1.7168300544302482E-2</v>
      </c>
      <c r="F7">
        <v>1.7403814767483424E-2</v>
      </c>
      <c r="G7">
        <v>1.710899365684352E-2</v>
      </c>
      <c r="H7">
        <v>1.7044619241498488E-2</v>
      </c>
      <c r="I7">
        <v>1.7174024184299291E-2</v>
      </c>
      <c r="J7">
        <v>1.7772736242784026E-2</v>
      </c>
      <c r="K7">
        <v>1.7718648187778911E-2</v>
      </c>
      <c r="L7">
        <v>1.942516865987012E-2</v>
      </c>
      <c r="M7">
        <v>1.9865794454216157E-2</v>
      </c>
      <c r="N7">
        <v>1.9930792220349183E-2</v>
      </c>
      <c r="O7">
        <v>1.9569237464676391E-2</v>
      </c>
      <c r="P7">
        <v>1.9303712075166322E-2</v>
      </c>
      <c r="Q7">
        <v>1.9246048895560548E-2</v>
      </c>
      <c r="R7">
        <v>1.9348947970309116E-2</v>
      </c>
      <c r="S7">
        <v>1.9495778102087181E-2</v>
      </c>
      <c r="T7">
        <v>1.9461785101729846E-2</v>
      </c>
      <c r="U7">
        <v>1.9469626055558253E-2</v>
      </c>
    </row>
    <row r="8" spans="1:24">
      <c r="A8" t="s">
        <v>5</v>
      </c>
      <c r="B8">
        <v>1.5167363965082819E-2</v>
      </c>
      <c r="C8">
        <v>1.6906836719655708E-2</v>
      </c>
      <c r="D8">
        <v>1.6749752297573493E-2</v>
      </c>
      <c r="E8">
        <v>1.6441429295513149E-2</v>
      </c>
      <c r="F8">
        <v>1.6632731847502993E-2</v>
      </c>
      <c r="G8">
        <v>1.6508015873687269E-2</v>
      </c>
      <c r="H8">
        <v>1.6356187374574435E-2</v>
      </c>
      <c r="I8">
        <v>1.6005641293399597E-2</v>
      </c>
      <c r="J8">
        <v>1.6461277017705219E-2</v>
      </c>
      <c r="K8">
        <v>1.6666134226501709E-2</v>
      </c>
      <c r="L8">
        <v>1.8382516081975674E-2</v>
      </c>
      <c r="M8">
        <v>1.8324003562636745E-2</v>
      </c>
      <c r="N8">
        <v>1.8082920499876011E-2</v>
      </c>
      <c r="O8">
        <v>1.7810889938128072E-2</v>
      </c>
      <c r="P8">
        <v>1.7399759141932047E-2</v>
      </c>
      <c r="Q8">
        <v>1.738005951321683E-2</v>
      </c>
      <c r="R8">
        <v>1.7343094485477994E-2</v>
      </c>
      <c r="S8">
        <v>1.7214194797986797E-2</v>
      </c>
      <c r="T8">
        <v>1.7397729196495949E-2</v>
      </c>
      <c r="U8">
        <v>1.7435217210973252E-2</v>
      </c>
    </row>
    <row r="9" spans="1:24">
      <c r="A9" t="s">
        <v>6</v>
      </c>
      <c r="B9">
        <v>1.5195558685209868E-2</v>
      </c>
      <c r="C9">
        <v>1.7031535465807424E-2</v>
      </c>
      <c r="D9">
        <v>1.711017352032327E-2</v>
      </c>
      <c r="E9">
        <v>1.6883822698271479E-2</v>
      </c>
      <c r="F9">
        <v>1.6920724394993918E-2</v>
      </c>
      <c r="G9">
        <v>1.6733790004122485E-2</v>
      </c>
      <c r="H9">
        <v>1.6672885627521349E-2</v>
      </c>
      <c r="I9">
        <v>1.6453918205296226E-2</v>
      </c>
      <c r="J9">
        <v>1.6862565387489561E-2</v>
      </c>
      <c r="K9">
        <v>1.652534530709155E-2</v>
      </c>
      <c r="L9">
        <v>1.7973450236114318E-2</v>
      </c>
      <c r="M9">
        <v>1.8410506468940397E-2</v>
      </c>
      <c r="N9">
        <v>1.8185756933359991E-2</v>
      </c>
      <c r="O9">
        <v>1.7601606535304078E-2</v>
      </c>
      <c r="P9">
        <v>1.7531764334149495E-2</v>
      </c>
      <c r="Q9">
        <v>1.7287216965457097E-2</v>
      </c>
      <c r="R9">
        <v>1.7158479899461392E-2</v>
      </c>
      <c r="S9">
        <v>1.7184813559816561E-2</v>
      </c>
      <c r="T9">
        <v>1.7095829574272567E-2</v>
      </c>
      <c r="U9">
        <v>1.7049902855169715E-2</v>
      </c>
    </row>
    <row r="10" spans="1:24">
      <c r="A10" t="s">
        <v>7</v>
      </c>
      <c r="B10">
        <v>1.6569059134560395E-2</v>
      </c>
      <c r="C10">
        <v>1.8366402354301255E-2</v>
      </c>
      <c r="D10">
        <v>1.8460477915108103E-2</v>
      </c>
      <c r="E10">
        <v>1.8768375062880444E-2</v>
      </c>
      <c r="F10">
        <v>1.9113503031976127E-2</v>
      </c>
      <c r="G10">
        <v>1.9290156529169128E-2</v>
      </c>
      <c r="H10">
        <v>1.9714933017936143E-2</v>
      </c>
      <c r="I10">
        <v>1.9597943708084108E-2</v>
      </c>
      <c r="J10">
        <v>2.0144062607630783E-2</v>
      </c>
      <c r="K10">
        <v>2.0196930654198936E-2</v>
      </c>
      <c r="L10">
        <v>2.2369277739825749E-2</v>
      </c>
      <c r="M10">
        <v>2.2348079885462082E-2</v>
      </c>
      <c r="N10">
        <v>2.2298633090555471E-2</v>
      </c>
      <c r="O10">
        <v>2.1707226207946802E-2</v>
      </c>
      <c r="P10">
        <v>2.2015283297148434E-2</v>
      </c>
      <c r="Q10">
        <v>2.1965018742726442E-2</v>
      </c>
      <c r="R10">
        <v>2.1295319938320026E-2</v>
      </c>
      <c r="S10">
        <v>2.1649122792898323E-2</v>
      </c>
      <c r="T10">
        <v>2.1533824850385071E-2</v>
      </c>
      <c r="U10">
        <v>2.2129034951519494E-2</v>
      </c>
    </row>
    <row r="11" spans="1:24">
      <c r="A11" t="s">
        <v>8</v>
      </c>
      <c r="B11">
        <v>1.6537895166167913E-2</v>
      </c>
      <c r="C11">
        <v>1.8384017122733666E-2</v>
      </c>
      <c r="D11">
        <v>1.8592741692841901E-2</v>
      </c>
      <c r="E11">
        <v>1.8746772024321113E-2</v>
      </c>
      <c r="F11">
        <v>1.9083024240987484E-2</v>
      </c>
      <c r="G11">
        <v>1.9380045993370076E-2</v>
      </c>
      <c r="H11">
        <v>1.9806132667084437E-2</v>
      </c>
      <c r="I11">
        <v>1.9609438580934099E-2</v>
      </c>
      <c r="J11">
        <v>1.9953324274537287E-2</v>
      </c>
      <c r="K11">
        <v>1.962459348433845E-2</v>
      </c>
      <c r="L11">
        <v>2.2133110101965968E-2</v>
      </c>
      <c r="M11">
        <v>2.2529753171541371E-2</v>
      </c>
      <c r="N11">
        <v>2.266515344449925E-2</v>
      </c>
      <c r="O11">
        <v>2.2382034001305059E-2</v>
      </c>
      <c r="P11">
        <v>2.2495564700240361E-2</v>
      </c>
      <c r="Q11">
        <v>2.2253786972012926E-2</v>
      </c>
      <c r="R11">
        <v>2.1900781659653618E-2</v>
      </c>
      <c r="S11">
        <v>2.2162844111695234E-2</v>
      </c>
      <c r="T11">
        <v>2.2525528139275688E-2</v>
      </c>
      <c r="U11">
        <v>2.2405218709022172E-2</v>
      </c>
    </row>
    <row r="12" spans="1:24">
      <c r="A12" t="s">
        <v>9</v>
      </c>
      <c r="B12">
        <v>1.5304109020285608E-2</v>
      </c>
      <c r="C12">
        <v>1.6344790817086178E-2</v>
      </c>
      <c r="D12">
        <v>1.6580227300857994E-2</v>
      </c>
      <c r="E12">
        <v>1.6257412413975041E-2</v>
      </c>
      <c r="F12">
        <v>1.6061061931292728E-2</v>
      </c>
      <c r="G12">
        <v>1.6497636447733582E-2</v>
      </c>
      <c r="H12">
        <v>1.6552027670192457E-2</v>
      </c>
      <c r="I12">
        <v>1.6358238740400047E-2</v>
      </c>
      <c r="J12">
        <v>1.6510067063573015E-2</v>
      </c>
      <c r="K12">
        <v>1.6299567306785966E-2</v>
      </c>
      <c r="L12">
        <v>1.7655117586663892E-2</v>
      </c>
      <c r="M12">
        <v>1.8168064795783232E-2</v>
      </c>
      <c r="N12">
        <v>1.7753776271243048E-2</v>
      </c>
      <c r="O12">
        <v>1.7563277895350893E-2</v>
      </c>
      <c r="P12">
        <v>1.7732669858630305E-2</v>
      </c>
      <c r="Q12">
        <v>1.7704401508390973E-2</v>
      </c>
      <c r="R12">
        <v>1.7039272683786705E-2</v>
      </c>
      <c r="S12">
        <v>1.7640982020955813E-2</v>
      </c>
      <c r="T12">
        <v>1.7625869066359861E-2</v>
      </c>
      <c r="U12">
        <v>1.7636189596054511E-2</v>
      </c>
    </row>
    <row r="13" spans="1:24">
      <c r="A13" t="s">
        <v>10</v>
      </c>
      <c r="B13">
        <v>1.5145115111076161E-2</v>
      </c>
      <c r="C13">
        <v>1.6314983039258039E-2</v>
      </c>
      <c r="D13">
        <v>1.6276833101515481E-2</v>
      </c>
      <c r="E13">
        <v>1.6188127853388537E-2</v>
      </c>
      <c r="F13">
        <v>1.6439700961276948E-2</v>
      </c>
      <c r="G13">
        <v>1.6205541977544598E-2</v>
      </c>
      <c r="H13">
        <v>1.6405998826330839E-2</v>
      </c>
      <c r="I13">
        <v>1.6202306599125721E-2</v>
      </c>
      <c r="J13">
        <v>1.6288932403806796E-2</v>
      </c>
      <c r="K13">
        <v>1.6184663864117162E-2</v>
      </c>
      <c r="L13">
        <v>1.7448573076030226E-2</v>
      </c>
      <c r="M13">
        <v>1.7643832382653234E-2</v>
      </c>
      <c r="N13">
        <v>1.7472988819031345E-2</v>
      </c>
      <c r="O13">
        <v>1.7554706289596402E-2</v>
      </c>
      <c r="P13">
        <v>1.7183899789675529E-2</v>
      </c>
      <c r="Q13">
        <v>1.7481131908002094E-2</v>
      </c>
      <c r="R13">
        <v>1.6714612499607703E-2</v>
      </c>
      <c r="S13">
        <v>1.6858453635364926E-2</v>
      </c>
      <c r="T13">
        <v>1.7153997359571453E-2</v>
      </c>
      <c r="U13">
        <v>1.7138709962407211E-2</v>
      </c>
    </row>
    <row r="14" spans="1:24">
      <c r="A14" t="s">
        <v>11</v>
      </c>
      <c r="B14">
        <v>1.5513798834445777E-2</v>
      </c>
      <c r="C14">
        <v>1.677339521158416E-2</v>
      </c>
      <c r="D14">
        <v>1.6796182683254463E-2</v>
      </c>
      <c r="E14">
        <v>1.6893970198944785E-2</v>
      </c>
      <c r="F14">
        <v>1.7075418234291095E-2</v>
      </c>
      <c r="G14">
        <v>1.7064228259111414E-2</v>
      </c>
      <c r="H14">
        <v>1.7227123217441753E-2</v>
      </c>
      <c r="I14">
        <v>1.7193631668426052E-2</v>
      </c>
      <c r="J14">
        <v>1.7243146120369073E-2</v>
      </c>
      <c r="K14">
        <v>1.6957384449085535E-2</v>
      </c>
      <c r="L14">
        <v>1.8561548218143091E-2</v>
      </c>
      <c r="M14">
        <v>1.8938124373397584E-2</v>
      </c>
      <c r="N14">
        <v>1.8902335308277288E-2</v>
      </c>
      <c r="O14">
        <v>1.9120161221330225E-2</v>
      </c>
      <c r="P14">
        <v>1.9623830169810647E-2</v>
      </c>
      <c r="Q14">
        <v>1.9624062817107248E-2</v>
      </c>
      <c r="R14">
        <v>1.8806222537792409E-2</v>
      </c>
      <c r="S14">
        <v>1.8944806140049404E-2</v>
      </c>
      <c r="T14">
        <v>1.8806610788430909E-2</v>
      </c>
      <c r="U14">
        <v>1.9035973320637462E-2</v>
      </c>
    </row>
    <row r="15" spans="1:24">
      <c r="A15" t="s">
        <v>12</v>
      </c>
      <c r="B15">
        <v>1.5650590131999983E-2</v>
      </c>
      <c r="C15">
        <v>1.6276839348227587E-2</v>
      </c>
      <c r="D15">
        <v>1.6225198914580057E-2</v>
      </c>
      <c r="E15">
        <v>1.5746518176389522E-2</v>
      </c>
      <c r="F15">
        <v>1.5543375129906037E-2</v>
      </c>
      <c r="G15">
        <v>1.5388264942283686E-2</v>
      </c>
      <c r="H15">
        <v>1.5463349263952809E-2</v>
      </c>
      <c r="I15">
        <v>1.5481310232485319E-2</v>
      </c>
      <c r="J15">
        <v>1.5663836301531241E-2</v>
      </c>
      <c r="K15">
        <v>1.5471674398955519E-2</v>
      </c>
      <c r="L15">
        <v>1.6952510634621078E-2</v>
      </c>
      <c r="M15">
        <v>1.7361952399684497E-2</v>
      </c>
      <c r="N15">
        <v>1.7405099603136555E-2</v>
      </c>
      <c r="O15">
        <v>1.7182400441602352E-2</v>
      </c>
      <c r="P15">
        <v>1.7774129793789582E-2</v>
      </c>
      <c r="Q15">
        <v>1.7843032200646432E-2</v>
      </c>
      <c r="R15">
        <v>1.7301655236054786E-2</v>
      </c>
      <c r="S15">
        <v>1.741258200258473E-2</v>
      </c>
      <c r="T15">
        <v>1.7198259121123768E-2</v>
      </c>
      <c r="U15">
        <v>1.704084760200298E-2</v>
      </c>
    </row>
    <row r="16" spans="1:24">
      <c r="A16" t="s">
        <v>13</v>
      </c>
      <c r="B16">
        <v>1.695683652403502E-2</v>
      </c>
      <c r="C16">
        <v>1.9320448382905295E-2</v>
      </c>
      <c r="D16">
        <v>2.0278781686240779E-2</v>
      </c>
      <c r="E16">
        <v>2.040827963945881E-2</v>
      </c>
      <c r="F16">
        <v>2.0629674365242125E-2</v>
      </c>
      <c r="G16">
        <v>2.0760312884215881E-2</v>
      </c>
      <c r="H16">
        <v>2.1358962594291937E-2</v>
      </c>
      <c r="I16">
        <v>2.1471487122016256E-2</v>
      </c>
      <c r="J16">
        <v>2.1783051791343152E-2</v>
      </c>
      <c r="K16">
        <v>2.1203053719612588E-2</v>
      </c>
      <c r="L16">
        <v>2.3252936801260272E-2</v>
      </c>
      <c r="M16">
        <v>2.3615475427954235E-2</v>
      </c>
      <c r="N16">
        <v>2.3551644171888063E-2</v>
      </c>
      <c r="O16">
        <v>2.3156935062547141E-2</v>
      </c>
      <c r="P16">
        <v>2.3540209341517342E-2</v>
      </c>
      <c r="Q16">
        <v>2.373308483486217E-2</v>
      </c>
      <c r="R16">
        <v>2.3283624536273521E-2</v>
      </c>
      <c r="S16">
        <v>2.3424444254817156E-2</v>
      </c>
      <c r="T16">
        <v>2.3495275332198921E-2</v>
      </c>
      <c r="U16">
        <v>2.3552906820628466E-2</v>
      </c>
    </row>
    <row r="17" spans="1:21">
      <c r="A17" t="s">
        <v>14</v>
      </c>
      <c r="B17">
        <v>1.6762256581364637E-2</v>
      </c>
      <c r="C17">
        <v>1.923159852739624E-2</v>
      </c>
      <c r="D17">
        <v>2.0238899551610581E-2</v>
      </c>
      <c r="E17">
        <v>2.0419378276820683E-2</v>
      </c>
      <c r="F17">
        <v>2.0827741591973557E-2</v>
      </c>
      <c r="G17">
        <v>2.0886948454666567E-2</v>
      </c>
      <c r="H17">
        <v>2.1117009664375058E-2</v>
      </c>
      <c r="I17">
        <v>2.1246527785066485E-2</v>
      </c>
      <c r="J17">
        <v>2.1791696345909169E-2</v>
      </c>
      <c r="K17">
        <v>2.1406278493192672E-2</v>
      </c>
      <c r="L17">
        <v>2.3203339066419814E-2</v>
      </c>
      <c r="M17">
        <v>2.3401781242196662E-2</v>
      </c>
      <c r="N17">
        <v>2.328299799610899E-2</v>
      </c>
      <c r="O17">
        <v>2.2938219362719645E-2</v>
      </c>
      <c r="P17">
        <v>2.3254123013654631E-2</v>
      </c>
      <c r="Q17">
        <v>2.3609651283204889E-2</v>
      </c>
      <c r="R17">
        <v>2.3108401193785558E-2</v>
      </c>
      <c r="S17">
        <v>2.3196045024485506E-2</v>
      </c>
      <c r="T17">
        <v>2.3224508566841717E-2</v>
      </c>
      <c r="U17">
        <v>2.286595502421878E-2</v>
      </c>
    </row>
    <row r="18" spans="1:21">
      <c r="A18" t="s">
        <v>15</v>
      </c>
      <c r="B18">
        <v>1.7082204462957599E-2</v>
      </c>
      <c r="C18">
        <v>1.9432735744829541E-2</v>
      </c>
      <c r="D18">
        <v>2.0435292147999332E-2</v>
      </c>
      <c r="E18">
        <v>2.0758030844513598E-2</v>
      </c>
      <c r="F18">
        <v>2.0985662143923466E-2</v>
      </c>
      <c r="G18">
        <v>2.0861716245075251E-2</v>
      </c>
      <c r="H18">
        <v>2.1294839957603316E-2</v>
      </c>
      <c r="I18">
        <v>2.1556661416427307E-2</v>
      </c>
      <c r="J18">
        <v>2.1851111466496084E-2</v>
      </c>
      <c r="K18">
        <v>2.1496463408996348E-2</v>
      </c>
      <c r="L18">
        <v>2.3373466869467809E-2</v>
      </c>
      <c r="M18">
        <v>2.3477354797779688E-2</v>
      </c>
      <c r="N18">
        <v>2.3512285463676848E-2</v>
      </c>
      <c r="O18">
        <v>2.3308522244297889E-2</v>
      </c>
      <c r="P18">
        <v>2.3326757677175475E-2</v>
      </c>
      <c r="Q18">
        <v>2.3551216063973136E-2</v>
      </c>
      <c r="R18">
        <v>2.2875858667359313E-2</v>
      </c>
      <c r="S18">
        <v>2.3179827357996896E-2</v>
      </c>
      <c r="T18">
        <v>2.3245350540576231E-2</v>
      </c>
      <c r="U18">
        <v>2.333614881834014E-2</v>
      </c>
    </row>
    <row r="19" spans="1:21">
      <c r="A19" t="s">
        <v>16</v>
      </c>
      <c r="B19">
        <v>1.8091664398357007E-2</v>
      </c>
      <c r="C19">
        <v>1.9496735135483813E-2</v>
      </c>
      <c r="D19">
        <v>2.0207759096135817E-2</v>
      </c>
      <c r="E19">
        <v>2.0134709393066708E-2</v>
      </c>
      <c r="F19">
        <v>2.0355078014202121E-2</v>
      </c>
      <c r="G19">
        <v>2.0418857175023168E-2</v>
      </c>
      <c r="H19">
        <v>2.0632440889075808E-2</v>
      </c>
      <c r="I19">
        <v>2.0684683210604612E-2</v>
      </c>
      <c r="J19">
        <v>2.1039152795421033E-2</v>
      </c>
      <c r="K19">
        <v>2.0528295125637624E-2</v>
      </c>
      <c r="L19">
        <v>2.2263147795320567E-2</v>
      </c>
      <c r="M19">
        <v>2.2650524331895044E-2</v>
      </c>
      <c r="N19">
        <v>2.2568209516814885E-2</v>
      </c>
      <c r="O19">
        <v>2.2384473210652837E-2</v>
      </c>
      <c r="P19">
        <v>2.2490303326724935E-2</v>
      </c>
      <c r="Q19">
        <v>2.2849791316128749E-2</v>
      </c>
      <c r="R19">
        <v>2.2246576586196481E-2</v>
      </c>
      <c r="S19">
        <v>2.2302112142984876E-2</v>
      </c>
      <c r="T19">
        <v>2.2380844660159112E-2</v>
      </c>
      <c r="U19">
        <v>2.2217685515327323E-2</v>
      </c>
    </row>
    <row r="20" spans="1:21">
      <c r="A20" t="s">
        <v>17</v>
      </c>
      <c r="B20">
        <v>1.8290760019961411E-2</v>
      </c>
      <c r="C20">
        <v>1.95647790667835E-2</v>
      </c>
      <c r="D20">
        <v>2.0330588188411328E-2</v>
      </c>
      <c r="E20">
        <v>2.0238282897211999E-2</v>
      </c>
      <c r="F20">
        <v>2.0456539955527851E-2</v>
      </c>
      <c r="G20">
        <v>2.0487822011215132E-2</v>
      </c>
      <c r="H20">
        <v>2.0791396850191303E-2</v>
      </c>
      <c r="I20">
        <v>2.0824171273019349E-2</v>
      </c>
      <c r="J20">
        <v>2.1132477899290153E-2</v>
      </c>
      <c r="K20">
        <v>2.0839642212898368E-2</v>
      </c>
      <c r="L20">
        <v>2.2526394734896454E-2</v>
      </c>
      <c r="M20">
        <v>2.2500286479561236E-2</v>
      </c>
      <c r="N20">
        <v>2.2295719549999662E-2</v>
      </c>
      <c r="O20">
        <v>2.2067608954288009E-2</v>
      </c>
      <c r="P20">
        <v>2.2288051433784564E-2</v>
      </c>
      <c r="Q20">
        <v>2.2234655149849496E-2</v>
      </c>
      <c r="R20">
        <v>2.1752109677766359E-2</v>
      </c>
      <c r="S20">
        <v>2.1849248362277952E-2</v>
      </c>
      <c r="T20">
        <v>2.1629688734741238E-2</v>
      </c>
      <c r="U20">
        <v>2.1596026759402726E-2</v>
      </c>
    </row>
    <row r="21" spans="1:21">
      <c r="A21" t="s">
        <v>18</v>
      </c>
      <c r="B21">
        <v>1.819121827738002E-2</v>
      </c>
      <c r="C21">
        <v>1.9426653822511082E-2</v>
      </c>
      <c r="D21">
        <v>2.0212235339361836E-2</v>
      </c>
      <c r="E21">
        <v>2.0167850507532715E-2</v>
      </c>
      <c r="F21">
        <v>2.0460590977424607E-2</v>
      </c>
      <c r="G21">
        <v>2.0378536906765873E-2</v>
      </c>
      <c r="H21">
        <v>2.0787307391845117E-2</v>
      </c>
      <c r="I21">
        <v>2.0732782699936069E-2</v>
      </c>
      <c r="J21">
        <v>2.1081050383438226E-2</v>
      </c>
      <c r="K21">
        <v>2.0579869894168927E-2</v>
      </c>
      <c r="L21">
        <v>2.2179011574071684E-2</v>
      </c>
      <c r="M21">
        <v>2.2406663320982047E-2</v>
      </c>
      <c r="N21">
        <v>2.2324642891309053E-2</v>
      </c>
      <c r="O21">
        <v>2.2190978933482798E-2</v>
      </c>
      <c r="P21">
        <v>2.2333994220817058E-2</v>
      </c>
      <c r="Q21">
        <v>2.2374856764001888E-2</v>
      </c>
      <c r="R21">
        <v>2.1752764295647004E-2</v>
      </c>
      <c r="S21">
        <v>2.2010155723635606E-2</v>
      </c>
      <c r="T21">
        <v>2.1939943621548115E-2</v>
      </c>
      <c r="U21">
        <v>2.169925181503022E-2</v>
      </c>
    </row>
    <row r="22" spans="1:21">
      <c r="A22" t="s">
        <v>19</v>
      </c>
      <c r="B22">
        <v>1.8159775283408616E-2</v>
      </c>
      <c r="C22">
        <v>1.9480582460311421E-2</v>
      </c>
      <c r="D22">
        <v>2.0214296130422749E-2</v>
      </c>
      <c r="E22">
        <v>2.0065900751434936E-2</v>
      </c>
      <c r="F22">
        <v>2.0187880238678214E-2</v>
      </c>
      <c r="G22">
        <v>2.0362928672439464E-2</v>
      </c>
      <c r="H22">
        <v>2.0628743882703422E-2</v>
      </c>
      <c r="I22">
        <v>2.0798929968718547E-2</v>
      </c>
      <c r="J22">
        <v>2.1081089149131323E-2</v>
      </c>
      <c r="K22">
        <v>2.0700515817598898E-2</v>
      </c>
      <c r="L22">
        <v>2.2369012920585293E-2</v>
      </c>
      <c r="M22">
        <v>2.2498898365757861E-2</v>
      </c>
      <c r="N22">
        <v>2.2195741053323573E-2</v>
      </c>
      <c r="O22">
        <v>2.1999032612184166E-2</v>
      </c>
      <c r="P22">
        <v>2.2149918373640682E-2</v>
      </c>
      <c r="Q22">
        <v>2.2281938392708169E-2</v>
      </c>
      <c r="R22">
        <v>2.1735896084703086E-2</v>
      </c>
      <c r="S22">
        <v>2.1831051659250107E-2</v>
      </c>
      <c r="T22">
        <v>2.1916719456191537E-2</v>
      </c>
      <c r="U22">
        <v>2.1781447016103263E-2</v>
      </c>
    </row>
    <row r="23" spans="1:21">
      <c r="A23" t="s">
        <v>20</v>
      </c>
      <c r="B23">
        <v>1.8394805687402302E-2</v>
      </c>
      <c r="C23">
        <v>1.9680862863918739E-2</v>
      </c>
      <c r="D23">
        <v>2.0481423639575634E-2</v>
      </c>
      <c r="E23">
        <v>2.0393660235189313E-2</v>
      </c>
      <c r="F23">
        <v>2.0541493018395175E-2</v>
      </c>
      <c r="G23">
        <v>2.0589758106932209E-2</v>
      </c>
      <c r="H23">
        <v>2.0861218250793977E-2</v>
      </c>
      <c r="I23">
        <v>2.1110976593132293E-2</v>
      </c>
      <c r="J23">
        <v>2.1343785006515167E-2</v>
      </c>
      <c r="K23">
        <v>2.086507065782342E-2</v>
      </c>
      <c r="L23">
        <v>2.235328631345165E-2</v>
      </c>
      <c r="M23">
        <v>2.2564452224135313E-2</v>
      </c>
      <c r="N23">
        <v>2.244103143745298E-2</v>
      </c>
      <c r="O23">
        <v>2.2218539621529452E-2</v>
      </c>
      <c r="P23">
        <v>2.225380554614605E-2</v>
      </c>
      <c r="Q23">
        <v>2.2435078443419264E-2</v>
      </c>
      <c r="R23">
        <v>2.1588023607065656E-2</v>
      </c>
      <c r="S23">
        <v>2.1741271592655147E-2</v>
      </c>
      <c r="T23">
        <v>2.1795969837444154E-2</v>
      </c>
      <c r="U23">
        <v>2.1591726341080385E-2</v>
      </c>
    </row>
    <row r="24" spans="1:21">
      <c r="A24" t="s">
        <v>21</v>
      </c>
      <c r="B24">
        <v>1.8166403429884376E-2</v>
      </c>
      <c r="C24">
        <v>1.9418398251124295E-2</v>
      </c>
      <c r="D24">
        <v>2.0153254949484372E-2</v>
      </c>
      <c r="E24">
        <v>2.0034928446503737E-2</v>
      </c>
      <c r="F24">
        <v>2.0298682937626052E-2</v>
      </c>
      <c r="G24">
        <v>2.0354317565613404E-2</v>
      </c>
      <c r="H24">
        <v>2.0507456908706295E-2</v>
      </c>
      <c r="I24">
        <v>2.059250639344045E-2</v>
      </c>
      <c r="J24">
        <v>2.0879809664715712E-2</v>
      </c>
      <c r="K24">
        <v>2.043898438601191E-2</v>
      </c>
      <c r="L24">
        <v>2.2239032990312432E-2</v>
      </c>
      <c r="M24">
        <v>2.2434515169839839E-2</v>
      </c>
      <c r="N24">
        <v>2.2116377269164256E-2</v>
      </c>
      <c r="O24">
        <v>2.1937131919839495E-2</v>
      </c>
      <c r="P24">
        <v>2.2162796213755311E-2</v>
      </c>
      <c r="Q24">
        <v>2.235938560160167E-2</v>
      </c>
      <c r="R24">
        <v>2.1586896632327653E-2</v>
      </c>
      <c r="S24">
        <v>2.1854154604660656E-2</v>
      </c>
      <c r="T24">
        <v>2.1602164474476281E-2</v>
      </c>
      <c r="U24">
        <v>2.1461190643013325E-2</v>
      </c>
    </row>
    <row r="25" spans="1:21">
      <c r="A25" t="s">
        <v>34</v>
      </c>
      <c r="B25">
        <v>1.8225259114219985E-2</v>
      </c>
      <c r="C25">
        <v>1.9463553489118834E-2</v>
      </c>
      <c r="D25">
        <v>2.0203121919219282E-2</v>
      </c>
      <c r="E25">
        <v>2.0284422433538479E-2</v>
      </c>
      <c r="F25">
        <v>2.0393340267940156E-2</v>
      </c>
      <c r="G25">
        <v>2.0548454008788363E-2</v>
      </c>
      <c r="H25">
        <v>2.0855802271367616E-2</v>
      </c>
      <c r="I25">
        <v>2.0984627582350729E-2</v>
      </c>
      <c r="J25">
        <v>2.1244099045434815E-2</v>
      </c>
      <c r="K25">
        <v>2.0810981481993153E-2</v>
      </c>
      <c r="L25">
        <v>2.2478152121530579E-2</v>
      </c>
      <c r="M25">
        <v>2.2448993355320409E-2</v>
      </c>
      <c r="N25">
        <v>2.2263584652540087E-2</v>
      </c>
      <c r="O25">
        <v>2.2231128231010949E-2</v>
      </c>
      <c r="P25">
        <v>2.2322044964345235E-2</v>
      </c>
      <c r="Q25">
        <v>2.2351755482397765E-2</v>
      </c>
      <c r="R25">
        <v>2.1754867757062351E-2</v>
      </c>
      <c r="S25">
        <v>2.1695308624157743E-2</v>
      </c>
      <c r="T25">
        <v>2.1563134093937938E-2</v>
      </c>
      <c r="U25">
        <v>2.1564784536399043E-2</v>
      </c>
    </row>
    <row r="26" spans="1:21">
      <c r="A26" t="s">
        <v>22</v>
      </c>
      <c r="B26">
        <v>1.6732885396121496E-2</v>
      </c>
      <c r="C26">
        <v>1.9372060108587278E-2</v>
      </c>
      <c r="D26">
        <v>2.0729753468523626E-2</v>
      </c>
      <c r="E26">
        <v>2.1046784242222671E-2</v>
      </c>
      <c r="F26">
        <v>2.1571953633022337E-2</v>
      </c>
      <c r="G26">
        <v>2.1860441725819791E-2</v>
      </c>
      <c r="H26">
        <v>2.2265627592925781E-2</v>
      </c>
      <c r="I26">
        <v>2.2434165715169443E-2</v>
      </c>
      <c r="J26">
        <v>2.274385617745044E-2</v>
      </c>
      <c r="K26">
        <v>2.2388477701605208E-2</v>
      </c>
      <c r="L26">
        <v>2.4185301407532528E-2</v>
      </c>
      <c r="M26">
        <v>2.4380348181734894E-2</v>
      </c>
      <c r="N26">
        <v>2.4379379452486274E-2</v>
      </c>
      <c r="O26">
        <v>2.4101768092446071E-2</v>
      </c>
      <c r="P26">
        <v>2.4342427349510899E-2</v>
      </c>
      <c r="Q26">
        <v>2.4365505156288707E-2</v>
      </c>
      <c r="R26">
        <v>2.3643659300993613E-2</v>
      </c>
      <c r="S26">
        <v>2.3943267745197283E-2</v>
      </c>
      <c r="T26">
        <v>2.3791903270283261E-2</v>
      </c>
      <c r="U26">
        <v>2.3897755934288317E-2</v>
      </c>
    </row>
    <row r="27" spans="1:21">
      <c r="A27" t="s">
        <v>23</v>
      </c>
      <c r="B27">
        <v>1.8015749121188061E-2</v>
      </c>
      <c r="C27">
        <v>1.9337853997066865E-2</v>
      </c>
      <c r="D27">
        <v>2.0084777521098492E-2</v>
      </c>
      <c r="E27">
        <v>2.0041391005700508E-2</v>
      </c>
      <c r="F27">
        <v>2.019661518261465E-2</v>
      </c>
      <c r="G27">
        <v>2.0421696281772577E-2</v>
      </c>
      <c r="H27">
        <v>2.0611267246415783E-2</v>
      </c>
      <c r="I27">
        <v>2.0681596664004886E-2</v>
      </c>
      <c r="J27">
        <v>2.0905477305762078E-2</v>
      </c>
      <c r="K27">
        <v>2.0568446983720765E-2</v>
      </c>
      <c r="L27">
        <v>2.2393980284504695E-2</v>
      </c>
      <c r="M27">
        <v>2.2451184448986018E-2</v>
      </c>
      <c r="N27">
        <v>2.2281848345875911E-2</v>
      </c>
      <c r="O27">
        <v>2.1914442734202823E-2</v>
      </c>
      <c r="P27">
        <v>2.199943564826741E-2</v>
      </c>
      <c r="Q27">
        <v>2.2048051351535761E-2</v>
      </c>
      <c r="R27">
        <v>2.1671510880586779E-2</v>
      </c>
      <c r="S27">
        <v>2.1813041805409866E-2</v>
      </c>
      <c r="T27">
        <v>2.1644122640942183E-2</v>
      </c>
      <c r="U27">
        <v>2.1606295283507434E-2</v>
      </c>
    </row>
    <row r="28" spans="1:21">
      <c r="A28" t="s">
        <v>24</v>
      </c>
      <c r="B28">
        <v>1.8169100520029648E-2</v>
      </c>
      <c r="C28">
        <v>1.9404953763114283E-2</v>
      </c>
      <c r="D28">
        <v>2.0189712633071028E-2</v>
      </c>
      <c r="E28">
        <v>2.0069491389563689E-2</v>
      </c>
      <c r="F28">
        <v>2.0245975050113073E-2</v>
      </c>
      <c r="G28">
        <v>2.0369171351396643E-2</v>
      </c>
      <c r="H28">
        <v>2.0574519825726889E-2</v>
      </c>
      <c r="I28">
        <v>2.050140906122274E-2</v>
      </c>
      <c r="J28">
        <v>2.0881369430029724E-2</v>
      </c>
      <c r="K28">
        <v>2.0607002762103289E-2</v>
      </c>
      <c r="L28">
        <v>2.2383978829303756E-2</v>
      </c>
      <c r="M28">
        <v>2.2522062201641147E-2</v>
      </c>
      <c r="N28">
        <v>2.2337688110219318E-2</v>
      </c>
      <c r="O28">
        <v>2.2192349862561245E-2</v>
      </c>
      <c r="P28">
        <v>2.2305560928005997E-2</v>
      </c>
      <c r="Q28">
        <v>2.2347606155543313E-2</v>
      </c>
      <c r="R28">
        <v>2.1807805391038829E-2</v>
      </c>
      <c r="S28">
        <v>2.1869143423440634E-2</v>
      </c>
      <c r="T28">
        <v>2.1599788404197132E-2</v>
      </c>
      <c r="U28">
        <v>2.1486181114794726E-2</v>
      </c>
    </row>
    <row r="29" spans="1:21">
      <c r="A29" t="s">
        <v>25</v>
      </c>
      <c r="B29">
        <v>1.7860945165830984E-2</v>
      </c>
      <c r="C29">
        <v>1.8925771844876208E-2</v>
      </c>
      <c r="D29">
        <v>1.9693783308856423E-2</v>
      </c>
      <c r="E29">
        <v>1.9624417644958436E-2</v>
      </c>
      <c r="F29">
        <v>1.975646318754315E-2</v>
      </c>
      <c r="G29">
        <v>1.9717021193103625E-2</v>
      </c>
      <c r="H29">
        <v>1.9877604041293268E-2</v>
      </c>
      <c r="I29">
        <v>1.9742439820176153E-2</v>
      </c>
      <c r="J29">
        <v>2.0076219614683113E-2</v>
      </c>
      <c r="K29">
        <v>1.9747435139722373E-2</v>
      </c>
      <c r="L29">
        <v>2.1374522110474643E-2</v>
      </c>
      <c r="M29">
        <v>2.1745030450698557E-2</v>
      </c>
      <c r="N29">
        <v>2.1599475842555154E-2</v>
      </c>
      <c r="O29">
        <v>2.1341239976750685E-2</v>
      </c>
      <c r="P29">
        <v>2.1353388620685896E-2</v>
      </c>
      <c r="Q29">
        <v>2.1542858529836527E-2</v>
      </c>
      <c r="R29">
        <v>2.1104969913748012E-2</v>
      </c>
      <c r="S29">
        <v>2.1227444362082921E-2</v>
      </c>
      <c r="T29">
        <v>2.1386222883495502E-2</v>
      </c>
      <c r="U29">
        <v>2.1342221788585206E-2</v>
      </c>
    </row>
    <row r="30" spans="1:21">
      <c r="A30" t="s">
        <v>26</v>
      </c>
      <c r="B30">
        <v>2.0722880185012314E-2</v>
      </c>
      <c r="C30">
        <v>2.2637241494456974E-2</v>
      </c>
      <c r="D30">
        <v>2.4037667773078458E-2</v>
      </c>
      <c r="E30">
        <v>2.4185941530197781E-2</v>
      </c>
      <c r="F30">
        <v>2.4538429130973417E-2</v>
      </c>
      <c r="G30">
        <v>2.4672928434424483E-2</v>
      </c>
      <c r="H30">
        <v>2.530742356665279E-2</v>
      </c>
      <c r="I30">
        <v>2.5984393701408082E-2</v>
      </c>
      <c r="J30">
        <v>2.637370533007868E-2</v>
      </c>
      <c r="K30">
        <v>2.6113707715354949E-2</v>
      </c>
      <c r="L30">
        <v>2.8101200056686031E-2</v>
      </c>
      <c r="M30">
        <v>2.8068524826995581E-2</v>
      </c>
      <c r="N30">
        <v>2.8351670243590751E-2</v>
      </c>
      <c r="O30">
        <v>2.8058330694483165E-2</v>
      </c>
      <c r="P30">
        <v>2.7927247538263603E-2</v>
      </c>
      <c r="Q30">
        <v>2.8160622999378916E-2</v>
      </c>
      <c r="R30">
        <v>2.7911265347313391E-2</v>
      </c>
      <c r="S30">
        <v>2.8248190667352052E-2</v>
      </c>
      <c r="T30">
        <v>2.8094045462782196E-2</v>
      </c>
      <c r="U30">
        <v>2.8051232577292359E-2</v>
      </c>
    </row>
    <row r="31" spans="1:21">
      <c r="A31" t="s">
        <v>27</v>
      </c>
      <c r="B31">
        <v>1.9965090429302969E-2</v>
      </c>
      <c r="C31">
        <v>2.1356084531552851E-2</v>
      </c>
      <c r="D31">
        <v>2.147246797838823E-2</v>
      </c>
      <c r="E31">
        <v>2.1428536243197283E-2</v>
      </c>
      <c r="F31">
        <v>2.15823739700307E-2</v>
      </c>
      <c r="G31">
        <v>2.16882182072962E-2</v>
      </c>
      <c r="H31">
        <v>2.2124365501555589E-2</v>
      </c>
      <c r="I31">
        <v>2.2431469243584922E-2</v>
      </c>
      <c r="J31">
        <v>2.2540442410368799E-2</v>
      </c>
      <c r="K31">
        <v>2.2298521428262774E-2</v>
      </c>
      <c r="L31">
        <v>2.4217367251318782E-2</v>
      </c>
      <c r="M31">
        <v>2.4262811580907283E-2</v>
      </c>
      <c r="N31">
        <v>2.4114563315797359E-2</v>
      </c>
      <c r="O31">
        <v>2.3926424105170416E-2</v>
      </c>
      <c r="P31">
        <v>2.3963189652122165E-2</v>
      </c>
      <c r="Q31">
        <v>2.4263744697491707E-2</v>
      </c>
      <c r="R31">
        <v>2.3774530626115026E-2</v>
      </c>
      <c r="S31">
        <v>2.3955346498011558E-2</v>
      </c>
      <c r="T31">
        <v>2.3760559484026084E-2</v>
      </c>
      <c r="U31">
        <v>2.3761842666547999E-2</v>
      </c>
    </row>
    <row r="32" spans="1:21">
      <c r="A32" t="s">
        <v>28</v>
      </c>
      <c r="B32">
        <v>1.9880960712967334E-2</v>
      </c>
      <c r="C32">
        <v>2.318153594724089E-2</v>
      </c>
      <c r="D32">
        <v>2.50691828367396E-2</v>
      </c>
      <c r="E32">
        <v>2.6047302566964546E-2</v>
      </c>
      <c r="F32">
        <v>2.6549687443107917E-2</v>
      </c>
      <c r="G32">
        <v>2.6980878994638646E-2</v>
      </c>
      <c r="H32">
        <v>2.7750486644069535E-2</v>
      </c>
      <c r="I32">
        <v>2.8602029606858811E-2</v>
      </c>
      <c r="J32">
        <v>2.917104338506676E-2</v>
      </c>
      <c r="K32">
        <v>2.9109261862336328E-2</v>
      </c>
      <c r="L32">
        <v>3.164607318237684E-2</v>
      </c>
      <c r="M32">
        <v>3.1792957778998182E-2</v>
      </c>
      <c r="N32">
        <v>3.1928032132886086E-2</v>
      </c>
      <c r="O32">
        <v>3.1544269681972388E-2</v>
      </c>
      <c r="P32">
        <v>3.1737324355037969E-2</v>
      </c>
      <c r="Q32">
        <v>3.2221700197835379E-2</v>
      </c>
      <c r="R32">
        <v>3.1672778514333776E-2</v>
      </c>
      <c r="S32">
        <v>3.1936457159728211E-2</v>
      </c>
      <c r="T32">
        <v>3.1696104310105971E-2</v>
      </c>
      <c r="U32">
        <v>3.1548080073520599E-2</v>
      </c>
    </row>
    <row r="33" spans="1:21">
      <c r="A33" t="s">
        <v>29</v>
      </c>
      <c r="B33">
        <v>2.0524792348188322E-2</v>
      </c>
      <c r="C33">
        <v>2.3877318320524053E-2</v>
      </c>
      <c r="D33">
        <v>2.533889603689219E-2</v>
      </c>
      <c r="E33">
        <v>2.610354734509774E-2</v>
      </c>
      <c r="F33">
        <v>2.6691445545480984E-2</v>
      </c>
      <c r="G33">
        <v>2.7217937147665561E-2</v>
      </c>
      <c r="H33">
        <v>2.8328978308030967E-2</v>
      </c>
      <c r="I33">
        <v>2.9096117712039727E-2</v>
      </c>
      <c r="J33">
        <v>2.9856307762376775E-2</v>
      </c>
      <c r="K33">
        <v>2.9562451830990238E-2</v>
      </c>
      <c r="L33">
        <v>3.2055379611150243E-2</v>
      </c>
      <c r="M33">
        <v>3.2005986692509716E-2</v>
      </c>
      <c r="N33">
        <v>3.2452867151304958E-2</v>
      </c>
      <c r="O33">
        <v>3.2359592175867327E-2</v>
      </c>
      <c r="P33">
        <v>3.2552201419533584E-2</v>
      </c>
      <c r="Q33">
        <v>3.2980910687861291E-2</v>
      </c>
      <c r="R33">
        <v>3.2221992002980454E-2</v>
      </c>
      <c r="S33">
        <v>3.2705811944029627E-2</v>
      </c>
      <c r="T33">
        <v>3.2315992710632416E-2</v>
      </c>
      <c r="U33">
        <v>3.222276739122866E-2</v>
      </c>
    </row>
    <row r="34" spans="1:21">
      <c r="A34" t="s">
        <v>30</v>
      </c>
      <c r="B34">
        <v>2.0437275313144581E-2</v>
      </c>
      <c r="C34">
        <v>2.3874087718087737E-2</v>
      </c>
      <c r="D34">
        <v>2.5263419112197445E-2</v>
      </c>
      <c r="E34">
        <v>2.6030651532616963E-2</v>
      </c>
      <c r="F34">
        <v>2.6623096155889873E-2</v>
      </c>
      <c r="G34">
        <v>2.7228541494440928E-2</v>
      </c>
      <c r="H34">
        <v>2.8271241883774688E-2</v>
      </c>
      <c r="I34">
        <v>2.9456701269405139E-2</v>
      </c>
      <c r="J34">
        <v>3.0149731001311564E-2</v>
      </c>
      <c r="K34">
        <v>2.9855411990244104E-2</v>
      </c>
      <c r="L34">
        <v>3.2228133384096136E-2</v>
      </c>
      <c r="M34">
        <v>3.2173193125967822E-2</v>
      </c>
      <c r="N34">
        <v>3.2470780828714692E-2</v>
      </c>
      <c r="O34">
        <v>3.2395542185980446E-2</v>
      </c>
      <c r="P34">
        <v>3.2383073756489418E-2</v>
      </c>
      <c r="Q34">
        <v>3.2945844364813175E-2</v>
      </c>
      <c r="R34">
        <v>3.2300688068559139E-2</v>
      </c>
      <c r="S34">
        <v>3.2769522206447847E-2</v>
      </c>
      <c r="T34">
        <v>3.2851692331897657E-2</v>
      </c>
      <c r="U34">
        <v>3.2706866847550441E-2</v>
      </c>
    </row>
    <row r="35" spans="1:21">
      <c r="A35" t="s">
        <v>31</v>
      </c>
      <c r="B35">
        <v>1.5446459060009009E-2</v>
      </c>
      <c r="C35">
        <v>1.6294371116614588E-2</v>
      </c>
      <c r="D35">
        <v>1.6419159299792308E-2</v>
      </c>
      <c r="E35">
        <v>1.6258804382365322E-2</v>
      </c>
      <c r="F35">
        <v>1.6432277334289595E-2</v>
      </c>
      <c r="G35">
        <v>1.6395454692346358E-2</v>
      </c>
      <c r="H35">
        <v>1.6858430609374354E-2</v>
      </c>
      <c r="I35">
        <v>1.6921948133027786E-2</v>
      </c>
      <c r="J35">
        <v>1.7096586583669367E-2</v>
      </c>
      <c r="K35">
        <v>1.6939157911580044E-2</v>
      </c>
      <c r="L35">
        <v>1.8483283717135507E-2</v>
      </c>
      <c r="M35">
        <v>1.866599566280519E-2</v>
      </c>
      <c r="N35">
        <v>1.8690552375464388E-2</v>
      </c>
      <c r="O35">
        <v>1.8442545337585783E-2</v>
      </c>
      <c r="P35">
        <v>1.8376348203921793E-2</v>
      </c>
      <c r="Q35">
        <v>1.8352230028939175E-2</v>
      </c>
      <c r="R35">
        <v>1.8114635124373803E-2</v>
      </c>
      <c r="S35">
        <v>1.8385013555143749E-2</v>
      </c>
      <c r="T35">
        <v>1.8212081996866143E-2</v>
      </c>
      <c r="U35">
        <v>1.8102296196608008E-2</v>
      </c>
    </row>
    <row r="36" spans="1:21">
      <c r="A36" t="s">
        <v>32</v>
      </c>
      <c r="B36">
        <v>1.5440951316231435E-2</v>
      </c>
      <c r="C36">
        <v>1.625927578019256E-2</v>
      </c>
      <c r="D36">
        <v>1.6416542010767671E-2</v>
      </c>
      <c r="E36">
        <v>1.6325927046958174E-2</v>
      </c>
      <c r="F36">
        <v>1.6494608093678996E-2</v>
      </c>
      <c r="G36">
        <v>1.6597210560549205E-2</v>
      </c>
      <c r="H36">
        <v>1.6853631005458124E-2</v>
      </c>
      <c r="I36">
        <v>1.7055399728533795E-2</v>
      </c>
      <c r="J36">
        <v>1.747861846358556E-2</v>
      </c>
      <c r="K36">
        <v>1.7328005216695617E-2</v>
      </c>
      <c r="L36">
        <v>1.8896505027849193E-2</v>
      </c>
      <c r="M36">
        <v>1.9284100136152196E-2</v>
      </c>
      <c r="N36">
        <v>1.9358902523207936E-2</v>
      </c>
      <c r="O36">
        <v>1.9084863949808784E-2</v>
      </c>
      <c r="P36">
        <v>1.9355679279940693E-2</v>
      </c>
      <c r="Q36">
        <v>1.9522887141812627E-2</v>
      </c>
      <c r="R36">
        <v>1.9346848385945595E-2</v>
      </c>
      <c r="S36">
        <v>1.9734417057325399E-2</v>
      </c>
      <c r="T36">
        <v>1.9491453880056384E-2</v>
      </c>
      <c r="U36">
        <v>1.9407289515072153E-2</v>
      </c>
    </row>
    <row r="37" spans="1:21">
      <c r="A37" t="s">
        <v>33</v>
      </c>
      <c r="B37">
        <v>1.5341914333572624E-2</v>
      </c>
      <c r="C37">
        <v>1.5825282510685636E-2</v>
      </c>
      <c r="D37">
        <v>1.5744315699134311E-2</v>
      </c>
      <c r="E37">
        <v>1.5435266147611121E-2</v>
      </c>
      <c r="F37">
        <v>1.5513740748090803E-2</v>
      </c>
      <c r="G37">
        <v>1.5461250996950926E-2</v>
      </c>
      <c r="H37">
        <v>1.5598597818623322E-2</v>
      </c>
      <c r="I37">
        <v>1.5499181357803754E-2</v>
      </c>
      <c r="J37">
        <v>1.5652573217309174E-2</v>
      </c>
      <c r="K37">
        <v>1.541880497091422E-2</v>
      </c>
      <c r="L37">
        <v>1.673190101639967E-2</v>
      </c>
      <c r="M37">
        <v>1.6813238433501645E-2</v>
      </c>
      <c r="N37">
        <v>1.6812725612142823E-2</v>
      </c>
      <c r="O37">
        <v>1.6576894104777303E-2</v>
      </c>
      <c r="P37">
        <v>1.6476383351994316E-2</v>
      </c>
      <c r="Q37">
        <v>1.6381241601315367E-2</v>
      </c>
      <c r="R37">
        <v>1.6076535819287006E-2</v>
      </c>
      <c r="S37">
        <v>1.6326945367790204E-2</v>
      </c>
      <c r="T37">
        <v>1.6345670268390101E-2</v>
      </c>
      <c r="U37">
        <v>1.6323964291183931E-2</v>
      </c>
    </row>
  </sheetData>
  <phoneticPr fontId="0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"AA_S_phi_den_1.4A"</f>
        <v>AA_S_phi_den_1.4A</v>
      </c>
      <c r="C1" s="1" t="str">
        <f>"AA_S_phi_den_2A"</f>
        <v>AA_S_phi_den_2A</v>
      </c>
      <c r="D1" s="1" t="str">
        <f>"AA_S_phi_den_3A"</f>
        <v>AA_S_phi_den_3A</v>
      </c>
      <c r="E1" s="1" t="str">
        <f>"AA_S_phi_den_4A"</f>
        <v>AA_S_phi_den_4A</v>
      </c>
      <c r="F1" s="1" t="str">
        <f>"AA_S_phi_den_5A"</f>
        <v>AA_S_phi_den_5A</v>
      </c>
      <c r="G1" s="1" t="str">
        <f>"AA_S_phi_den_6A"</f>
        <v>AA_S_phi_den_6A</v>
      </c>
      <c r="H1" s="1" t="str">
        <f>"AA_S_phi_den_7A"</f>
        <v>AA_S_phi_den_7A</v>
      </c>
      <c r="I1" s="1" t="str">
        <f>"AA_S_phi_den_8A"</f>
        <v>AA_S_phi_den_8A</v>
      </c>
      <c r="J1" s="1" t="str">
        <f>"AA_S_phi_den_9A"</f>
        <v>AA_S_phi_den_9A</v>
      </c>
      <c r="K1" s="1" t="str">
        <f>"AA_S_phi_den_10A"</f>
        <v>AA_S_phi_den_10A</v>
      </c>
      <c r="L1" s="1" t="str">
        <f>"AA_S_phi_den_11A"</f>
        <v>AA_S_phi_den_11A</v>
      </c>
      <c r="M1" s="1" t="str">
        <f>"AA_S_phi_den_12A"</f>
        <v>AA_S_phi_den_12A</v>
      </c>
      <c r="N1" s="1" t="str">
        <f>"AA_S_phi_den_13A"</f>
        <v>AA_S_phi_den_13A</v>
      </c>
      <c r="O1" s="1" t="str">
        <f>"AA_S_phi_den_14A"</f>
        <v>AA_S_phi_den_14A</v>
      </c>
      <c r="P1" s="1" t="str">
        <f>"AA_S_phi_den_15A"</f>
        <v>AA_S_phi_den_15A</v>
      </c>
      <c r="Q1" s="1" t="str">
        <f>"AA_S_phi_den_16A"</f>
        <v>AA_S_phi_den_16A</v>
      </c>
      <c r="R1" s="1" t="str">
        <f>"AA_S_phi_den_17A"</f>
        <v>AA_S_phi_den_17A</v>
      </c>
      <c r="S1" s="1" t="str">
        <f>"AA_S_phi_den_18A"</f>
        <v>AA_S_phi_den_18A</v>
      </c>
      <c r="T1" s="1" t="str">
        <f>"AA_S_phi_den_19A"</f>
        <v>AA_S_phi_den_19A</v>
      </c>
      <c r="U1" s="1" t="str">
        <f>"AA_S_phi_den_20A"</f>
        <v>AA_S_phi_den_20A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2.722913509125803E-2</v>
      </c>
      <c r="C3">
        <v>2.7592642590684214E-2</v>
      </c>
      <c r="D3">
        <v>2.7095562126074654E-2</v>
      </c>
      <c r="E3">
        <v>2.6770758752363642E-2</v>
      </c>
      <c r="F3">
        <v>2.6892443273748276E-2</v>
      </c>
      <c r="G3">
        <v>2.6637009092313292E-2</v>
      </c>
      <c r="H3">
        <v>2.695710953454834E-2</v>
      </c>
      <c r="I3">
        <v>2.7215150018930882E-2</v>
      </c>
      <c r="J3">
        <v>2.7218806211775994E-2</v>
      </c>
      <c r="K3">
        <v>2.683487232843456E-2</v>
      </c>
      <c r="L3">
        <v>2.9197980708577646E-2</v>
      </c>
      <c r="M3">
        <v>2.9207919981832652E-2</v>
      </c>
      <c r="N3">
        <v>2.918802673683964E-2</v>
      </c>
      <c r="O3">
        <v>2.8593410910576642E-2</v>
      </c>
      <c r="P3">
        <v>2.860825982697408E-2</v>
      </c>
      <c r="Q3">
        <v>2.8550684417237203E-2</v>
      </c>
      <c r="R3">
        <v>2.7839042174911104E-2</v>
      </c>
      <c r="S3">
        <v>2.8572776201115872E-2</v>
      </c>
      <c r="T3">
        <v>2.8116065313021573E-2</v>
      </c>
      <c r="U3">
        <v>2.7934861692393655E-2</v>
      </c>
    </row>
    <row r="4" spans="1:24">
      <c r="A4" t="s">
        <v>1</v>
      </c>
      <c r="B4">
        <v>2.4446354497740012E-2</v>
      </c>
      <c r="C4">
        <v>2.508768298593566E-2</v>
      </c>
      <c r="D4">
        <v>2.508697381426209E-2</v>
      </c>
      <c r="E4">
        <v>2.5035799878764455E-2</v>
      </c>
      <c r="F4">
        <v>2.5194807683947117E-2</v>
      </c>
      <c r="G4">
        <v>2.4804569167337458E-2</v>
      </c>
      <c r="H4">
        <v>2.5307625210599927E-2</v>
      </c>
      <c r="I4">
        <v>2.5920759277995472E-2</v>
      </c>
      <c r="J4">
        <v>2.6464616673872853E-2</v>
      </c>
      <c r="K4">
        <v>2.6103067554892705E-2</v>
      </c>
      <c r="L4">
        <v>2.8146145516361066E-2</v>
      </c>
      <c r="M4">
        <v>2.8455063890528286E-2</v>
      </c>
      <c r="N4">
        <v>2.8287233638130252E-2</v>
      </c>
      <c r="O4">
        <v>2.7926249264459392E-2</v>
      </c>
      <c r="P4">
        <v>2.808749092118425E-2</v>
      </c>
      <c r="Q4">
        <v>2.845477436524016E-2</v>
      </c>
      <c r="R4">
        <v>2.8260581990965528E-2</v>
      </c>
      <c r="S4">
        <v>2.8352964903553757E-2</v>
      </c>
      <c r="T4">
        <v>2.7825690483334286E-2</v>
      </c>
      <c r="U4">
        <v>2.7899839079020956E-2</v>
      </c>
    </row>
    <row r="5" spans="1:24">
      <c r="A5" t="s">
        <v>2</v>
      </c>
      <c r="B5">
        <v>2.4715514471504579E-2</v>
      </c>
      <c r="C5">
        <v>2.5421534910542526E-2</v>
      </c>
      <c r="D5">
        <v>2.5332863852738946E-2</v>
      </c>
      <c r="E5">
        <v>2.5197355343050665E-2</v>
      </c>
      <c r="F5">
        <v>2.5453971645492773E-2</v>
      </c>
      <c r="G5">
        <v>2.5556661880522455E-2</v>
      </c>
      <c r="H5">
        <v>2.5830283170866993E-2</v>
      </c>
      <c r="I5">
        <v>2.6118290073287254E-2</v>
      </c>
      <c r="J5">
        <v>2.6432659558379822E-2</v>
      </c>
      <c r="K5">
        <v>2.6171817902065624E-2</v>
      </c>
      <c r="L5">
        <v>2.8317478716704116E-2</v>
      </c>
      <c r="M5">
        <v>2.8512273870346935E-2</v>
      </c>
      <c r="N5">
        <v>2.8748976358058231E-2</v>
      </c>
      <c r="O5">
        <v>2.8679488583017269E-2</v>
      </c>
      <c r="P5">
        <v>2.9103569160160696E-2</v>
      </c>
      <c r="Q5">
        <v>2.9327750655313175E-2</v>
      </c>
      <c r="R5">
        <v>2.83432643695943E-2</v>
      </c>
      <c r="S5">
        <v>2.8737884860406925E-2</v>
      </c>
      <c r="T5">
        <v>2.8498975275018275E-2</v>
      </c>
      <c r="U5">
        <v>2.8489161807461399E-2</v>
      </c>
    </row>
    <row r="6" spans="1:24">
      <c r="A6" t="s">
        <v>3</v>
      </c>
      <c r="B6">
        <v>1.9203152903005408E-2</v>
      </c>
      <c r="C6">
        <v>1.9456974697160356E-2</v>
      </c>
      <c r="D6">
        <v>1.8663214003208715E-2</v>
      </c>
      <c r="E6">
        <v>1.8456402561449869E-2</v>
      </c>
      <c r="F6">
        <v>1.8265258778902123E-2</v>
      </c>
      <c r="G6">
        <v>1.7868888045540796E-2</v>
      </c>
      <c r="H6">
        <v>1.7604046249793569E-2</v>
      </c>
      <c r="I6">
        <v>1.7313695063745103E-2</v>
      </c>
      <c r="J6">
        <v>1.7885653207972748E-2</v>
      </c>
      <c r="K6">
        <v>1.7678128924946537E-2</v>
      </c>
      <c r="L6">
        <v>1.9079471255011665E-2</v>
      </c>
      <c r="M6">
        <v>1.9039623163508095E-2</v>
      </c>
      <c r="N6">
        <v>1.891780175071894E-2</v>
      </c>
      <c r="O6">
        <v>1.8503804247868908E-2</v>
      </c>
      <c r="P6">
        <v>1.8321820481017288E-2</v>
      </c>
      <c r="Q6">
        <v>1.814175496686268E-2</v>
      </c>
      <c r="R6">
        <v>1.8110763310077358E-2</v>
      </c>
      <c r="S6">
        <v>1.8211423346972625E-2</v>
      </c>
      <c r="T6">
        <v>1.8233053789315053E-2</v>
      </c>
      <c r="U6">
        <v>1.8290664676968771E-2</v>
      </c>
    </row>
    <row r="7" spans="1:24">
      <c r="A7" t="s">
        <v>4</v>
      </c>
      <c r="B7">
        <v>1.9809048546134404E-2</v>
      </c>
      <c r="C7">
        <v>2.0278388916838693E-2</v>
      </c>
      <c r="D7">
        <v>1.9625711337309722E-2</v>
      </c>
      <c r="E7">
        <v>1.9187854538721197E-2</v>
      </c>
      <c r="F7">
        <v>1.8997643422364083E-2</v>
      </c>
      <c r="G7">
        <v>1.8507256674711658E-2</v>
      </c>
      <c r="H7">
        <v>1.8285890280217525E-2</v>
      </c>
      <c r="I7">
        <v>1.8310345306456879E-2</v>
      </c>
      <c r="J7">
        <v>1.892448684188942E-2</v>
      </c>
      <c r="K7">
        <v>1.8752325300503764E-2</v>
      </c>
      <c r="L7">
        <v>2.0462005528473211E-2</v>
      </c>
      <c r="M7">
        <v>2.0784301897810921E-2</v>
      </c>
      <c r="N7">
        <v>2.0785110459578073E-2</v>
      </c>
      <c r="O7">
        <v>2.0423114290702496E-2</v>
      </c>
      <c r="P7">
        <v>2.0220496498601168E-2</v>
      </c>
      <c r="Q7">
        <v>2.0145092436806705E-2</v>
      </c>
      <c r="R7">
        <v>2.0233198028071355E-2</v>
      </c>
      <c r="S7">
        <v>2.0373876064170324E-2</v>
      </c>
      <c r="T7">
        <v>2.0372659320675293E-2</v>
      </c>
      <c r="U7">
        <v>2.0408409370315721E-2</v>
      </c>
    </row>
    <row r="8" spans="1:24">
      <c r="A8" t="s">
        <v>5</v>
      </c>
      <c r="B8">
        <v>1.9272060611289322E-2</v>
      </c>
      <c r="C8">
        <v>1.9799722334340505E-2</v>
      </c>
      <c r="D8">
        <v>1.8932345398290966E-2</v>
      </c>
      <c r="E8">
        <v>1.8090272702595476E-2</v>
      </c>
      <c r="F8">
        <v>1.8075022728473819E-2</v>
      </c>
      <c r="G8">
        <v>1.7724447244744937E-2</v>
      </c>
      <c r="H8">
        <v>1.7455503876324784E-2</v>
      </c>
      <c r="I8">
        <v>1.6983814346894641E-2</v>
      </c>
      <c r="J8">
        <v>1.7375168849607998E-2</v>
      </c>
      <c r="K8">
        <v>1.7559296748452063E-2</v>
      </c>
      <c r="L8">
        <v>1.9174941899359251E-2</v>
      </c>
      <c r="M8">
        <v>1.9122682756398533E-2</v>
      </c>
      <c r="N8">
        <v>1.8889438710908445E-2</v>
      </c>
      <c r="O8">
        <v>1.8570240895102265E-2</v>
      </c>
      <c r="P8">
        <v>1.8146299798412036E-2</v>
      </c>
      <c r="Q8">
        <v>1.7940713460266711E-2</v>
      </c>
      <c r="R8">
        <v>1.7930983161522699E-2</v>
      </c>
      <c r="S8">
        <v>1.7838490153876813E-2</v>
      </c>
      <c r="T8">
        <v>1.8062266007634716E-2</v>
      </c>
      <c r="U8">
        <v>1.8130516002264768E-2</v>
      </c>
    </row>
    <row r="9" spans="1:24">
      <c r="A9" t="s">
        <v>6</v>
      </c>
      <c r="B9">
        <v>1.932782020186026E-2</v>
      </c>
      <c r="C9">
        <v>1.9942764292303652E-2</v>
      </c>
      <c r="D9">
        <v>1.9335697565476935E-2</v>
      </c>
      <c r="E9">
        <v>1.8652321886261529E-2</v>
      </c>
      <c r="F9">
        <v>1.8494725075384483E-2</v>
      </c>
      <c r="G9">
        <v>1.8100577519752595E-2</v>
      </c>
      <c r="H9">
        <v>1.7836596430827713E-2</v>
      </c>
      <c r="I9">
        <v>1.7526498284771107E-2</v>
      </c>
      <c r="J9">
        <v>1.7952788149613395E-2</v>
      </c>
      <c r="K9">
        <v>1.7562075729466237E-2</v>
      </c>
      <c r="L9">
        <v>1.9010241418166235E-2</v>
      </c>
      <c r="M9">
        <v>1.9436391711065912E-2</v>
      </c>
      <c r="N9">
        <v>1.9227339228562786E-2</v>
      </c>
      <c r="O9">
        <v>1.8677425593242897E-2</v>
      </c>
      <c r="P9">
        <v>1.8558553127434638E-2</v>
      </c>
      <c r="Q9">
        <v>1.8253752454560988E-2</v>
      </c>
      <c r="R9">
        <v>1.8063083608981075E-2</v>
      </c>
      <c r="S9">
        <v>1.8077640783687829E-2</v>
      </c>
      <c r="T9">
        <v>1.7970315147407656E-2</v>
      </c>
      <c r="U9">
        <v>1.7954363909604157E-2</v>
      </c>
    </row>
    <row r="10" spans="1:24">
      <c r="A10" t="s">
        <v>7</v>
      </c>
      <c r="B10">
        <v>2.1880583286719598E-2</v>
      </c>
      <c r="C10">
        <v>2.2209306983413824E-2</v>
      </c>
      <c r="D10">
        <v>2.1665853177391003E-2</v>
      </c>
      <c r="E10">
        <v>2.1349671472753757E-2</v>
      </c>
      <c r="F10">
        <v>2.1418411882608061E-2</v>
      </c>
      <c r="G10">
        <v>2.1337705771335647E-2</v>
      </c>
      <c r="H10">
        <v>2.1689957055359924E-2</v>
      </c>
      <c r="I10">
        <v>2.1409193983651438E-2</v>
      </c>
      <c r="J10">
        <v>2.1875871001703909E-2</v>
      </c>
      <c r="K10">
        <v>2.1867370155464121E-2</v>
      </c>
      <c r="L10">
        <v>2.4192190960474279E-2</v>
      </c>
      <c r="M10">
        <v>2.4098102297984501E-2</v>
      </c>
      <c r="N10">
        <v>2.3984256192988124E-2</v>
      </c>
      <c r="O10">
        <v>2.3334482834406818E-2</v>
      </c>
      <c r="P10">
        <v>2.3589278356713889E-2</v>
      </c>
      <c r="Q10">
        <v>2.3415613051845273E-2</v>
      </c>
      <c r="R10">
        <v>2.2645595751540747E-2</v>
      </c>
      <c r="S10">
        <v>2.2799609781345334E-2</v>
      </c>
      <c r="T10">
        <v>2.2741434369963589E-2</v>
      </c>
      <c r="U10">
        <v>2.3216227253169679E-2</v>
      </c>
    </row>
    <row r="11" spans="1:24">
      <c r="A11" t="s">
        <v>8</v>
      </c>
      <c r="B11">
        <v>2.1955519320535823E-2</v>
      </c>
      <c r="C11">
        <v>2.229837464065099E-2</v>
      </c>
      <c r="D11">
        <v>2.1790534016073455E-2</v>
      </c>
      <c r="E11">
        <v>2.1441979496342963E-2</v>
      </c>
      <c r="F11">
        <v>2.1464025801827154E-2</v>
      </c>
      <c r="G11">
        <v>2.147175504781336E-2</v>
      </c>
      <c r="H11">
        <v>2.1709142131683658E-2</v>
      </c>
      <c r="I11">
        <v>2.1199798367722265E-2</v>
      </c>
      <c r="J11">
        <v>2.1366598303686889E-2</v>
      </c>
      <c r="K11">
        <v>2.1004693015132456E-2</v>
      </c>
      <c r="L11">
        <v>2.3089859745661228E-2</v>
      </c>
      <c r="M11">
        <v>2.3316574816205925E-2</v>
      </c>
      <c r="N11">
        <v>2.3426387880870619E-2</v>
      </c>
      <c r="O11">
        <v>2.2959582428031262E-2</v>
      </c>
      <c r="P11">
        <v>2.3110927856074198E-2</v>
      </c>
      <c r="Q11">
        <v>2.2844700036434115E-2</v>
      </c>
      <c r="R11">
        <v>2.2442555193964521E-2</v>
      </c>
      <c r="S11">
        <v>2.2666338925857718E-2</v>
      </c>
      <c r="T11">
        <v>2.2985440441154276E-2</v>
      </c>
      <c r="U11">
        <v>2.2877229208768765E-2</v>
      </c>
    </row>
    <row r="12" spans="1:24">
      <c r="A12" t="s">
        <v>9</v>
      </c>
      <c r="B12">
        <v>1.8394914568906299E-2</v>
      </c>
      <c r="C12">
        <v>1.8766433181287814E-2</v>
      </c>
      <c r="D12">
        <v>1.8535837294755084E-2</v>
      </c>
      <c r="E12">
        <v>1.7938913310131522E-2</v>
      </c>
      <c r="F12">
        <v>1.770189770711908E-2</v>
      </c>
      <c r="G12">
        <v>1.8042169680280114E-2</v>
      </c>
      <c r="H12">
        <v>1.8009924604668506E-2</v>
      </c>
      <c r="I12">
        <v>1.7845911704221774E-2</v>
      </c>
      <c r="J12">
        <v>1.8086531079428456E-2</v>
      </c>
      <c r="K12">
        <v>1.7850804120601933E-2</v>
      </c>
      <c r="L12">
        <v>1.9276586502057415E-2</v>
      </c>
      <c r="M12">
        <v>1.9653281067554883E-2</v>
      </c>
      <c r="N12">
        <v>1.9248222744346177E-2</v>
      </c>
      <c r="O12">
        <v>1.9067703727028488E-2</v>
      </c>
      <c r="P12">
        <v>1.9227061891313776E-2</v>
      </c>
      <c r="Q12">
        <v>1.9175743536992355E-2</v>
      </c>
      <c r="R12">
        <v>1.852302546155454E-2</v>
      </c>
      <c r="S12">
        <v>1.9050528579725546E-2</v>
      </c>
      <c r="T12">
        <v>1.9051934949979893E-2</v>
      </c>
      <c r="U12">
        <v>1.8917032475387608E-2</v>
      </c>
    </row>
    <row r="13" spans="1:24">
      <c r="A13" t="s">
        <v>10</v>
      </c>
      <c r="B13">
        <v>1.8365978128417192E-2</v>
      </c>
      <c r="C13">
        <v>1.8576138262000722E-2</v>
      </c>
      <c r="D13">
        <v>1.8272826329162762E-2</v>
      </c>
      <c r="E13">
        <v>1.7848493970169712E-2</v>
      </c>
      <c r="F13">
        <v>1.8006139579900177E-2</v>
      </c>
      <c r="G13">
        <v>1.7777581315471757E-2</v>
      </c>
      <c r="H13">
        <v>1.7876651363392528E-2</v>
      </c>
      <c r="I13">
        <v>1.7629003110733149E-2</v>
      </c>
      <c r="J13">
        <v>1.7698940064927834E-2</v>
      </c>
      <c r="K13">
        <v>1.7596339536719727E-2</v>
      </c>
      <c r="L13">
        <v>1.8995895207542711E-2</v>
      </c>
      <c r="M13">
        <v>1.926655332672601E-2</v>
      </c>
      <c r="N13">
        <v>1.9047128455015584E-2</v>
      </c>
      <c r="O13">
        <v>1.898760514433457E-2</v>
      </c>
      <c r="P13">
        <v>1.8717888622412183E-2</v>
      </c>
      <c r="Q13">
        <v>1.9061635320889524E-2</v>
      </c>
      <c r="R13">
        <v>1.8273206756297653E-2</v>
      </c>
      <c r="S13">
        <v>1.8381192472575702E-2</v>
      </c>
      <c r="T13">
        <v>1.8662519356116531E-2</v>
      </c>
      <c r="U13">
        <v>1.8710157924421884E-2</v>
      </c>
    </row>
    <row r="14" spans="1:24">
      <c r="A14" t="s">
        <v>11</v>
      </c>
      <c r="B14">
        <v>1.8408833710055618E-2</v>
      </c>
      <c r="C14">
        <v>1.8855402139129739E-2</v>
      </c>
      <c r="D14">
        <v>1.8426828157452307E-2</v>
      </c>
      <c r="E14">
        <v>1.8278300920160556E-2</v>
      </c>
      <c r="F14">
        <v>1.8279760425269201E-2</v>
      </c>
      <c r="G14">
        <v>1.826282460825121E-2</v>
      </c>
      <c r="H14">
        <v>1.8415838099935678E-2</v>
      </c>
      <c r="I14">
        <v>1.8375990726244441E-2</v>
      </c>
      <c r="J14">
        <v>1.843141082505996E-2</v>
      </c>
      <c r="K14">
        <v>1.8095692868560932E-2</v>
      </c>
      <c r="L14">
        <v>1.9703122096264635E-2</v>
      </c>
      <c r="M14">
        <v>1.985946964939406E-2</v>
      </c>
      <c r="N14">
        <v>1.9839244720931293E-2</v>
      </c>
      <c r="O14">
        <v>2.0089945259116674E-2</v>
      </c>
      <c r="P14">
        <v>2.0582340967008058E-2</v>
      </c>
      <c r="Q14">
        <v>2.0575497544606761E-2</v>
      </c>
      <c r="R14">
        <v>1.9718801048808385E-2</v>
      </c>
      <c r="S14">
        <v>1.9937225576123405E-2</v>
      </c>
      <c r="T14">
        <v>1.9846553527239456E-2</v>
      </c>
      <c r="U14">
        <v>2.0040984536038069E-2</v>
      </c>
    </row>
    <row r="15" spans="1:24">
      <c r="A15" t="s">
        <v>12</v>
      </c>
      <c r="B15">
        <v>1.8039726588386831E-2</v>
      </c>
      <c r="C15">
        <v>1.8418762866369485E-2</v>
      </c>
      <c r="D15">
        <v>1.8009366388737492E-2</v>
      </c>
      <c r="E15">
        <v>1.7386557972060266E-2</v>
      </c>
      <c r="F15">
        <v>1.710652388316598E-2</v>
      </c>
      <c r="G15">
        <v>1.6948843764986607E-2</v>
      </c>
      <c r="H15">
        <v>1.7012907545563123E-2</v>
      </c>
      <c r="I15">
        <v>1.702805592783967E-2</v>
      </c>
      <c r="J15">
        <v>1.7162837946346873E-2</v>
      </c>
      <c r="K15">
        <v>1.7039085342924039E-2</v>
      </c>
      <c r="L15">
        <v>1.8590861621438921E-2</v>
      </c>
      <c r="M15">
        <v>1.9027571724784614E-2</v>
      </c>
      <c r="N15">
        <v>1.9017430396826643E-2</v>
      </c>
      <c r="O15">
        <v>1.8766904110479717E-2</v>
      </c>
      <c r="P15">
        <v>1.9330260461524754E-2</v>
      </c>
      <c r="Q15">
        <v>1.9344588667582506E-2</v>
      </c>
      <c r="R15">
        <v>1.8792700242403475E-2</v>
      </c>
      <c r="S15">
        <v>1.8917829449831898E-2</v>
      </c>
      <c r="T15">
        <v>1.8724593668137404E-2</v>
      </c>
      <c r="U15">
        <v>1.8595924430992977E-2</v>
      </c>
    </row>
    <row r="16" spans="1:24">
      <c r="A16" t="s">
        <v>13</v>
      </c>
      <c r="B16">
        <v>2.3136881365882014E-2</v>
      </c>
      <c r="C16">
        <v>2.3607224375147475E-2</v>
      </c>
      <c r="D16">
        <v>2.3171387547568648E-2</v>
      </c>
      <c r="E16">
        <v>2.2760393257611439E-2</v>
      </c>
      <c r="F16">
        <v>2.2716927058684225E-2</v>
      </c>
      <c r="G16">
        <v>2.262781514241808E-2</v>
      </c>
      <c r="H16">
        <v>2.3097065089420867E-2</v>
      </c>
      <c r="I16">
        <v>2.3150260407712848E-2</v>
      </c>
      <c r="J16">
        <v>2.3473501230298698E-2</v>
      </c>
      <c r="K16">
        <v>2.2768975064106516E-2</v>
      </c>
      <c r="L16">
        <v>2.4889336665244895E-2</v>
      </c>
      <c r="M16">
        <v>2.5097144271062469E-2</v>
      </c>
      <c r="N16">
        <v>2.4990882388631331E-2</v>
      </c>
      <c r="O16">
        <v>2.4527139079782004E-2</v>
      </c>
      <c r="P16">
        <v>2.4913150049251733E-2</v>
      </c>
      <c r="Q16">
        <v>2.5012853021995275E-2</v>
      </c>
      <c r="R16">
        <v>2.4540366415665787E-2</v>
      </c>
      <c r="S16">
        <v>2.472241577356547E-2</v>
      </c>
      <c r="T16">
        <v>2.4763281890278474E-2</v>
      </c>
      <c r="U16">
        <v>2.4780761337191828E-2</v>
      </c>
    </row>
    <row r="17" spans="1:21">
      <c r="A17" t="s">
        <v>14</v>
      </c>
      <c r="B17">
        <v>2.3054655539359252E-2</v>
      </c>
      <c r="C17">
        <v>2.3539524048178967E-2</v>
      </c>
      <c r="D17">
        <v>2.3151946552670079E-2</v>
      </c>
      <c r="E17">
        <v>2.2769185626147641E-2</v>
      </c>
      <c r="F17">
        <v>2.2875647597266568E-2</v>
      </c>
      <c r="G17">
        <v>2.2784468204580289E-2</v>
      </c>
      <c r="H17">
        <v>2.2982535735684092E-2</v>
      </c>
      <c r="I17">
        <v>2.308033003489551E-2</v>
      </c>
      <c r="J17">
        <v>2.3515387985737594E-2</v>
      </c>
      <c r="K17">
        <v>2.3131106976322983E-2</v>
      </c>
      <c r="L17">
        <v>2.504782817240658E-2</v>
      </c>
      <c r="M17">
        <v>2.4981724933488526E-2</v>
      </c>
      <c r="N17">
        <v>2.481003777358071E-2</v>
      </c>
      <c r="O17">
        <v>2.4492741374256648E-2</v>
      </c>
      <c r="P17">
        <v>2.4692011089921313E-2</v>
      </c>
      <c r="Q17">
        <v>2.5136024599358864E-2</v>
      </c>
      <c r="R17">
        <v>2.4656997767137655E-2</v>
      </c>
      <c r="S17">
        <v>2.4671248965728823E-2</v>
      </c>
      <c r="T17">
        <v>2.473228262401898E-2</v>
      </c>
      <c r="U17">
        <v>2.4381315789247571E-2</v>
      </c>
    </row>
    <row r="18" spans="1:21">
      <c r="A18" t="s">
        <v>15</v>
      </c>
      <c r="B18">
        <v>2.3750205171035755E-2</v>
      </c>
      <c r="C18">
        <v>2.4259120615382202E-2</v>
      </c>
      <c r="D18">
        <v>2.3775354008325363E-2</v>
      </c>
      <c r="E18">
        <v>2.3486793063555274E-2</v>
      </c>
      <c r="F18">
        <v>2.3541251823975509E-2</v>
      </c>
      <c r="G18">
        <v>2.3218687005766878E-2</v>
      </c>
      <c r="H18">
        <v>2.3538118819391805E-2</v>
      </c>
      <c r="I18">
        <v>2.3647678669596897E-2</v>
      </c>
      <c r="J18">
        <v>2.4113562496828254E-2</v>
      </c>
      <c r="K18">
        <v>2.3754388735115452E-2</v>
      </c>
      <c r="L18">
        <v>2.5729505995595228E-2</v>
      </c>
      <c r="M18">
        <v>2.5745761392877892E-2</v>
      </c>
      <c r="N18">
        <v>2.5711725071910642E-2</v>
      </c>
      <c r="O18">
        <v>2.5365540518915885E-2</v>
      </c>
      <c r="P18">
        <v>2.5367891284697401E-2</v>
      </c>
      <c r="Q18">
        <v>2.5411405449513345E-2</v>
      </c>
      <c r="R18">
        <v>2.4759125910385406E-2</v>
      </c>
      <c r="S18">
        <v>2.5073116475822332E-2</v>
      </c>
      <c r="T18">
        <v>2.5179578306229487E-2</v>
      </c>
      <c r="U18">
        <v>2.523411884221952E-2</v>
      </c>
    </row>
    <row r="19" spans="1:21">
      <c r="A19" t="s">
        <v>16</v>
      </c>
      <c r="B19">
        <v>2.2512944782917144E-2</v>
      </c>
      <c r="C19">
        <v>2.2937408641884809E-2</v>
      </c>
      <c r="D19">
        <v>2.2561821494259886E-2</v>
      </c>
      <c r="E19">
        <v>2.2043928401180749E-2</v>
      </c>
      <c r="F19">
        <v>2.2019582147493975E-2</v>
      </c>
      <c r="G19">
        <v>2.1898375556396382E-2</v>
      </c>
      <c r="H19">
        <v>2.2014960218583027E-2</v>
      </c>
      <c r="I19">
        <v>2.2028127098137201E-2</v>
      </c>
      <c r="J19">
        <v>2.2304807082966432E-2</v>
      </c>
      <c r="K19">
        <v>2.1747587703661884E-2</v>
      </c>
      <c r="L19">
        <v>2.3517561033355491E-2</v>
      </c>
      <c r="M19">
        <v>2.3889186593195492E-2</v>
      </c>
      <c r="N19">
        <v>2.3760691499828991E-2</v>
      </c>
      <c r="O19">
        <v>2.3474584749267398E-2</v>
      </c>
      <c r="P19">
        <v>2.3551217955952525E-2</v>
      </c>
      <c r="Q19">
        <v>2.3831842847502397E-2</v>
      </c>
      <c r="R19">
        <v>2.3225890779106809E-2</v>
      </c>
      <c r="S19">
        <v>2.3268183125139771E-2</v>
      </c>
      <c r="T19">
        <v>2.3307308076696492E-2</v>
      </c>
      <c r="U19">
        <v>2.3148971293455202E-2</v>
      </c>
    </row>
    <row r="20" spans="1:21">
      <c r="A20" t="s">
        <v>17</v>
      </c>
      <c r="B20">
        <v>2.2634803824405997E-2</v>
      </c>
      <c r="C20">
        <v>2.2926537327708506E-2</v>
      </c>
      <c r="D20">
        <v>2.2418323852749427E-2</v>
      </c>
      <c r="E20">
        <v>2.1817127534338784E-2</v>
      </c>
      <c r="F20">
        <v>2.1795389455850914E-2</v>
      </c>
      <c r="G20">
        <v>2.1563704627810373E-2</v>
      </c>
      <c r="H20">
        <v>2.1882469969247385E-2</v>
      </c>
      <c r="I20">
        <v>2.1887484506987718E-2</v>
      </c>
      <c r="J20">
        <v>2.2137516622835966E-2</v>
      </c>
      <c r="K20">
        <v>2.1801438787803901E-2</v>
      </c>
      <c r="L20">
        <v>2.3576936535668624E-2</v>
      </c>
      <c r="M20">
        <v>2.3504713249117234E-2</v>
      </c>
      <c r="N20">
        <v>2.3330574412578568E-2</v>
      </c>
      <c r="O20">
        <v>2.3051135778598967E-2</v>
      </c>
      <c r="P20">
        <v>2.3288515752065482E-2</v>
      </c>
      <c r="Q20">
        <v>2.3225959179072893E-2</v>
      </c>
      <c r="R20">
        <v>2.2593488521981467E-2</v>
      </c>
      <c r="S20">
        <v>2.2697838422216947E-2</v>
      </c>
      <c r="T20">
        <v>2.2489183571012903E-2</v>
      </c>
      <c r="U20">
        <v>2.2434320043412059E-2</v>
      </c>
    </row>
    <row r="21" spans="1:21">
      <c r="A21" t="s">
        <v>18</v>
      </c>
      <c r="B21">
        <v>2.2547723202692289E-2</v>
      </c>
      <c r="C21">
        <v>2.2807461868650344E-2</v>
      </c>
      <c r="D21">
        <v>2.2338192275324433E-2</v>
      </c>
      <c r="E21">
        <v>2.1757668229496742E-2</v>
      </c>
      <c r="F21">
        <v>2.1800053436815004E-2</v>
      </c>
      <c r="G21">
        <v>2.1522417089482514E-2</v>
      </c>
      <c r="H21">
        <v>2.1870365036440565E-2</v>
      </c>
      <c r="I21">
        <v>2.1803092865376846E-2</v>
      </c>
      <c r="J21">
        <v>2.2112051230811103E-2</v>
      </c>
      <c r="K21">
        <v>2.1599889873933957E-2</v>
      </c>
      <c r="L21">
        <v>2.3266814643853204E-2</v>
      </c>
      <c r="M21">
        <v>2.349163698339805E-2</v>
      </c>
      <c r="N21">
        <v>2.3357508181262848E-2</v>
      </c>
      <c r="O21">
        <v>2.318451983098244E-2</v>
      </c>
      <c r="P21">
        <v>2.3309884022621054E-2</v>
      </c>
      <c r="Q21">
        <v>2.330327362804567E-2</v>
      </c>
      <c r="R21">
        <v>2.2652685333563845E-2</v>
      </c>
      <c r="S21">
        <v>2.2874242049995691E-2</v>
      </c>
      <c r="T21">
        <v>2.2798328452955909E-2</v>
      </c>
      <c r="U21">
        <v>2.2558507215863999E-2</v>
      </c>
    </row>
    <row r="22" spans="1:21">
      <c r="A22" t="s">
        <v>19</v>
      </c>
      <c r="B22">
        <v>2.2373655939555981E-2</v>
      </c>
      <c r="C22">
        <v>2.2703875265343312E-2</v>
      </c>
      <c r="D22">
        <v>2.2272127850635776E-2</v>
      </c>
      <c r="E22">
        <v>2.1663561641648513E-2</v>
      </c>
      <c r="F22">
        <v>2.1520773625054675E-2</v>
      </c>
      <c r="G22">
        <v>2.1527404676551034E-2</v>
      </c>
      <c r="H22">
        <v>2.1700183662099363E-2</v>
      </c>
      <c r="I22">
        <v>2.1811868955304025E-2</v>
      </c>
      <c r="J22">
        <v>2.2019875595637221E-2</v>
      </c>
      <c r="K22">
        <v>2.1634675080361949E-2</v>
      </c>
      <c r="L22">
        <v>2.3401793927025849E-2</v>
      </c>
      <c r="M22">
        <v>2.3549585441477065E-2</v>
      </c>
      <c r="N22">
        <v>2.3248196752286603E-2</v>
      </c>
      <c r="O22">
        <v>2.308320457687359E-2</v>
      </c>
      <c r="P22">
        <v>2.3170572778314455E-2</v>
      </c>
      <c r="Q22">
        <v>2.3257497544335513E-2</v>
      </c>
      <c r="R22">
        <v>2.269987744235686E-2</v>
      </c>
      <c r="S22">
        <v>2.2762379808552554E-2</v>
      </c>
      <c r="T22">
        <v>2.2853417242189304E-2</v>
      </c>
      <c r="U22">
        <v>2.274422031395551E-2</v>
      </c>
    </row>
    <row r="23" spans="1:21">
      <c r="A23" t="s">
        <v>20</v>
      </c>
      <c r="B23">
        <v>2.2709091413129927E-2</v>
      </c>
      <c r="C23">
        <v>2.3028990658830652E-2</v>
      </c>
      <c r="D23">
        <v>2.2571569014643141E-2</v>
      </c>
      <c r="E23">
        <v>2.1959397684863685E-2</v>
      </c>
      <c r="F23">
        <v>2.181980740938879E-2</v>
      </c>
      <c r="G23">
        <v>2.1693536975448558E-2</v>
      </c>
      <c r="H23">
        <v>2.1946890857128573E-2</v>
      </c>
      <c r="I23">
        <v>2.2124628676392772E-2</v>
      </c>
      <c r="J23">
        <v>2.2327296245088977E-2</v>
      </c>
      <c r="K23">
        <v>2.1785614979634618E-2</v>
      </c>
      <c r="L23">
        <v>2.3384319551544915E-2</v>
      </c>
      <c r="M23">
        <v>2.3590698558570503E-2</v>
      </c>
      <c r="N23">
        <v>2.3443515406343554E-2</v>
      </c>
      <c r="O23">
        <v>2.3251465895607493E-2</v>
      </c>
      <c r="P23">
        <v>2.3297573275187406E-2</v>
      </c>
      <c r="Q23">
        <v>2.3368391175403666E-2</v>
      </c>
      <c r="R23">
        <v>2.2459378282929054E-2</v>
      </c>
      <c r="S23">
        <v>2.2618118403569903E-2</v>
      </c>
      <c r="T23">
        <v>2.2665767857956935E-2</v>
      </c>
      <c r="U23">
        <v>2.2417313809309797E-2</v>
      </c>
    </row>
    <row r="24" spans="1:21">
      <c r="A24" t="s">
        <v>21</v>
      </c>
      <c r="B24">
        <v>2.2516331100677453E-2</v>
      </c>
      <c r="C24">
        <v>2.2787101723638785E-2</v>
      </c>
      <c r="D24">
        <v>2.2325490737703506E-2</v>
      </c>
      <c r="E24">
        <v>2.1779167041019037E-2</v>
      </c>
      <c r="F24">
        <v>2.177197455032619E-2</v>
      </c>
      <c r="G24">
        <v>2.1660560594254669E-2</v>
      </c>
      <c r="H24">
        <v>2.171098872213573E-2</v>
      </c>
      <c r="I24">
        <v>2.1745780785906974E-2</v>
      </c>
      <c r="J24">
        <v>2.1971130613862324E-2</v>
      </c>
      <c r="K24">
        <v>2.148200154590605E-2</v>
      </c>
      <c r="L24">
        <v>2.3329196267927736E-2</v>
      </c>
      <c r="M24">
        <v>2.3528745912851531E-2</v>
      </c>
      <c r="N24">
        <v>2.3152703583316524E-2</v>
      </c>
      <c r="O24">
        <v>2.293987021203283E-2</v>
      </c>
      <c r="P24">
        <v>2.3170882204313945E-2</v>
      </c>
      <c r="Q24">
        <v>2.335653563738049E-2</v>
      </c>
      <c r="R24">
        <v>2.2544955939909368E-2</v>
      </c>
      <c r="S24">
        <v>2.285109338363121E-2</v>
      </c>
      <c r="T24">
        <v>2.2578929361899584E-2</v>
      </c>
      <c r="U24">
        <v>2.2406909462976538E-2</v>
      </c>
    </row>
    <row r="25" spans="1:21">
      <c r="A25" t="s">
        <v>34</v>
      </c>
      <c r="B25">
        <v>2.2667682233179751E-2</v>
      </c>
      <c r="C25">
        <v>2.2967522607985392E-2</v>
      </c>
      <c r="D25">
        <v>2.2459214637663739E-2</v>
      </c>
      <c r="E25">
        <v>2.2017109423793198E-2</v>
      </c>
      <c r="F25">
        <v>2.1871684920142024E-2</v>
      </c>
      <c r="G25">
        <v>2.1862273940429167E-2</v>
      </c>
      <c r="H25">
        <v>2.2076551281772158E-2</v>
      </c>
      <c r="I25">
        <v>2.2170856530304515E-2</v>
      </c>
      <c r="J25">
        <v>2.2365264145896215E-2</v>
      </c>
      <c r="K25">
        <v>2.1864925799392226E-2</v>
      </c>
      <c r="L25">
        <v>2.3520677977715902E-2</v>
      </c>
      <c r="M25">
        <v>2.3501283550741506E-2</v>
      </c>
      <c r="N25">
        <v>2.3215118770982836E-2</v>
      </c>
      <c r="O25">
        <v>2.316654148004587E-2</v>
      </c>
      <c r="P25">
        <v>2.3213287037667611E-2</v>
      </c>
      <c r="Q25">
        <v>2.3278755815769017E-2</v>
      </c>
      <c r="R25">
        <v>2.2673153542849763E-2</v>
      </c>
      <c r="S25">
        <v>2.2568781944276323E-2</v>
      </c>
      <c r="T25">
        <v>2.2438460925941664E-2</v>
      </c>
      <c r="U25">
        <v>2.2373008770109663E-2</v>
      </c>
    </row>
    <row r="26" spans="1:21">
      <c r="A26" t="s">
        <v>22</v>
      </c>
      <c r="B26">
        <v>2.298100518243465E-2</v>
      </c>
      <c r="C26">
        <v>2.3523833916327716E-2</v>
      </c>
      <c r="D26">
        <v>2.3173756825378984E-2</v>
      </c>
      <c r="E26">
        <v>2.2965106624273479E-2</v>
      </c>
      <c r="F26">
        <v>2.3077022798481409E-2</v>
      </c>
      <c r="G26">
        <v>2.3178423275203211E-2</v>
      </c>
      <c r="H26">
        <v>2.3462383202461263E-2</v>
      </c>
      <c r="I26">
        <v>2.3457554166611116E-2</v>
      </c>
      <c r="J26">
        <v>2.3841456094767021E-2</v>
      </c>
      <c r="K26">
        <v>2.3378681419404017E-2</v>
      </c>
      <c r="L26">
        <v>2.5251068735100902E-2</v>
      </c>
      <c r="M26">
        <v>2.5414316177480203E-2</v>
      </c>
      <c r="N26">
        <v>2.526712724381916E-2</v>
      </c>
      <c r="O26">
        <v>2.5023695234620256E-2</v>
      </c>
      <c r="P26">
        <v>2.5211773606557755E-2</v>
      </c>
      <c r="Q26">
        <v>2.5275446670952814E-2</v>
      </c>
      <c r="R26">
        <v>2.4569310589199065E-2</v>
      </c>
      <c r="S26">
        <v>2.4883286392785094E-2</v>
      </c>
      <c r="T26">
        <v>2.4711884109478489E-2</v>
      </c>
      <c r="U26">
        <v>2.4798613814667907E-2</v>
      </c>
    </row>
    <row r="27" spans="1:21">
      <c r="A27" t="s">
        <v>23</v>
      </c>
      <c r="B27">
        <v>2.2497446096128686E-2</v>
      </c>
      <c r="C27">
        <v>2.2802549038356289E-2</v>
      </c>
      <c r="D27">
        <v>2.2307858573266778E-2</v>
      </c>
      <c r="E27">
        <v>2.1822031258783653E-2</v>
      </c>
      <c r="F27">
        <v>2.1675258029646146E-2</v>
      </c>
      <c r="G27">
        <v>2.1737311154356603E-2</v>
      </c>
      <c r="H27">
        <v>2.1844124354029604E-2</v>
      </c>
      <c r="I27">
        <v>2.1843238544579979E-2</v>
      </c>
      <c r="J27">
        <v>2.2117574624300033E-2</v>
      </c>
      <c r="K27">
        <v>2.1648114388392297E-2</v>
      </c>
      <c r="L27">
        <v>2.3551921665121718E-2</v>
      </c>
      <c r="M27">
        <v>2.3561169907523483E-2</v>
      </c>
      <c r="N27">
        <v>2.3372675524264717E-2</v>
      </c>
      <c r="O27">
        <v>2.2962221701745163E-2</v>
      </c>
      <c r="P27">
        <v>2.3038260929680011E-2</v>
      </c>
      <c r="Q27">
        <v>2.3085297433683812E-2</v>
      </c>
      <c r="R27">
        <v>2.2707149287379252E-2</v>
      </c>
      <c r="S27">
        <v>2.2777595409212547E-2</v>
      </c>
      <c r="T27">
        <v>2.2620495387659995E-2</v>
      </c>
      <c r="U27">
        <v>2.2549575198171117E-2</v>
      </c>
    </row>
    <row r="28" spans="1:21">
      <c r="A28" t="s">
        <v>24</v>
      </c>
      <c r="B28">
        <v>2.2522876538440314E-2</v>
      </c>
      <c r="C28">
        <v>2.2823488370147128E-2</v>
      </c>
      <c r="D28">
        <v>2.2382019693064852E-2</v>
      </c>
      <c r="E28">
        <v>2.1815046450418474E-2</v>
      </c>
      <c r="F28">
        <v>2.1709341634928221E-2</v>
      </c>
      <c r="G28">
        <v>2.1672585809170697E-2</v>
      </c>
      <c r="H28">
        <v>2.1776148420931937E-2</v>
      </c>
      <c r="I28">
        <v>2.1641663676307637E-2</v>
      </c>
      <c r="J28">
        <v>2.2034909079085164E-2</v>
      </c>
      <c r="K28">
        <v>2.1627280293460734E-2</v>
      </c>
      <c r="L28">
        <v>2.3461170162173296E-2</v>
      </c>
      <c r="M28">
        <v>2.3565069793918082E-2</v>
      </c>
      <c r="N28">
        <v>2.3348546256272883E-2</v>
      </c>
      <c r="O28">
        <v>2.314629463708269E-2</v>
      </c>
      <c r="P28">
        <v>2.3232830675176924E-2</v>
      </c>
      <c r="Q28">
        <v>2.3288341612354269E-2</v>
      </c>
      <c r="R28">
        <v>2.2707724863253776E-2</v>
      </c>
      <c r="S28">
        <v>2.2776291242040246E-2</v>
      </c>
      <c r="T28">
        <v>2.25278002593957E-2</v>
      </c>
      <c r="U28">
        <v>2.2389921557558555E-2</v>
      </c>
    </row>
    <row r="29" spans="1:21">
      <c r="A29" t="s">
        <v>25</v>
      </c>
      <c r="B29">
        <v>2.22904779297377E-2</v>
      </c>
      <c r="C29">
        <v>2.2480082477905387E-2</v>
      </c>
      <c r="D29">
        <v>2.2042799332545607E-2</v>
      </c>
      <c r="E29">
        <v>2.1472890237529831E-2</v>
      </c>
      <c r="F29">
        <v>2.1246127260712486E-2</v>
      </c>
      <c r="G29">
        <v>2.1047287997654224E-2</v>
      </c>
      <c r="H29">
        <v>2.1113261060928704E-2</v>
      </c>
      <c r="I29">
        <v>2.0835689930210025E-2</v>
      </c>
      <c r="J29">
        <v>2.1122797444122553E-2</v>
      </c>
      <c r="K29">
        <v>2.0653711665006451E-2</v>
      </c>
      <c r="L29">
        <v>2.2311799373881773E-2</v>
      </c>
      <c r="M29">
        <v>2.2609278654609575E-2</v>
      </c>
      <c r="N29">
        <v>2.2431927304060285E-2</v>
      </c>
      <c r="O29">
        <v>2.2138923163137866E-2</v>
      </c>
      <c r="P29">
        <v>2.217218127894648E-2</v>
      </c>
      <c r="Q29">
        <v>2.2363872300753398E-2</v>
      </c>
      <c r="R29">
        <v>2.1828857794585169E-2</v>
      </c>
      <c r="S29">
        <v>2.1924203639461497E-2</v>
      </c>
      <c r="T29">
        <v>2.2103090036527037E-2</v>
      </c>
      <c r="U29">
        <v>2.2016822803360581E-2</v>
      </c>
    </row>
    <row r="30" spans="1:21">
      <c r="A30" t="s">
        <v>26</v>
      </c>
      <c r="B30">
        <v>2.5707353130909636E-2</v>
      </c>
      <c r="C30">
        <v>2.6372706240528038E-2</v>
      </c>
      <c r="D30">
        <v>2.6223409454054349E-2</v>
      </c>
      <c r="E30">
        <v>2.6017870096800899E-2</v>
      </c>
      <c r="F30">
        <v>2.6200167312087519E-2</v>
      </c>
      <c r="G30">
        <v>2.6058057640180758E-2</v>
      </c>
      <c r="H30">
        <v>2.6524052304810107E-2</v>
      </c>
      <c r="I30">
        <v>2.7111262663011521E-2</v>
      </c>
      <c r="J30">
        <v>2.7512675136388214E-2</v>
      </c>
      <c r="K30">
        <v>2.7175336529989092E-2</v>
      </c>
      <c r="L30">
        <v>2.9185098739676667E-2</v>
      </c>
      <c r="M30">
        <v>2.9082139213735671E-2</v>
      </c>
      <c r="N30">
        <v>2.9378342816414004E-2</v>
      </c>
      <c r="O30">
        <v>2.9032360884852074E-2</v>
      </c>
      <c r="P30">
        <v>2.8904076123866421E-2</v>
      </c>
      <c r="Q30">
        <v>2.9140153877059198E-2</v>
      </c>
      <c r="R30">
        <v>2.8930002978437241E-2</v>
      </c>
      <c r="S30">
        <v>2.9301146599496224E-2</v>
      </c>
      <c r="T30">
        <v>2.9081231311391786E-2</v>
      </c>
      <c r="U30">
        <v>2.9064894652181622E-2</v>
      </c>
    </row>
    <row r="31" spans="1:21">
      <c r="A31" t="s">
        <v>27</v>
      </c>
      <c r="B31">
        <v>2.5886730462600465E-2</v>
      </c>
      <c r="C31">
        <v>2.6645182646299205E-2</v>
      </c>
      <c r="D31">
        <v>2.6265910230482012E-2</v>
      </c>
      <c r="E31">
        <v>2.5947297465908296E-2</v>
      </c>
      <c r="F31">
        <v>2.5842851105976665E-2</v>
      </c>
      <c r="G31">
        <v>2.5742444424207426E-2</v>
      </c>
      <c r="H31">
        <v>2.614757863918532E-2</v>
      </c>
      <c r="I31">
        <v>2.6560351898117066E-2</v>
      </c>
      <c r="J31">
        <v>2.6673132544593765E-2</v>
      </c>
      <c r="K31">
        <v>2.631350417298E-2</v>
      </c>
      <c r="L31">
        <v>2.8475468258331263E-2</v>
      </c>
      <c r="M31">
        <v>2.8536595418881868E-2</v>
      </c>
      <c r="N31">
        <v>2.8530383168373769E-2</v>
      </c>
      <c r="O31">
        <v>2.8338109228006884E-2</v>
      </c>
      <c r="P31">
        <v>2.8468770165749207E-2</v>
      </c>
      <c r="Q31">
        <v>2.8647529245613777E-2</v>
      </c>
      <c r="R31">
        <v>2.7993583873285037E-2</v>
      </c>
      <c r="S31">
        <v>2.8195111823262117E-2</v>
      </c>
      <c r="T31">
        <v>2.7871030998870294E-2</v>
      </c>
      <c r="U31">
        <v>2.7846529555263257E-2</v>
      </c>
    </row>
    <row r="32" spans="1:21">
      <c r="A32" t="s">
        <v>28</v>
      </c>
      <c r="B32">
        <v>2.6353314282805223E-2</v>
      </c>
      <c r="C32">
        <v>2.7367236293094958E-2</v>
      </c>
      <c r="D32">
        <v>2.7405615965734823E-2</v>
      </c>
      <c r="E32">
        <v>2.7757456032275713E-2</v>
      </c>
      <c r="F32">
        <v>2.7960456994382377E-2</v>
      </c>
      <c r="G32">
        <v>2.824847229246253E-2</v>
      </c>
      <c r="H32">
        <v>2.8844073311878504E-2</v>
      </c>
      <c r="I32">
        <v>2.9600464249453194E-2</v>
      </c>
      <c r="J32">
        <v>3.0154303180376946E-2</v>
      </c>
      <c r="K32">
        <v>2.997595190778226E-2</v>
      </c>
      <c r="L32">
        <v>3.2458924820064947E-2</v>
      </c>
      <c r="M32">
        <v>3.2485944873148931E-2</v>
      </c>
      <c r="N32">
        <v>3.2586534076836364E-2</v>
      </c>
      <c r="O32">
        <v>3.2135228082402607E-2</v>
      </c>
      <c r="P32">
        <v>3.2189891623439153E-2</v>
      </c>
      <c r="Q32">
        <v>3.267173125216162E-2</v>
      </c>
      <c r="R32">
        <v>3.2005594742652202E-2</v>
      </c>
      <c r="S32">
        <v>3.2300600318893008E-2</v>
      </c>
      <c r="T32">
        <v>3.2082979624885592E-2</v>
      </c>
      <c r="U32">
        <v>3.1902220598823881E-2</v>
      </c>
    </row>
    <row r="33" spans="1:21">
      <c r="A33" t="s">
        <v>29</v>
      </c>
      <c r="B33">
        <v>2.6638968941037039E-2</v>
      </c>
      <c r="C33">
        <v>2.7670060506560398E-2</v>
      </c>
      <c r="D33">
        <v>2.7751318868426796E-2</v>
      </c>
      <c r="E33">
        <v>2.7845962326589306E-2</v>
      </c>
      <c r="F33">
        <v>2.8291453265236546E-2</v>
      </c>
      <c r="G33">
        <v>2.8636767130236291E-2</v>
      </c>
      <c r="H33">
        <v>2.9532864501555803E-2</v>
      </c>
      <c r="I33">
        <v>3.0073710346077386E-2</v>
      </c>
      <c r="J33">
        <v>3.0765476573535115E-2</v>
      </c>
      <c r="K33">
        <v>3.0322634208322499E-2</v>
      </c>
      <c r="L33">
        <v>3.2823274333593375E-2</v>
      </c>
      <c r="M33">
        <v>3.2717261343168366E-2</v>
      </c>
      <c r="N33">
        <v>3.3133247431413375E-2</v>
      </c>
      <c r="O33">
        <v>3.2955613133237187E-2</v>
      </c>
      <c r="P33">
        <v>3.3126713811936298E-2</v>
      </c>
      <c r="Q33">
        <v>3.3509745524835488E-2</v>
      </c>
      <c r="R33">
        <v>3.2727727106550773E-2</v>
      </c>
      <c r="S33">
        <v>3.3259146123953691E-2</v>
      </c>
      <c r="T33">
        <v>3.2899714210877708E-2</v>
      </c>
      <c r="U33">
        <v>3.2840441271730011E-2</v>
      </c>
    </row>
    <row r="34" spans="1:21">
      <c r="A34" t="s">
        <v>30</v>
      </c>
      <c r="B34">
        <v>2.6585333524979285E-2</v>
      </c>
      <c r="C34">
        <v>2.7615157369053955E-2</v>
      </c>
      <c r="D34">
        <v>2.7583402860132542E-2</v>
      </c>
      <c r="E34">
        <v>2.7786307130759143E-2</v>
      </c>
      <c r="F34">
        <v>2.8115838723930264E-2</v>
      </c>
      <c r="G34">
        <v>2.8525632178922504E-2</v>
      </c>
      <c r="H34">
        <v>2.9453762865243007E-2</v>
      </c>
      <c r="I34">
        <v>3.0455717246160859E-2</v>
      </c>
      <c r="J34">
        <v>3.102641051815579E-2</v>
      </c>
      <c r="K34">
        <v>3.0559304054163499E-2</v>
      </c>
      <c r="L34">
        <v>3.2838086729460467E-2</v>
      </c>
      <c r="M34">
        <v>3.276211660062877E-2</v>
      </c>
      <c r="N34">
        <v>3.2976799173011828E-2</v>
      </c>
      <c r="O34">
        <v>3.2831272748522392E-2</v>
      </c>
      <c r="P34">
        <v>3.2851932110541583E-2</v>
      </c>
      <c r="Q34">
        <v>3.3416552606841135E-2</v>
      </c>
      <c r="R34">
        <v>3.275318624732948E-2</v>
      </c>
      <c r="S34">
        <v>3.3208015030155795E-2</v>
      </c>
      <c r="T34">
        <v>3.3262535680286254E-2</v>
      </c>
      <c r="U34">
        <v>3.3139104179025006E-2</v>
      </c>
    </row>
    <row r="35" spans="1:21">
      <c r="A35" t="s">
        <v>31</v>
      </c>
      <c r="B35">
        <v>1.9394322787169949E-2</v>
      </c>
      <c r="C35">
        <v>1.997471197845908E-2</v>
      </c>
      <c r="D35">
        <v>1.9790374617770123E-2</v>
      </c>
      <c r="E35">
        <v>1.942239300396632E-2</v>
      </c>
      <c r="F35">
        <v>1.9507795897585424E-2</v>
      </c>
      <c r="G35">
        <v>1.9402332735143957E-2</v>
      </c>
      <c r="H35">
        <v>1.9769896245356411E-2</v>
      </c>
      <c r="I35">
        <v>1.9715301880502772E-2</v>
      </c>
      <c r="J35">
        <v>1.9827569829543236E-2</v>
      </c>
      <c r="K35">
        <v>1.9495283367955817E-2</v>
      </c>
      <c r="L35">
        <v>2.1212662817255024E-2</v>
      </c>
      <c r="M35">
        <v>2.1430308868260771E-2</v>
      </c>
      <c r="N35">
        <v>2.1433893071839672E-2</v>
      </c>
      <c r="O35">
        <v>2.1211324156660324E-2</v>
      </c>
      <c r="P35">
        <v>2.1056444554681881E-2</v>
      </c>
      <c r="Q35">
        <v>2.1062336946675277E-2</v>
      </c>
      <c r="R35">
        <v>2.0842292457584653E-2</v>
      </c>
      <c r="S35">
        <v>2.1151552720884748E-2</v>
      </c>
      <c r="T35">
        <v>2.0982035089954471E-2</v>
      </c>
      <c r="U35">
        <v>2.0736738218495733E-2</v>
      </c>
    </row>
    <row r="36" spans="1:21">
      <c r="A36" t="s">
        <v>32</v>
      </c>
      <c r="B36">
        <v>1.9492058308683651E-2</v>
      </c>
      <c r="C36">
        <v>2.0082130314189157E-2</v>
      </c>
      <c r="D36">
        <v>1.9855058624943592E-2</v>
      </c>
      <c r="E36">
        <v>1.9586000974146998E-2</v>
      </c>
      <c r="F36">
        <v>1.9606417904881521E-2</v>
      </c>
      <c r="G36">
        <v>1.9603658088647519E-2</v>
      </c>
      <c r="H36">
        <v>1.9883921718648695E-2</v>
      </c>
      <c r="I36">
        <v>2.003016397183997E-2</v>
      </c>
      <c r="J36">
        <v>2.0438924752909385E-2</v>
      </c>
      <c r="K36">
        <v>2.0131832032334901E-2</v>
      </c>
      <c r="L36">
        <v>2.1846179821033086E-2</v>
      </c>
      <c r="M36">
        <v>2.223176819728288E-2</v>
      </c>
      <c r="N36">
        <v>2.2219453102183012E-2</v>
      </c>
      <c r="O36">
        <v>2.1914333352584563E-2</v>
      </c>
      <c r="P36">
        <v>2.2167802595383986E-2</v>
      </c>
      <c r="Q36">
        <v>2.2336030152097015E-2</v>
      </c>
      <c r="R36">
        <v>2.2111074399001111E-2</v>
      </c>
      <c r="S36">
        <v>2.2451272567994469E-2</v>
      </c>
      <c r="T36">
        <v>2.2126458373147757E-2</v>
      </c>
      <c r="U36">
        <v>2.2059647848524766E-2</v>
      </c>
    </row>
    <row r="37" spans="1:21">
      <c r="A37" t="s">
        <v>33</v>
      </c>
      <c r="B37">
        <v>1.9054398801704717E-2</v>
      </c>
      <c r="C37">
        <v>1.9368019246583306E-2</v>
      </c>
      <c r="D37">
        <v>1.9018060980138196E-2</v>
      </c>
      <c r="E37">
        <v>1.8654241811323757E-2</v>
      </c>
      <c r="F37">
        <v>1.8707315547598E-2</v>
      </c>
      <c r="G37">
        <v>1.8642619649453684E-2</v>
      </c>
      <c r="H37">
        <v>1.8737678573969466E-2</v>
      </c>
      <c r="I37">
        <v>1.8646418418693543E-2</v>
      </c>
      <c r="J37">
        <v>1.8795221988588177E-2</v>
      </c>
      <c r="K37">
        <v>1.846535826985992E-2</v>
      </c>
      <c r="L37">
        <v>2.0019887370535186E-2</v>
      </c>
      <c r="M37">
        <v>2.0064513204670779E-2</v>
      </c>
      <c r="N37">
        <v>2.0074140996051277E-2</v>
      </c>
      <c r="O37">
        <v>1.9779156228957848E-2</v>
      </c>
      <c r="P37">
        <v>1.9631317679838119E-2</v>
      </c>
      <c r="Q37">
        <v>1.9485699579167553E-2</v>
      </c>
      <c r="R37">
        <v>1.919964784350868E-2</v>
      </c>
      <c r="S37">
        <v>1.954962087526102E-2</v>
      </c>
      <c r="T37">
        <v>1.9395402781078781E-2</v>
      </c>
      <c r="U37">
        <v>1.9362230982295277E-2</v>
      </c>
    </row>
  </sheetData>
  <phoneticPr fontId="0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5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"AA_T_amphi_ty_1.4A"</f>
        <v>AA_T_amphi_ty_1.4A</v>
      </c>
      <c r="C1" s="1" t="str">
        <f>"AA_T_amphi_ty_2A"</f>
        <v>AA_T_amphi_ty_2A</v>
      </c>
      <c r="D1" s="1" t="str">
        <f>"AA_T_amphi_ty_3A"</f>
        <v>AA_T_amphi_ty_3A</v>
      </c>
      <c r="E1" s="1" t="str">
        <f>"AA_T_amphi_ty_4A"</f>
        <v>AA_T_amphi_ty_4A</v>
      </c>
      <c r="F1" s="1" t="str">
        <f>"AA_T_amphi_ty_5A"</f>
        <v>AA_T_amphi_ty_5A</v>
      </c>
      <c r="G1" s="1" t="str">
        <f>"AA_T_amphi_ty_6A"</f>
        <v>AA_T_amphi_ty_6A</v>
      </c>
      <c r="H1" s="1" t="str">
        <f>"AA_T_amphi_ty_7A"</f>
        <v>AA_T_amphi_ty_7A</v>
      </c>
      <c r="I1" s="1" t="str">
        <f>"AA_T_amphi_ty_8A"</f>
        <v>AA_T_amphi_ty_8A</v>
      </c>
      <c r="J1" s="1" t="str">
        <f>"AA_T_amphi_ty_9A"</f>
        <v>AA_T_amphi_ty_9A</v>
      </c>
      <c r="K1" s="1" t="str">
        <f>"AA_T_amphi_ty_10A"</f>
        <v>AA_T_amphi_ty_10A</v>
      </c>
      <c r="L1" s="1" t="str">
        <f>"AA_T_amphi_ty_11A"</f>
        <v>AA_T_amphi_ty_11A</v>
      </c>
      <c r="M1" s="1" t="str">
        <f>"AA_T_amphi_ty_12A"</f>
        <v>AA_T_amphi_ty_12A</v>
      </c>
      <c r="N1" s="1" t="str">
        <f>"AA_T_amphi_ty_13A"</f>
        <v>AA_T_amphi_ty_13A</v>
      </c>
      <c r="O1" s="1" t="str">
        <f>"AA_T_amphi_ty_14A"</f>
        <v>AA_T_amphi_ty_14A</v>
      </c>
      <c r="P1" s="1" t="str">
        <f>"AA_T_amphi_ty_15A"</f>
        <v>AA_T_amphi_ty_15A</v>
      </c>
      <c r="Q1" s="1" t="str">
        <f>"AA_T_amphi_ty_16A"</f>
        <v>AA_T_amphi_ty_16A</v>
      </c>
      <c r="R1" s="1" t="str">
        <f>"AA_T_amphi_ty_17A"</f>
        <v>AA_T_amphi_ty_17A</v>
      </c>
      <c r="S1" s="1" t="str">
        <f>"AA_T_amphi_ty_18A"</f>
        <v>AA_T_amphi_ty_18A</v>
      </c>
      <c r="T1" s="1" t="str">
        <f>"AA_T_amphi_ty_19A"</f>
        <v>AA_T_amphi_ty_19A</v>
      </c>
      <c r="U1" s="1" t="str">
        <f>"AA_T_amphi_ty_20A"</f>
        <v>AA_T_amphi_ty_20A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33.485296000000005</v>
      </c>
      <c r="C3">
        <v>24.054307000000001</v>
      </c>
      <c r="D3">
        <v>15.722829000000001</v>
      </c>
      <c r="E3">
        <v>11.223348</v>
      </c>
      <c r="F3">
        <v>8.6313089999999999</v>
      </c>
      <c r="G3">
        <v>7.147424</v>
      </c>
      <c r="H3">
        <v>6.1078833000000001</v>
      </c>
      <c r="I3">
        <v>5.4688141000000003</v>
      </c>
      <c r="J3">
        <v>4.8689264000000003</v>
      </c>
      <c r="K3">
        <v>4.2539074000000001</v>
      </c>
      <c r="L3">
        <v>4.1745152000000001</v>
      </c>
      <c r="M3">
        <v>3.8591782000000001</v>
      </c>
      <c r="N3">
        <v>3.5908048000000004</v>
      </c>
      <c r="O3">
        <v>3.3015141999999997</v>
      </c>
      <c r="P3">
        <v>3.0653478000000001</v>
      </c>
      <c r="Q3">
        <v>2.9132492999999999</v>
      </c>
      <c r="R3">
        <v>2.6667632999999999</v>
      </c>
      <c r="S3">
        <v>2.6522245</v>
      </c>
      <c r="T3">
        <v>2.5378476000000001</v>
      </c>
      <c r="U3">
        <v>2.5010785000000002</v>
      </c>
    </row>
    <row r="4" spans="1:24">
      <c r="A4" t="s">
        <v>1</v>
      </c>
      <c r="B4">
        <v>40.095349000000006</v>
      </c>
      <c r="C4">
        <v>28.790615999999996</v>
      </c>
      <c r="D4">
        <v>18.206122000000001</v>
      </c>
      <c r="E4">
        <v>12.65596</v>
      </c>
      <c r="F4">
        <v>9.4058890000000002</v>
      </c>
      <c r="G4">
        <v>7.4555829999999998</v>
      </c>
      <c r="H4">
        <v>6.3927896999999998</v>
      </c>
      <c r="I4">
        <v>5.4890765999999998</v>
      </c>
      <c r="J4">
        <v>4.8447572000000001</v>
      </c>
      <c r="K4">
        <v>4.2091246999999994</v>
      </c>
      <c r="L4">
        <v>4.0458998000000008</v>
      </c>
      <c r="M4">
        <v>3.5898453000000003</v>
      </c>
      <c r="N4">
        <v>3.2957828</v>
      </c>
      <c r="O4">
        <v>3.0335130000000001</v>
      </c>
      <c r="P4">
        <v>2.8259449999999999</v>
      </c>
      <c r="Q4">
        <v>2.6983740000000003</v>
      </c>
      <c r="R4">
        <v>2.4884089</v>
      </c>
      <c r="S4">
        <v>2.3450042999999998</v>
      </c>
      <c r="T4">
        <v>2.2421116000000003</v>
      </c>
      <c r="U4">
        <v>2.1615326000000001</v>
      </c>
    </row>
    <row r="5" spans="1:24">
      <c r="A5" t="s">
        <v>2</v>
      </c>
      <c r="B5">
        <v>84.692390000000003</v>
      </c>
      <c r="C5">
        <v>62.964725999999999</v>
      </c>
      <c r="D5">
        <v>41.346603999999999</v>
      </c>
      <c r="E5">
        <v>29.589706</v>
      </c>
      <c r="F5">
        <v>22.93816</v>
      </c>
      <c r="G5">
        <v>18.471442</v>
      </c>
      <c r="H5">
        <v>15.449954399999999</v>
      </c>
      <c r="I5">
        <v>13.469081699999998</v>
      </c>
      <c r="J5">
        <v>12.0988667</v>
      </c>
      <c r="K5">
        <v>10.4706318</v>
      </c>
      <c r="L5">
        <v>10.3175609</v>
      </c>
      <c r="M5">
        <v>9.4148031000000003</v>
      </c>
      <c r="N5">
        <v>8.6786530000000006</v>
      </c>
      <c r="O5">
        <v>8.1084707999999992</v>
      </c>
      <c r="P5">
        <v>7.6607135999999993</v>
      </c>
      <c r="Q5">
        <v>7.1921743000000005</v>
      </c>
      <c r="R5">
        <v>6.5285500000000001</v>
      </c>
      <c r="S5">
        <v>6.2442555999999998</v>
      </c>
      <c r="T5">
        <v>5.9817752999999998</v>
      </c>
      <c r="U5">
        <v>5.7609781</v>
      </c>
    </row>
    <row r="6" spans="1:24">
      <c r="A6" t="s">
        <v>3</v>
      </c>
      <c r="B6">
        <v>18.913623999999999</v>
      </c>
      <c r="C6">
        <v>13.255560000000001</v>
      </c>
      <c r="D6">
        <v>7.6455410999999991</v>
      </c>
      <c r="E6">
        <v>5.4396108999999999</v>
      </c>
      <c r="F6">
        <v>4.0816493000000005</v>
      </c>
      <c r="G6">
        <v>3.2776879000000001</v>
      </c>
      <c r="H6">
        <v>2.7007767</v>
      </c>
      <c r="I6">
        <v>2.2579572999999997</v>
      </c>
      <c r="J6">
        <v>2.0538528999999999</v>
      </c>
      <c r="K6">
        <v>1.812894</v>
      </c>
      <c r="L6">
        <v>1.773388848</v>
      </c>
      <c r="M6">
        <v>1.631627766</v>
      </c>
      <c r="N6">
        <v>1.5062553240000001</v>
      </c>
      <c r="O6">
        <v>1.366834442</v>
      </c>
      <c r="P6">
        <v>1.2788040970000001</v>
      </c>
      <c r="Q6">
        <v>1.1658050360000001</v>
      </c>
      <c r="R6">
        <v>1.12094882</v>
      </c>
      <c r="S6">
        <v>1.0697826300000002</v>
      </c>
      <c r="T6">
        <v>1.0184611220000002</v>
      </c>
      <c r="U6">
        <v>0.98192308099999992</v>
      </c>
    </row>
    <row r="7" spans="1:24">
      <c r="A7" t="s">
        <v>4</v>
      </c>
      <c r="B7">
        <v>19.988962000000001</v>
      </c>
      <c r="C7">
        <v>13.601585</v>
      </c>
      <c r="D7">
        <v>8.0704841999999992</v>
      </c>
      <c r="E7">
        <v>5.6797028000000003</v>
      </c>
      <c r="F7">
        <v>4.4380161999999999</v>
      </c>
      <c r="G7">
        <v>3.5294564999999998</v>
      </c>
      <c r="H7">
        <v>2.9183814999999997</v>
      </c>
      <c r="I7">
        <v>2.5264745</v>
      </c>
      <c r="J7">
        <v>2.3258693840000002</v>
      </c>
      <c r="K7">
        <v>2.057001096</v>
      </c>
      <c r="L7">
        <v>2.0175698520000003</v>
      </c>
      <c r="M7">
        <v>1.851299824</v>
      </c>
      <c r="N7">
        <v>1.6648220119999999</v>
      </c>
      <c r="O7">
        <v>1.495675079</v>
      </c>
      <c r="P7">
        <v>1.3553160390000001</v>
      </c>
      <c r="Q7">
        <v>1.2765804219999999</v>
      </c>
      <c r="R7">
        <v>1.202249581</v>
      </c>
      <c r="S7">
        <v>1.1268006480000001</v>
      </c>
      <c r="T7">
        <v>1.0829494639999999</v>
      </c>
      <c r="U7">
        <v>1.050609516</v>
      </c>
    </row>
    <row r="8" spans="1:24">
      <c r="A8" t="s">
        <v>5</v>
      </c>
      <c r="B8">
        <v>20.202342000000002</v>
      </c>
      <c r="C8">
        <v>14.120936</v>
      </c>
      <c r="D8">
        <v>8.2137025000000001</v>
      </c>
      <c r="E8">
        <v>5.8148816999999999</v>
      </c>
      <c r="F8">
        <v>4.4395816000000003</v>
      </c>
      <c r="G8">
        <v>3.5155997000000001</v>
      </c>
      <c r="H8">
        <v>2.8828746999999999</v>
      </c>
      <c r="I8">
        <v>2.3897352999999999</v>
      </c>
      <c r="J8">
        <v>2.192730735</v>
      </c>
      <c r="K8">
        <v>1.91883469</v>
      </c>
      <c r="L8">
        <v>1.924203224</v>
      </c>
      <c r="M8">
        <v>1.7908989689999999</v>
      </c>
      <c r="N8">
        <v>1.622474161</v>
      </c>
      <c r="O8">
        <v>1.4718909660000001</v>
      </c>
      <c r="P8">
        <v>1.3335541930000001</v>
      </c>
      <c r="Q8">
        <v>1.2626589240000001</v>
      </c>
      <c r="R8">
        <v>1.197990079</v>
      </c>
      <c r="S8">
        <v>1.1100841699999999</v>
      </c>
      <c r="T8">
        <v>1.064052327</v>
      </c>
      <c r="U8">
        <v>1.0210917750000001</v>
      </c>
    </row>
    <row r="9" spans="1:24">
      <c r="A9" t="s">
        <v>6</v>
      </c>
      <c r="B9">
        <v>19.944109999999998</v>
      </c>
      <c r="C9">
        <v>13.773973</v>
      </c>
      <c r="D9">
        <v>8.1411056999999989</v>
      </c>
      <c r="E9">
        <v>5.7807687999999997</v>
      </c>
      <c r="F9">
        <v>4.3676249</v>
      </c>
      <c r="G9">
        <v>3.3764325999999998</v>
      </c>
      <c r="H9">
        <v>2.8524160000000003</v>
      </c>
      <c r="I9">
        <v>2.4463849</v>
      </c>
      <c r="J9">
        <v>2.1992479</v>
      </c>
      <c r="K9">
        <v>1.9011464869999999</v>
      </c>
      <c r="L9">
        <v>1.871751712</v>
      </c>
      <c r="M9">
        <v>1.737027265</v>
      </c>
      <c r="N9">
        <v>1.5888382939999999</v>
      </c>
      <c r="O9">
        <v>1.438241528</v>
      </c>
      <c r="P9">
        <v>1.3475913390000001</v>
      </c>
      <c r="Q9">
        <v>1.2385181780000001</v>
      </c>
      <c r="R9">
        <v>1.149745939</v>
      </c>
      <c r="S9">
        <v>1.089650121</v>
      </c>
      <c r="T9">
        <v>1.023069606</v>
      </c>
      <c r="U9">
        <v>0.98360510899999998</v>
      </c>
    </row>
    <row r="10" spans="1:24">
      <c r="A10" t="s">
        <v>7</v>
      </c>
      <c r="B10">
        <v>29.266738000000004</v>
      </c>
      <c r="C10">
        <v>19.473271</v>
      </c>
      <c r="D10">
        <v>11.209365</v>
      </c>
      <c r="E10">
        <v>7.8699916999999999</v>
      </c>
      <c r="F10">
        <v>5.9242791000000006</v>
      </c>
      <c r="G10">
        <v>4.7287334999999997</v>
      </c>
      <c r="H10">
        <v>3.9210320999999997</v>
      </c>
      <c r="I10">
        <v>3.3387514999999999</v>
      </c>
      <c r="J10">
        <v>3.0257766000000004</v>
      </c>
      <c r="K10">
        <v>2.7223676000000001</v>
      </c>
      <c r="L10">
        <v>2.7191873000000002</v>
      </c>
      <c r="M10">
        <v>2.4619051829999998</v>
      </c>
      <c r="N10">
        <v>2.2422125100000003</v>
      </c>
      <c r="O10">
        <v>1.986987351</v>
      </c>
      <c r="P10">
        <v>1.8819906799999999</v>
      </c>
      <c r="Q10">
        <v>1.7834183410000002</v>
      </c>
      <c r="R10">
        <v>1.6324633549999998</v>
      </c>
      <c r="S10">
        <v>1.569229655</v>
      </c>
      <c r="T10">
        <v>1.478826902</v>
      </c>
      <c r="U10">
        <v>1.40814511</v>
      </c>
    </row>
    <row r="11" spans="1:24">
      <c r="A11" t="s">
        <v>8</v>
      </c>
      <c r="B11">
        <v>28.884983999999999</v>
      </c>
      <c r="C11">
        <v>19.492162</v>
      </c>
      <c r="D11">
        <v>11.390254000000001</v>
      </c>
      <c r="E11">
        <v>7.8160454000000001</v>
      </c>
      <c r="F11">
        <v>6.0203851999999998</v>
      </c>
      <c r="G11">
        <v>4.9078948000000002</v>
      </c>
      <c r="H11">
        <v>4.1300631000000001</v>
      </c>
      <c r="I11">
        <v>3.5218532000000002</v>
      </c>
      <c r="J11">
        <v>3.0968711</v>
      </c>
      <c r="K11">
        <v>2.6475975000000003</v>
      </c>
      <c r="L11">
        <v>2.7106394840000001</v>
      </c>
      <c r="M11">
        <v>2.4609293460000004</v>
      </c>
      <c r="N11">
        <v>2.2491322169999997</v>
      </c>
      <c r="O11">
        <v>2.0437521329999999</v>
      </c>
      <c r="P11">
        <v>1.9355055539999999</v>
      </c>
      <c r="Q11">
        <v>1.7679715250000001</v>
      </c>
      <c r="R11">
        <v>1.6516669789999998</v>
      </c>
      <c r="S11">
        <v>1.5882819770000001</v>
      </c>
      <c r="T11">
        <v>1.536929553</v>
      </c>
      <c r="U11">
        <v>1.4808038190000001</v>
      </c>
    </row>
    <row r="12" spans="1:24">
      <c r="A12" t="s">
        <v>9</v>
      </c>
      <c r="B12">
        <v>22.258180000000003</v>
      </c>
      <c r="C12">
        <v>14.3881134</v>
      </c>
      <c r="D12">
        <v>8.6346489999999996</v>
      </c>
      <c r="E12">
        <v>5.8550312</v>
      </c>
      <c r="F12">
        <v>4.2681101000000004</v>
      </c>
      <c r="G12">
        <v>3.4336106000000002</v>
      </c>
      <c r="H12">
        <v>2.8742519000000004</v>
      </c>
      <c r="I12">
        <v>2.4201601029999997</v>
      </c>
      <c r="J12">
        <v>2.1069428269999997</v>
      </c>
      <c r="K12">
        <v>1.910770335</v>
      </c>
      <c r="L12">
        <v>1.8549393269999999</v>
      </c>
      <c r="M12">
        <v>1.800343609</v>
      </c>
      <c r="N12">
        <v>1.605345026</v>
      </c>
      <c r="O12">
        <v>1.4576342070000001</v>
      </c>
      <c r="P12">
        <v>1.3381475079999998</v>
      </c>
      <c r="Q12">
        <v>1.2465331700000002</v>
      </c>
      <c r="R12">
        <v>1.144376109</v>
      </c>
      <c r="S12">
        <v>1.123688448</v>
      </c>
      <c r="T12">
        <v>1.0547396530000002</v>
      </c>
      <c r="U12">
        <v>0.99403118400000001</v>
      </c>
    </row>
    <row r="13" spans="1:24">
      <c r="A13" t="s">
        <v>10</v>
      </c>
      <c r="B13">
        <v>21.235818999999999</v>
      </c>
      <c r="C13">
        <v>13.9515669</v>
      </c>
      <c r="D13">
        <v>8.3373413999999997</v>
      </c>
      <c r="E13">
        <v>5.7448813999999997</v>
      </c>
      <c r="F13">
        <v>4.4486961000000003</v>
      </c>
      <c r="G13">
        <v>3.4249585999999996</v>
      </c>
      <c r="H13">
        <v>2.8886596</v>
      </c>
      <c r="I13">
        <v>2.427690788</v>
      </c>
      <c r="J13">
        <v>2.0971707249999998</v>
      </c>
      <c r="K13">
        <v>1.8357119309999999</v>
      </c>
      <c r="L13">
        <v>1.7989122740000001</v>
      </c>
      <c r="M13">
        <v>1.657169203</v>
      </c>
      <c r="N13">
        <v>1.5295966000000001</v>
      </c>
      <c r="O13">
        <v>1.4243079390000002</v>
      </c>
      <c r="P13">
        <v>1.2786309999999999</v>
      </c>
      <c r="Q13">
        <v>1.2355233250000002</v>
      </c>
      <c r="R13">
        <v>1.096939103</v>
      </c>
      <c r="S13">
        <v>1.051614381</v>
      </c>
      <c r="T13">
        <v>1.0019613949999999</v>
      </c>
      <c r="U13">
        <v>0.9607231329999999</v>
      </c>
    </row>
    <row r="14" spans="1:24">
      <c r="A14" t="s">
        <v>11</v>
      </c>
      <c r="B14">
        <v>22.318372</v>
      </c>
      <c r="C14">
        <v>14.8221352</v>
      </c>
      <c r="D14">
        <v>8.7809626999999999</v>
      </c>
      <c r="E14">
        <v>6.1608092999999995</v>
      </c>
      <c r="F14">
        <v>4.6412054000000005</v>
      </c>
      <c r="G14">
        <v>3.7052724000000001</v>
      </c>
      <c r="H14">
        <v>3.0996721060000003</v>
      </c>
      <c r="I14">
        <v>2.5930680420000001</v>
      </c>
      <c r="J14">
        <v>2.274854886</v>
      </c>
      <c r="K14">
        <v>1.975867329</v>
      </c>
      <c r="L14">
        <v>1.985969622</v>
      </c>
      <c r="M14">
        <v>1.8757385010000001</v>
      </c>
      <c r="N14">
        <v>1.745793186</v>
      </c>
      <c r="O14">
        <v>1.6316059519999999</v>
      </c>
      <c r="P14">
        <v>1.5386362250000001</v>
      </c>
      <c r="Q14">
        <v>1.450789098</v>
      </c>
      <c r="R14">
        <v>1.2926873859999999</v>
      </c>
      <c r="S14">
        <v>1.208213583</v>
      </c>
      <c r="T14">
        <v>1.137272719</v>
      </c>
      <c r="U14">
        <v>1.1169925380000001</v>
      </c>
    </row>
    <row r="15" spans="1:24">
      <c r="A15" t="s">
        <v>12</v>
      </c>
      <c r="B15">
        <v>57.620918000000003</v>
      </c>
      <c r="C15">
        <v>42.052146</v>
      </c>
      <c r="D15">
        <v>26.981504999999999</v>
      </c>
      <c r="E15">
        <v>18.3648943</v>
      </c>
      <c r="F15">
        <v>13.921517</v>
      </c>
      <c r="G15">
        <v>11.056438200000001</v>
      </c>
      <c r="H15">
        <v>9.1906899000000006</v>
      </c>
      <c r="I15">
        <v>7.9764011000000004</v>
      </c>
      <c r="J15">
        <v>7.0260673999999996</v>
      </c>
      <c r="K15">
        <v>6.1782933</v>
      </c>
      <c r="L15">
        <v>6.1622797</v>
      </c>
      <c r="M15">
        <v>5.7991324000000004</v>
      </c>
      <c r="N15">
        <v>5.3510109999999997</v>
      </c>
      <c r="O15">
        <v>4.8777872999999996</v>
      </c>
      <c r="P15">
        <v>4.7074818</v>
      </c>
      <c r="Q15">
        <v>4.4315091999999998</v>
      </c>
      <c r="R15">
        <v>3.9447274000000001</v>
      </c>
      <c r="S15">
        <v>3.7532501000000003</v>
      </c>
      <c r="T15">
        <v>3.5649549</v>
      </c>
      <c r="U15">
        <v>3.3896850000000001</v>
      </c>
    </row>
    <row r="16" spans="1:24">
      <c r="A16" t="s">
        <v>13</v>
      </c>
      <c r="B16">
        <v>52.171989999999994</v>
      </c>
      <c r="C16">
        <v>36.777701999999998</v>
      </c>
      <c r="D16">
        <v>22.348363000000003</v>
      </c>
      <c r="E16">
        <v>15.537893200000001</v>
      </c>
      <c r="F16">
        <v>11.845867999999999</v>
      </c>
      <c r="G16">
        <v>9.3943227999999994</v>
      </c>
      <c r="H16">
        <v>7.9320185999999993</v>
      </c>
      <c r="I16">
        <v>6.8256909000000006</v>
      </c>
      <c r="J16">
        <v>6.1072572000000003</v>
      </c>
      <c r="K16">
        <v>5.2151442000000001</v>
      </c>
      <c r="L16">
        <v>5.0902463000000004</v>
      </c>
      <c r="M16">
        <v>4.7534554</v>
      </c>
      <c r="N16">
        <v>4.3864987000000006</v>
      </c>
      <c r="O16">
        <v>3.9694127000000003</v>
      </c>
      <c r="P16">
        <v>3.708608913</v>
      </c>
      <c r="Q16">
        <v>3.502982469</v>
      </c>
      <c r="R16">
        <v>3.2274118330000001</v>
      </c>
      <c r="S16">
        <v>3.0577705770000003</v>
      </c>
      <c r="T16">
        <v>2.930889638</v>
      </c>
      <c r="U16">
        <v>2.8198940320000001</v>
      </c>
    </row>
    <row r="17" spans="1:21">
      <c r="A17" t="s">
        <v>14</v>
      </c>
      <c r="B17">
        <v>53.660870000000003</v>
      </c>
      <c r="C17">
        <v>37.691891999999996</v>
      </c>
      <c r="D17">
        <v>22.558326000000001</v>
      </c>
      <c r="E17">
        <v>15.486172799999999</v>
      </c>
      <c r="F17">
        <v>11.889185400000001</v>
      </c>
      <c r="G17">
        <v>9.4797886000000009</v>
      </c>
      <c r="H17">
        <v>7.9037358000000006</v>
      </c>
      <c r="I17">
        <v>6.808173</v>
      </c>
      <c r="J17">
        <v>6.0061182999999998</v>
      </c>
      <c r="K17">
        <v>5.3144745000000002</v>
      </c>
      <c r="L17">
        <v>5.1126158999999998</v>
      </c>
      <c r="M17">
        <v>4.6697591999999997</v>
      </c>
      <c r="N17">
        <v>4.3420575999999995</v>
      </c>
      <c r="O17">
        <v>3.9682347000000004</v>
      </c>
      <c r="P17">
        <v>3.7525887619999998</v>
      </c>
      <c r="Q17">
        <v>3.5540236790000002</v>
      </c>
      <c r="R17">
        <v>3.2709730060000002</v>
      </c>
      <c r="S17">
        <v>3.0947798610000001</v>
      </c>
      <c r="T17">
        <v>2.9458270939999998</v>
      </c>
      <c r="U17">
        <v>2.7503629299999997</v>
      </c>
    </row>
    <row r="18" spans="1:21">
      <c r="A18" t="s">
        <v>15</v>
      </c>
      <c r="B18">
        <v>53.998359999999991</v>
      </c>
      <c r="C18">
        <v>37.523805000000003</v>
      </c>
      <c r="D18">
        <v>22.867927000000002</v>
      </c>
      <c r="E18">
        <v>15.976285000000001</v>
      </c>
      <c r="F18">
        <v>11.8713385</v>
      </c>
      <c r="G18">
        <v>9.3330322999999993</v>
      </c>
      <c r="H18">
        <v>7.9304001999999993</v>
      </c>
      <c r="I18">
        <v>6.9187961000000007</v>
      </c>
      <c r="J18">
        <v>6.0329940000000004</v>
      </c>
      <c r="K18">
        <v>5.3320325000000004</v>
      </c>
      <c r="L18">
        <v>5.1665818000000003</v>
      </c>
      <c r="M18">
        <v>4.7335449000000001</v>
      </c>
      <c r="N18">
        <v>4.3898437999999995</v>
      </c>
      <c r="O18">
        <v>3.9475259</v>
      </c>
      <c r="P18">
        <v>3.6582789</v>
      </c>
      <c r="Q18">
        <v>3.4953484000000001</v>
      </c>
      <c r="R18">
        <v>3.1861235000000003</v>
      </c>
      <c r="S18">
        <v>3.0400231999999998</v>
      </c>
      <c r="T18">
        <v>2.9214894999999999</v>
      </c>
      <c r="U18">
        <v>2.7906484000000003</v>
      </c>
    </row>
    <row r="19" spans="1:21">
      <c r="A19" t="s">
        <v>16</v>
      </c>
      <c r="B19">
        <v>132.14620000000002</v>
      </c>
      <c r="C19">
        <v>96.062209999999993</v>
      </c>
      <c r="D19">
        <v>60.806053999999996</v>
      </c>
      <c r="E19">
        <v>41.709442000000003</v>
      </c>
      <c r="F19">
        <v>31.315159000000001</v>
      </c>
      <c r="G19">
        <v>24.932176200000001</v>
      </c>
      <c r="H19">
        <v>20.559416900000002</v>
      </c>
      <c r="I19">
        <v>17.408890100000001</v>
      </c>
      <c r="J19">
        <v>15.333088699999999</v>
      </c>
      <c r="K19">
        <v>13.038853100000001</v>
      </c>
      <c r="L19">
        <v>12.626421300000001</v>
      </c>
      <c r="M19">
        <v>11.5583276</v>
      </c>
      <c r="N19">
        <v>10.394221999999999</v>
      </c>
      <c r="O19">
        <v>9.4612013000000008</v>
      </c>
      <c r="P19">
        <v>8.8705110999999999</v>
      </c>
      <c r="Q19">
        <v>8.4289578999999986</v>
      </c>
      <c r="R19">
        <v>7.6559797999999999</v>
      </c>
      <c r="S19">
        <v>7.1576065999999994</v>
      </c>
      <c r="T19">
        <v>6.6996586999999996</v>
      </c>
      <c r="U19">
        <v>6.4362988999999997</v>
      </c>
    </row>
    <row r="20" spans="1:21">
      <c r="A20" t="s">
        <v>17</v>
      </c>
      <c r="B20">
        <v>136.56281000000001</v>
      </c>
      <c r="C20">
        <v>98.765169999999998</v>
      </c>
      <c r="D20">
        <v>62.350441000000004</v>
      </c>
      <c r="E20">
        <v>41.939580999999997</v>
      </c>
      <c r="F20">
        <v>31.376259000000001</v>
      </c>
      <c r="G20">
        <v>24.7686961</v>
      </c>
      <c r="H20">
        <v>20.531458799999999</v>
      </c>
      <c r="I20">
        <v>17.341221600000001</v>
      </c>
      <c r="J20">
        <v>15.206231300000001</v>
      </c>
      <c r="K20">
        <v>13.289223400000001</v>
      </c>
      <c r="L20">
        <v>12.878819699999999</v>
      </c>
      <c r="M20">
        <v>11.5382303</v>
      </c>
      <c r="N20">
        <v>10.4101751</v>
      </c>
      <c r="O20">
        <v>9.4907381999999991</v>
      </c>
      <c r="P20">
        <v>8.7724135000000008</v>
      </c>
      <c r="Q20">
        <v>8.169456799999999</v>
      </c>
      <c r="R20">
        <v>7.5582950999999996</v>
      </c>
      <c r="S20">
        <v>7.1408638999999994</v>
      </c>
      <c r="T20">
        <v>6.6342115999999995</v>
      </c>
      <c r="U20">
        <v>6.3628622000000004</v>
      </c>
    </row>
    <row r="21" spans="1:21">
      <c r="A21" t="s">
        <v>18</v>
      </c>
      <c r="B21">
        <v>136.04555999999999</v>
      </c>
      <c r="C21">
        <v>98.051179999999988</v>
      </c>
      <c r="D21">
        <v>62.232809000000003</v>
      </c>
      <c r="E21">
        <v>41.776618999999997</v>
      </c>
      <c r="F21">
        <v>31.362416999999997</v>
      </c>
      <c r="G21">
        <v>24.710159600000001</v>
      </c>
      <c r="H21">
        <v>20.434371199999998</v>
      </c>
      <c r="I21">
        <v>17.2729933</v>
      </c>
      <c r="J21">
        <v>15.252924199999999</v>
      </c>
      <c r="K21">
        <v>13.1475419</v>
      </c>
      <c r="L21">
        <v>12.6124896</v>
      </c>
      <c r="M21">
        <v>11.4963578</v>
      </c>
      <c r="N21">
        <v>10.4396837</v>
      </c>
      <c r="O21">
        <v>9.6171793000000001</v>
      </c>
      <c r="P21">
        <v>9.0250634999999999</v>
      </c>
      <c r="Q21">
        <v>8.4188686999999991</v>
      </c>
      <c r="R21">
        <v>7.6970334000000005</v>
      </c>
      <c r="S21">
        <v>7.3835027999999996</v>
      </c>
      <c r="T21">
        <v>6.8288641000000005</v>
      </c>
      <c r="U21">
        <v>6.4031032000000003</v>
      </c>
    </row>
    <row r="22" spans="1:21">
      <c r="A22" t="s">
        <v>19</v>
      </c>
      <c r="B22">
        <v>133.17885000000001</v>
      </c>
      <c r="C22">
        <v>96.864086999999998</v>
      </c>
      <c r="D22">
        <v>62.053624000000006</v>
      </c>
      <c r="E22">
        <v>41.747363</v>
      </c>
      <c r="F22">
        <v>31.106436000000002</v>
      </c>
      <c r="G22">
        <v>24.935869400000001</v>
      </c>
      <c r="H22">
        <v>20.7342324</v>
      </c>
      <c r="I22">
        <v>17.574932199999999</v>
      </c>
      <c r="J22">
        <v>15.3828792</v>
      </c>
      <c r="K22">
        <v>13.165695699999999</v>
      </c>
      <c r="L22">
        <v>12.5778871</v>
      </c>
      <c r="M22">
        <v>11.5392467</v>
      </c>
      <c r="N22">
        <v>10.3794009</v>
      </c>
      <c r="O22">
        <v>9.4591829000000001</v>
      </c>
      <c r="P22">
        <v>8.8802498000000014</v>
      </c>
      <c r="Q22">
        <v>8.3827093000000001</v>
      </c>
      <c r="R22">
        <v>7.6049165000000007</v>
      </c>
      <c r="S22">
        <v>7.1841941</v>
      </c>
      <c r="T22">
        <v>6.8082266000000002</v>
      </c>
      <c r="U22">
        <v>6.4240849000000004</v>
      </c>
    </row>
    <row r="23" spans="1:21">
      <c r="A23" t="s">
        <v>20</v>
      </c>
      <c r="B23">
        <v>137.76657</v>
      </c>
      <c r="C23">
        <v>99.900629999999992</v>
      </c>
      <c r="D23">
        <v>63.119830999999998</v>
      </c>
      <c r="E23">
        <v>42.280411999999998</v>
      </c>
      <c r="F23">
        <v>31.633923899999999</v>
      </c>
      <c r="G23">
        <v>24.981809500000001</v>
      </c>
      <c r="H23">
        <v>20.5695856</v>
      </c>
      <c r="I23">
        <v>17.700458400000002</v>
      </c>
      <c r="J23">
        <v>15.4723524</v>
      </c>
      <c r="K23">
        <v>13.294259800000001</v>
      </c>
      <c r="L23">
        <v>12.769641700000001</v>
      </c>
      <c r="M23">
        <v>11.5895189</v>
      </c>
      <c r="N23">
        <v>10.502853699999999</v>
      </c>
      <c r="O23">
        <v>9.5079279999999997</v>
      </c>
      <c r="P23">
        <v>8.8495384000000001</v>
      </c>
      <c r="Q23">
        <v>8.2887114999999998</v>
      </c>
      <c r="R23">
        <v>7.4199275</v>
      </c>
      <c r="S23">
        <v>7.0865130999999995</v>
      </c>
      <c r="T23">
        <v>6.6409848999999994</v>
      </c>
      <c r="U23">
        <v>6.3231920000000006</v>
      </c>
    </row>
    <row r="24" spans="1:21">
      <c r="A24" t="s">
        <v>21</v>
      </c>
      <c r="B24">
        <v>132.86358999999999</v>
      </c>
      <c r="C24">
        <v>96.638622999999995</v>
      </c>
      <c r="D24">
        <v>61.158400000000007</v>
      </c>
      <c r="E24">
        <v>41.845195000000004</v>
      </c>
      <c r="F24">
        <v>31.541471999999999</v>
      </c>
      <c r="G24">
        <v>24.8388259</v>
      </c>
      <c r="H24">
        <v>20.347974099999998</v>
      </c>
      <c r="I24">
        <v>17.313695099999997</v>
      </c>
      <c r="J24">
        <v>15.226456200000001</v>
      </c>
      <c r="K24">
        <v>13.110833400000001</v>
      </c>
      <c r="L24">
        <v>12.691948499999999</v>
      </c>
      <c r="M24">
        <v>11.5794455</v>
      </c>
      <c r="N24">
        <v>10.4539498</v>
      </c>
      <c r="O24">
        <v>9.5635151</v>
      </c>
      <c r="P24">
        <v>8.9821293999999998</v>
      </c>
      <c r="Q24">
        <v>8.4743200000000005</v>
      </c>
      <c r="R24">
        <v>7.6167993000000003</v>
      </c>
      <c r="S24">
        <v>7.2708273999999999</v>
      </c>
      <c r="T24">
        <v>6.7548310999999996</v>
      </c>
      <c r="U24">
        <v>6.4195203000000003</v>
      </c>
    </row>
    <row r="25" spans="1:21">
      <c r="A25" t="s">
        <v>34</v>
      </c>
      <c r="B25">
        <v>135.72187</v>
      </c>
      <c r="C25">
        <v>98.174000000000007</v>
      </c>
      <c r="D25">
        <v>62.085583999999997</v>
      </c>
      <c r="E25">
        <v>41.900798999999999</v>
      </c>
      <c r="F25">
        <v>31.390938999999996</v>
      </c>
      <c r="G25">
        <v>24.887959800000001</v>
      </c>
      <c r="H25">
        <v>20.5513406</v>
      </c>
      <c r="I25">
        <v>17.481141999999998</v>
      </c>
      <c r="J25">
        <v>15.3706792</v>
      </c>
      <c r="K25">
        <v>13.2066108</v>
      </c>
      <c r="L25">
        <v>12.663632</v>
      </c>
      <c r="M25">
        <v>11.4206585</v>
      </c>
      <c r="N25">
        <v>10.3568338</v>
      </c>
      <c r="O25">
        <v>9.5785653999999987</v>
      </c>
      <c r="P25">
        <v>8.8868517999999987</v>
      </c>
      <c r="Q25">
        <v>8.2955360999999996</v>
      </c>
      <c r="R25">
        <v>7.5560739000000003</v>
      </c>
      <c r="S25">
        <v>7.0888819999999999</v>
      </c>
      <c r="T25">
        <v>6.5845380000000002</v>
      </c>
      <c r="U25">
        <v>6.2976181999999996</v>
      </c>
    </row>
    <row r="26" spans="1:21">
      <c r="A26" t="s">
        <v>22</v>
      </c>
      <c r="B26">
        <v>97.863160000000008</v>
      </c>
      <c r="C26">
        <v>67.406755000000004</v>
      </c>
      <c r="D26">
        <v>40.974325</v>
      </c>
      <c r="E26">
        <v>27.042128999999999</v>
      </c>
      <c r="F26">
        <v>19.749033499999999</v>
      </c>
      <c r="G26">
        <v>15.4626927</v>
      </c>
      <c r="H26">
        <v>12.746513700000001</v>
      </c>
      <c r="I26">
        <v>10.6849436</v>
      </c>
      <c r="J26">
        <v>9.1737310999999995</v>
      </c>
      <c r="K26">
        <v>7.9722026999999995</v>
      </c>
      <c r="L26">
        <v>7.5672553000000002</v>
      </c>
      <c r="M26">
        <v>6.9304683999999996</v>
      </c>
      <c r="N26">
        <v>6.4150480479999992</v>
      </c>
      <c r="O26">
        <v>5.7281680399999999</v>
      </c>
      <c r="P26">
        <v>5.3772097099999998</v>
      </c>
      <c r="Q26">
        <v>4.9856021449999997</v>
      </c>
      <c r="R26">
        <v>4.4702246890000001</v>
      </c>
      <c r="S26">
        <v>4.2205089319999995</v>
      </c>
      <c r="T26">
        <v>3.9485177110000005</v>
      </c>
      <c r="U26">
        <v>3.7625771640000001</v>
      </c>
    </row>
    <row r="27" spans="1:21">
      <c r="A27" t="s">
        <v>23</v>
      </c>
      <c r="B27">
        <v>129.83697999999998</v>
      </c>
      <c r="C27">
        <v>94.892200000000003</v>
      </c>
      <c r="D27">
        <v>60.122202999999999</v>
      </c>
      <c r="E27">
        <v>41.128430999999999</v>
      </c>
      <c r="F27">
        <v>30.695792000000001</v>
      </c>
      <c r="G27">
        <v>24.496777399999999</v>
      </c>
      <c r="H27">
        <v>20.235471500000003</v>
      </c>
      <c r="I27">
        <v>17.0945547</v>
      </c>
      <c r="J27">
        <v>15.0887905</v>
      </c>
      <c r="K27">
        <v>13.003943</v>
      </c>
      <c r="L27">
        <v>12.747880500000001</v>
      </c>
      <c r="M27">
        <v>11.4332096</v>
      </c>
      <c r="N27">
        <v>10.3201106</v>
      </c>
      <c r="O27">
        <v>9.3577227999999995</v>
      </c>
      <c r="P27">
        <v>8.6867623999999992</v>
      </c>
      <c r="Q27">
        <v>8.2640449</v>
      </c>
      <c r="R27">
        <v>7.5534679000000002</v>
      </c>
      <c r="S27">
        <v>7.1163587000000001</v>
      </c>
      <c r="T27">
        <v>6.6706561999999998</v>
      </c>
      <c r="U27">
        <v>6.3975793999999997</v>
      </c>
    </row>
    <row r="28" spans="1:21">
      <c r="A28" t="s">
        <v>24</v>
      </c>
      <c r="B28">
        <v>132.33455000000001</v>
      </c>
      <c r="C28">
        <v>95.903350000000003</v>
      </c>
      <c r="D28">
        <v>61.220226999999994</v>
      </c>
      <c r="E28">
        <v>41.380942000000005</v>
      </c>
      <c r="F28">
        <v>31.265239999999999</v>
      </c>
      <c r="G28">
        <v>24.737945500000002</v>
      </c>
      <c r="H28">
        <v>20.363999199999999</v>
      </c>
      <c r="I28">
        <v>17.2126281</v>
      </c>
      <c r="J28">
        <v>15.3162004</v>
      </c>
      <c r="K28">
        <v>13.2531862</v>
      </c>
      <c r="L28">
        <v>12.8595779</v>
      </c>
      <c r="M28">
        <v>11.6174163</v>
      </c>
      <c r="N28">
        <v>10.547264799999999</v>
      </c>
      <c r="O28">
        <v>9.6219950000000001</v>
      </c>
      <c r="P28">
        <v>8.9387924999999999</v>
      </c>
      <c r="Q28">
        <v>8.3025803000000007</v>
      </c>
      <c r="R28">
        <v>7.6091432999999995</v>
      </c>
      <c r="S28">
        <v>7.2007513999999997</v>
      </c>
      <c r="T28">
        <v>6.7285551999999997</v>
      </c>
      <c r="U28">
        <v>6.3390677999999996</v>
      </c>
    </row>
    <row r="29" spans="1:21">
      <c r="A29" t="s">
        <v>25</v>
      </c>
      <c r="B29">
        <v>141.73698999999999</v>
      </c>
      <c r="C29">
        <v>102.28570000000001</v>
      </c>
      <c r="D29">
        <v>66.141293000000005</v>
      </c>
      <c r="E29">
        <v>45.879889000000006</v>
      </c>
      <c r="F29">
        <v>34.245838000000006</v>
      </c>
      <c r="G29">
        <v>26.946816000000002</v>
      </c>
      <c r="H29">
        <v>22.154800899999998</v>
      </c>
      <c r="I29">
        <v>18.456454200000003</v>
      </c>
      <c r="J29">
        <v>16.104188100000002</v>
      </c>
      <c r="K29">
        <v>14.083714000000001</v>
      </c>
      <c r="L29">
        <v>13.626144</v>
      </c>
      <c r="M29">
        <v>12.604117500000001</v>
      </c>
      <c r="N29">
        <v>11.365746700000001</v>
      </c>
      <c r="O29">
        <v>10.337321299999999</v>
      </c>
      <c r="P29">
        <v>9.5438697000000001</v>
      </c>
      <c r="Q29">
        <v>8.9953006999999996</v>
      </c>
      <c r="R29">
        <v>8.2855764999999995</v>
      </c>
      <c r="S29">
        <v>7.9271845999999995</v>
      </c>
      <c r="T29">
        <v>7.5105392000000002</v>
      </c>
      <c r="U29">
        <v>7.1525384000000001</v>
      </c>
    </row>
    <row r="30" spans="1:21">
      <c r="A30" t="s">
        <v>26</v>
      </c>
      <c r="B30">
        <v>161.88144999999997</v>
      </c>
      <c r="C30">
        <v>113.356101</v>
      </c>
      <c r="D30">
        <v>68.480958000000001</v>
      </c>
      <c r="E30">
        <v>46.480715000000004</v>
      </c>
      <c r="F30">
        <v>34.4950598</v>
      </c>
      <c r="G30">
        <v>26.6305911</v>
      </c>
      <c r="H30">
        <v>22.2099072</v>
      </c>
      <c r="I30">
        <v>18.953510300000001</v>
      </c>
      <c r="J30">
        <v>16.2554555</v>
      </c>
      <c r="K30">
        <v>14.0070657</v>
      </c>
      <c r="L30">
        <v>13.283502</v>
      </c>
      <c r="M30">
        <v>11.8119432</v>
      </c>
      <c r="N30">
        <v>10.7437136</v>
      </c>
      <c r="O30">
        <v>9.6859045530000003</v>
      </c>
      <c r="P30">
        <v>8.7934410229999997</v>
      </c>
      <c r="Q30">
        <v>8.2940904940000006</v>
      </c>
      <c r="R30">
        <v>7.6485290560000001</v>
      </c>
      <c r="S30">
        <v>7.1981904139999999</v>
      </c>
      <c r="T30">
        <v>6.7849875880000008</v>
      </c>
      <c r="U30">
        <v>6.3921209579999996</v>
      </c>
    </row>
    <row r="31" spans="1:21">
      <c r="A31" t="s">
        <v>27</v>
      </c>
      <c r="B31">
        <v>151.04316</v>
      </c>
      <c r="C31">
        <v>99.228569999999991</v>
      </c>
      <c r="D31">
        <v>57.503354999999999</v>
      </c>
      <c r="E31">
        <v>38.355951999999995</v>
      </c>
      <c r="F31">
        <v>28.140428999999997</v>
      </c>
      <c r="G31">
        <v>21.69444</v>
      </c>
      <c r="H31">
        <v>17.775503</v>
      </c>
      <c r="I31">
        <v>14.909020999999999</v>
      </c>
      <c r="J31">
        <v>12.678875999999999</v>
      </c>
      <c r="K31">
        <v>10.9321755</v>
      </c>
      <c r="L31">
        <v>10.466333000000001</v>
      </c>
      <c r="M31">
        <v>9.327066499999999</v>
      </c>
      <c r="N31">
        <v>8.3096546</v>
      </c>
      <c r="O31">
        <v>7.5476884999999996</v>
      </c>
      <c r="P31">
        <v>6.8958003000000003</v>
      </c>
      <c r="Q31">
        <v>6.4017973000000001</v>
      </c>
      <c r="R31">
        <v>5.8307405000000001</v>
      </c>
      <c r="S31">
        <v>5.4966612000000001</v>
      </c>
      <c r="T31">
        <v>5.1354509999999998</v>
      </c>
      <c r="U31">
        <v>4.8683393000000006</v>
      </c>
    </row>
    <row r="32" spans="1:21">
      <c r="A32" t="s">
        <v>28</v>
      </c>
      <c r="B32">
        <v>135.17886000000001</v>
      </c>
      <c r="C32">
        <v>89.201715000000007</v>
      </c>
      <c r="D32">
        <v>49.779688999999998</v>
      </c>
      <c r="E32">
        <v>32.550799399999995</v>
      </c>
      <c r="F32">
        <v>23.4429269</v>
      </c>
      <c r="G32">
        <v>18.147750899999998</v>
      </c>
      <c r="H32">
        <v>14.9875509</v>
      </c>
      <c r="I32">
        <v>12.4731443</v>
      </c>
      <c r="J32">
        <v>10.584044839999999</v>
      </c>
      <c r="K32">
        <v>9.0086685259999992</v>
      </c>
      <c r="L32">
        <v>8.5777421910000005</v>
      </c>
      <c r="M32">
        <v>7.6753441310000001</v>
      </c>
      <c r="N32">
        <v>7.0118871600000006</v>
      </c>
      <c r="O32">
        <v>6.3752423919999996</v>
      </c>
      <c r="P32">
        <v>5.7536336490000002</v>
      </c>
      <c r="Q32">
        <v>5.4153722790000005</v>
      </c>
      <c r="R32">
        <v>4.9289506579999998</v>
      </c>
      <c r="S32">
        <v>4.5745896650000004</v>
      </c>
      <c r="T32">
        <v>4.2431896019999993</v>
      </c>
      <c r="U32">
        <v>3.937158551</v>
      </c>
    </row>
    <row r="33" spans="1:21">
      <c r="A33" t="s">
        <v>29</v>
      </c>
      <c r="B33">
        <v>138.12195</v>
      </c>
      <c r="C33">
        <v>88.099721000000002</v>
      </c>
      <c r="D33">
        <v>48.001468000000003</v>
      </c>
      <c r="E33">
        <v>31.286773999999998</v>
      </c>
      <c r="F33">
        <v>23.1380488</v>
      </c>
      <c r="G33">
        <v>17.984124599999998</v>
      </c>
      <c r="H33">
        <v>14.736346900000001</v>
      </c>
      <c r="I33">
        <v>12.348136200000001</v>
      </c>
      <c r="J33">
        <v>10.743588611</v>
      </c>
      <c r="K33">
        <v>9.1662755399999991</v>
      </c>
      <c r="L33">
        <v>8.6790003130000013</v>
      </c>
      <c r="M33">
        <v>7.5742797949999998</v>
      </c>
      <c r="N33">
        <v>6.9951024300000002</v>
      </c>
      <c r="O33">
        <v>6.243323943</v>
      </c>
      <c r="P33">
        <v>5.6635834090000001</v>
      </c>
      <c r="Q33">
        <v>5.333329505</v>
      </c>
      <c r="R33">
        <v>4.8273636269999995</v>
      </c>
      <c r="S33">
        <v>4.5433543369999994</v>
      </c>
      <c r="T33">
        <v>4.2070781620000002</v>
      </c>
      <c r="U33">
        <v>3.9539794529999996</v>
      </c>
    </row>
    <row r="34" spans="1:21">
      <c r="A34" t="s">
        <v>30</v>
      </c>
      <c r="B34">
        <v>136.48887999999999</v>
      </c>
      <c r="C34">
        <v>87.257399000000007</v>
      </c>
      <c r="D34">
        <v>47.762994999999997</v>
      </c>
      <c r="E34">
        <v>31.535367899999997</v>
      </c>
      <c r="F34">
        <v>22.941343500000002</v>
      </c>
      <c r="G34">
        <v>17.8010208</v>
      </c>
      <c r="H34">
        <v>14.7605609</v>
      </c>
      <c r="I34">
        <v>12.582247300000001</v>
      </c>
      <c r="J34">
        <v>10.816301181</v>
      </c>
      <c r="K34">
        <v>9.1755397009999999</v>
      </c>
      <c r="L34">
        <v>8.6137861529999995</v>
      </c>
      <c r="M34">
        <v>7.6044780680000006</v>
      </c>
      <c r="N34">
        <v>6.9632879800000005</v>
      </c>
      <c r="O34">
        <v>6.2675769680000002</v>
      </c>
      <c r="P34">
        <v>5.8046155630000005</v>
      </c>
      <c r="Q34">
        <v>5.4335432880000001</v>
      </c>
      <c r="R34">
        <v>4.881829389</v>
      </c>
      <c r="S34">
        <v>4.6078351299999998</v>
      </c>
      <c r="T34">
        <v>4.3264909210000004</v>
      </c>
      <c r="U34">
        <v>4.0783279210000005</v>
      </c>
    </row>
    <row r="35" spans="1:21">
      <c r="A35" t="s">
        <v>31</v>
      </c>
      <c r="B35">
        <v>254.74625</v>
      </c>
      <c r="C35">
        <v>179.75934999999998</v>
      </c>
      <c r="D35">
        <v>110.24656999999999</v>
      </c>
      <c r="E35">
        <v>74.934218999999999</v>
      </c>
      <c r="F35">
        <v>56.092683000000001</v>
      </c>
      <c r="G35">
        <v>43.496744999999997</v>
      </c>
      <c r="H35">
        <v>35.938451000000001</v>
      </c>
      <c r="I35">
        <v>29.707114999999998</v>
      </c>
      <c r="J35">
        <v>24.981906000000002</v>
      </c>
      <c r="K35">
        <v>21.189533000000001</v>
      </c>
      <c r="L35">
        <v>20.296748000000001</v>
      </c>
      <c r="M35">
        <v>18.266226</v>
      </c>
      <c r="N35">
        <v>16.318828400000001</v>
      </c>
      <c r="O35">
        <v>14.457669900000001</v>
      </c>
      <c r="P35">
        <v>13.174856800000001</v>
      </c>
      <c r="Q35">
        <v>12.146412000000002</v>
      </c>
      <c r="R35">
        <v>10.9016398</v>
      </c>
      <c r="S35">
        <v>10.2443458</v>
      </c>
      <c r="T35">
        <v>9.4521040000000003</v>
      </c>
      <c r="U35">
        <v>8.9892620999999995</v>
      </c>
    </row>
    <row r="36" spans="1:21">
      <c r="A36" t="s">
        <v>32</v>
      </c>
      <c r="B36">
        <v>260.83194000000003</v>
      </c>
      <c r="C36">
        <v>183.06379000000001</v>
      </c>
      <c r="D36">
        <v>112.93077</v>
      </c>
      <c r="E36">
        <v>77.210989999999995</v>
      </c>
      <c r="F36">
        <v>57.953539999999997</v>
      </c>
      <c r="G36">
        <v>45.549934999999998</v>
      </c>
      <c r="H36">
        <v>37.216241999999994</v>
      </c>
      <c r="I36">
        <v>31.155951999999999</v>
      </c>
      <c r="J36">
        <v>27.119136000000001</v>
      </c>
      <c r="K36">
        <v>23.207819000000001</v>
      </c>
      <c r="L36">
        <v>22.401334000000002</v>
      </c>
      <c r="M36">
        <v>20.312905000000001</v>
      </c>
      <c r="N36">
        <v>18.294217999999997</v>
      </c>
      <c r="O36">
        <v>16.270002999999999</v>
      </c>
      <c r="P36">
        <v>15.088051000000002</v>
      </c>
      <c r="Q36">
        <v>14.056990900000001</v>
      </c>
      <c r="R36">
        <v>12.627239999999999</v>
      </c>
      <c r="S36">
        <v>11.964679400000001</v>
      </c>
      <c r="T36">
        <v>11.144475099999999</v>
      </c>
      <c r="U36">
        <v>10.359322300000001</v>
      </c>
    </row>
    <row r="37" spans="1:21">
      <c r="A37" t="s">
        <v>33</v>
      </c>
      <c r="B37">
        <v>274.42268999999999</v>
      </c>
      <c r="C37">
        <v>192.25407000000001</v>
      </c>
      <c r="D37">
        <v>117.99450000000002</v>
      </c>
      <c r="E37">
        <v>79.107470000000006</v>
      </c>
      <c r="F37">
        <v>58.797782000000005</v>
      </c>
      <c r="G37">
        <v>45.682140000000004</v>
      </c>
      <c r="H37">
        <v>36.938813000000003</v>
      </c>
      <c r="I37">
        <v>30.593988999999997</v>
      </c>
      <c r="J37">
        <v>26.175041</v>
      </c>
      <c r="K37">
        <v>22.226481</v>
      </c>
      <c r="L37">
        <v>21.523387</v>
      </c>
      <c r="M37">
        <v>19.126042000000002</v>
      </c>
      <c r="N37">
        <v>16.966006</v>
      </c>
      <c r="O37">
        <v>15.138380000000002</v>
      </c>
      <c r="P37">
        <v>13.815569</v>
      </c>
      <c r="Q37">
        <v>12.604089</v>
      </c>
      <c r="R37">
        <v>11.317273</v>
      </c>
      <c r="S37">
        <v>10.587076999999999</v>
      </c>
      <c r="T37">
        <v>10.231777000000001</v>
      </c>
      <c r="U37">
        <v>9.6013920000000006</v>
      </c>
    </row>
  </sheetData>
  <phoneticPr fontId="0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6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"AA_amphi_den_1.4A"</f>
        <v>AA_amphi_den_1.4A</v>
      </c>
      <c r="C1" s="1" t="str">
        <f>"AA_amphi_den_2A"</f>
        <v>AA_amphi_den_2A</v>
      </c>
      <c r="D1" s="1" t="str">
        <f>"AA_amphi_den_3A"</f>
        <v>AA_amphi_den_3A</v>
      </c>
      <c r="E1" s="1" t="str">
        <f>"AA_amphi_den_4A"</f>
        <v>AA_amphi_den_4A</v>
      </c>
      <c r="F1" s="1" t="str">
        <f>"AA_amphi_den_5A"</f>
        <v>AA_amphi_den_5A</v>
      </c>
      <c r="G1" s="1" t="str">
        <f>"AA_amphi_den_6A"</f>
        <v>AA_amphi_den_6A</v>
      </c>
      <c r="H1" s="1" t="str">
        <f>"AA_amphi_den_7A"</f>
        <v>AA_amphi_den_7A</v>
      </c>
      <c r="I1" s="1" t="str">
        <f>"AA_amphi_den_8A"</f>
        <v>AA_amphi_den_8A</v>
      </c>
      <c r="J1" s="1" t="str">
        <f>"AA_amphi_den_9A"</f>
        <v>AA_amphi_den_9A</v>
      </c>
      <c r="K1" s="1" t="str">
        <f>"AA_amphi_den_10A"</f>
        <v>AA_amphi_den_10A</v>
      </c>
      <c r="L1" s="1" t="str">
        <f>"AA_amphi_den_11A"</f>
        <v>AA_amphi_den_11A</v>
      </c>
      <c r="M1" s="1" t="str">
        <f>"AA_amphi_den_12A"</f>
        <v>AA_amphi_den_12A</v>
      </c>
      <c r="N1" s="1" t="str">
        <f>"AA_amphi_den_13A"</f>
        <v>AA_amphi_den_13A</v>
      </c>
      <c r="O1" s="1" t="str">
        <f>"AA_amphi_den_14A"</f>
        <v>AA_amphi_den_14A</v>
      </c>
      <c r="P1" s="1" t="str">
        <f>"AA_amphi_den_15A"</f>
        <v>AA_amphi_den_15A</v>
      </c>
      <c r="Q1" s="1" t="str">
        <f>"AA_amphi_den_16A"</f>
        <v>AA_amphi_den_16A</v>
      </c>
      <c r="R1" s="1" t="str">
        <f>"AA_amphi_den_17A"</f>
        <v>AA_amphi_den_17A</v>
      </c>
      <c r="S1" s="1" t="str">
        <f>"AA_amphi_den_18A"</f>
        <v>AA_amphi_den_18A</v>
      </c>
      <c r="T1" s="1" t="str">
        <f>"AA_amphi_den_19A"</f>
        <v>AA_amphi_den_19A</v>
      </c>
      <c r="U1" s="1" t="str">
        <f>"AA_amphi_den_20A"</f>
        <v>AA_amphi_den_20A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1.6147538540846381E-2</v>
      </c>
      <c r="C3">
        <v>1.7135345705141039E-2</v>
      </c>
      <c r="D3">
        <v>1.7809952386206158E-2</v>
      </c>
      <c r="E3">
        <v>1.8034370776965954E-2</v>
      </c>
      <c r="F3">
        <v>1.8461662354251451E-2</v>
      </c>
      <c r="G3">
        <v>1.895887544755093E-2</v>
      </c>
      <c r="H3">
        <v>1.924840688657373E-2</v>
      </c>
      <c r="I3">
        <v>2.0023748482332078E-2</v>
      </c>
      <c r="J3">
        <v>2.0245529720296442E-2</v>
      </c>
      <c r="K3">
        <v>1.9899664027978024E-2</v>
      </c>
      <c r="L3">
        <v>2.1791672474104053E-2</v>
      </c>
      <c r="M3">
        <v>2.1971703983817183E-2</v>
      </c>
      <c r="N3">
        <v>2.2117417781990851E-2</v>
      </c>
      <c r="O3">
        <v>2.2112712393983009E-2</v>
      </c>
      <c r="P3">
        <v>2.2116346923903869E-2</v>
      </c>
      <c r="Q3">
        <v>2.2576362486612656E-2</v>
      </c>
      <c r="R3">
        <v>2.2059255907599329E-2</v>
      </c>
      <c r="S3">
        <v>2.3026000161480903E-2</v>
      </c>
      <c r="T3">
        <v>2.2577128475845559E-2</v>
      </c>
      <c r="U3">
        <v>2.2682042389874025E-2</v>
      </c>
    </row>
    <row r="4" spans="1:24">
      <c r="A4" t="s">
        <v>1</v>
      </c>
      <c r="B4">
        <v>1.467572726480792E-2</v>
      </c>
      <c r="C4">
        <v>1.5893851877327923E-2</v>
      </c>
      <c r="D4">
        <v>1.6828242345031195E-2</v>
      </c>
      <c r="E4">
        <v>1.7088414461251467E-2</v>
      </c>
      <c r="F4">
        <v>1.6989973701898128E-2</v>
      </c>
      <c r="G4">
        <v>1.6984191926635851E-2</v>
      </c>
      <c r="H4">
        <v>1.7206259861021169E-2</v>
      </c>
      <c r="I4">
        <v>1.7320305052731688E-2</v>
      </c>
      <c r="J4">
        <v>1.761551173535485E-2</v>
      </c>
      <c r="K4">
        <v>1.7233369513193226E-2</v>
      </c>
      <c r="L4">
        <v>1.8376754601115538E-2</v>
      </c>
      <c r="M4">
        <v>1.8443133618298021E-2</v>
      </c>
      <c r="N4">
        <v>1.844972259215533E-2</v>
      </c>
      <c r="O4">
        <v>1.8121376561606742E-2</v>
      </c>
      <c r="P4">
        <v>1.8258784869078216E-2</v>
      </c>
      <c r="Q4">
        <v>1.8645880336021572E-2</v>
      </c>
      <c r="R4">
        <v>1.8498568231996967E-2</v>
      </c>
      <c r="S4">
        <v>1.8491129005549691E-2</v>
      </c>
      <c r="T4">
        <v>1.8393809749218386E-2</v>
      </c>
      <c r="U4">
        <v>1.8459507121940222E-2</v>
      </c>
    </row>
    <row r="5" spans="1:24">
      <c r="A5" t="s">
        <v>2</v>
      </c>
      <c r="B5">
        <v>1.827290434968722E-2</v>
      </c>
      <c r="C5">
        <v>2.0413850678832789E-2</v>
      </c>
      <c r="D5">
        <v>2.1398430618364515E-2</v>
      </c>
      <c r="E5">
        <v>2.1816281345087746E-2</v>
      </c>
      <c r="F5">
        <v>2.2295947527420187E-2</v>
      </c>
      <c r="G5">
        <v>2.2541554008373526E-2</v>
      </c>
      <c r="H5">
        <v>2.2945890312082853E-2</v>
      </c>
      <c r="I5">
        <v>2.3442053106919058E-2</v>
      </c>
      <c r="J5">
        <v>2.3864367280584067E-2</v>
      </c>
      <c r="K5">
        <v>2.3590909643931689E-2</v>
      </c>
      <c r="L5">
        <v>2.5546630031269835E-2</v>
      </c>
      <c r="M5">
        <v>2.5764701101323756E-2</v>
      </c>
      <c r="N5">
        <v>2.598547701380528E-2</v>
      </c>
      <c r="O5">
        <v>2.6005817293120945E-2</v>
      </c>
      <c r="P5">
        <v>2.6426815406571106E-2</v>
      </c>
      <c r="Q5">
        <v>2.6862441636671872E-2</v>
      </c>
      <c r="R5">
        <v>2.5919626547433725E-2</v>
      </c>
      <c r="S5">
        <v>2.6316212340045154E-2</v>
      </c>
      <c r="T5">
        <v>2.610274403295126E-2</v>
      </c>
      <c r="U5">
        <v>2.6099447836695936E-2</v>
      </c>
    </row>
    <row r="6" spans="1:24">
      <c r="A6" t="s">
        <v>3</v>
      </c>
      <c r="B6">
        <v>1.1705576071975188E-2</v>
      </c>
      <c r="C6">
        <v>1.4386184636789961E-2</v>
      </c>
      <c r="D6">
        <v>1.4231088138645844E-2</v>
      </c>
      <c r="E6">
        <v>1.4690399029500109E-2</v>
      </c>
      <c r="F6">
        <v>1.4944965069275609E-2</v>
      </c>
      <c r="G6">
        <v>1.4977766089722528E-2</v>
      </c>
      <c r="H6">
        <v>1.4961889730453204E-2</v>
      </c>
      <c r="I6">
        <v>1.485174807328141E-2</v>
      </c>
      <c r="J6">
        <v>1.5484404037692976E-2</v>
      </c>
      <c r="K6">
        <v>1.5366334317412609E-2</v>
      </c>
      <c r="L6">
        <v>1.6822575898430239E-2</v>
      </c>
      <c r="M6">
        <v>1.7031046852952838E-2</v>
      </c>
      <c r="N6">
        <v>1.6831904528992733E-2</v>
      </c>
      <c r="O6">
        <v>1.660571427252391E-2</v>
      </c>
      <c r="P6">
        <v>1.6643055203801289E-2</v>
      </c>
      <c r="Q6">
        <v>1.6446877942346168E-2</v>
      </c>
      <c r="R6">
        <v>1.6480416519277084E-2</v>
      </c>
      <c r="S6">
        <v>1.6597346460416443E-2</v>
      </c>
      <c r="T6">
        <v>1.6783578688902807E-2</v>
      </c>
      <c r="U6">
        <v>1.6919506997246658E-2</v>
      </c>
    </row>
    <row r="7" spans="1:24">
      <c r="A7" t="s">
        <v>4</v>
      </c>
      <c r="B7">
        <v>1.2803826102329597E-2</v>
      </c>
      <c r="C7">
        <v>1.5356328034361651E-2</v>
      </c>
      <c r="D7">
        <v>1.55980532014388E-2</v>
      </c>
      <c r="E7">
        <v>1.5895297124675745E-2</v>
      </c>
      <c r="F7">
        <v>1.6405992490533688E-2</v>
      </c>
      <c r="G7">
        <v>1.6246658104786368E-2</v>
      </c>
      <c r="H7">
        <v>1.6236810011872795E-2</v>
      </c>
      <c r="I7">
        <v>1.6454197083738478E-2</v>
      </c>
      <c r="J7">
        <v>1.7062824092652085E-2</v>
      </c>
      <c r="K7">
        <v>1.7135492743035222E-2</v>
      </c>
      <c r="L7">
        <v>1.8854859077073755E-2</v>
      </c>
      <c r="M7">
        <v>1.9336501151019623E-2</v>
      </c>
      <c r="N7">
        <v>1.9478400555234712E-2</v>
      </c>
      <c r="O7">
        <v>1.9099874572378262E-2</v>
      </c>
      <c r="P7">
        <v>1.8803179105063621E-2</v>
      </c>
      <c r="Q7">
        <v>1.8765216610308416E-2</v>
      </c>
      <c r="R7">
        <v>1.8872716157232662E-2</v>
      </c>
      <c r="S7">
        <v>1.9037325639113475E-2</v>
      </c>
      <c r="T7">
        <v>1.8980459274937158E-2</v>
      </c>
      <c r="U7">
        <v>1.8974349029140154E-2</v>
      </c>
    </row>
    <row r="8" spans="1:24">
      <c r="A8" t="s">
        <v>5</v>
      </c>
      <c r="B8">
        <v>1.2470104230578831E-2</v>
      </c>
      <c r="C8">
        <v>1.5025701077533119E-2</v>
      </c>
      <c r="D8">
        <v>1.5254388302688188E-2</v>
      </c>
      <c r="E8">
        <v>1.532670989862025E-2</v>
      </c>
      <c r="F8">
        <v>1.5645027390188165E-2</v>
      </c>
      <c r="G8">
        <v>1.5652847018741478E-2</v>
      </c>
      <c r="H8">
        <v>1.5497934862837584E-2</v>
      </c>
      <c r="I8">
        <v>1.525367501094684E-2</v>
      </c>
      <c r="J8">
        <v>1.5755998038342146E-2</v>
      </c>
      <c r="K8">
        <v>1.5963510294813781E-2</v>
      </c>
      <c r="L8">
        <v>1.7833159166378593E-2</v>
      </c>
      <c r="M8">
        <v>1.7762590419760332E-2</v>
      </c>
      <c r="N8">
        <v>1.7515612472696528E-2</v>
      </c>
      <c r="O8">
        <v>1.7279938196164839E-2</v>
      </c>
      <c r="P8">
        <v>1.6896227587434583E-2</v>
      </c>
      <c r="Q8">
        <v>1.7022674503256618E-2</v>
      </c>
      <c r="R8">
        <v>1.6973722801792598E-2</v>
      </c>
      <c r="S8">
        <v>1.6810784284774297E-2</v>
      </c>
      <c r="T8">
        <v>1.6961880160645336E-2</v>
      </c>
      <c r="U8">
        <v>1.6981137747056674E-2</v>
      </c>
    </row>
    <row r="9" spans="1:24">
      <c r="A9" t="s">
        <v>6</v>
      </c>
      <c r="B9">
        <v>1.2539364484571084E-2</v>
      </c>
      <c r="C9">
        <v>1.5187874508259347E-2</v>
      </c>
      <c r="D9">
        <v>1.5656418105746087E-2</v>
      </c>
      <c r="E9">
        <v>1.573770852412994E-2</v>
      </c>
      <c r="F9">
        <v>1.5896047010918915E-2</v>
      </c>
      <c r="G9">
        <v>1.5799420793323166E-2</v>
      </c>
      <c r="H9">
        <v>1.5876250100186125E-2</v>
      </c>
      <c r="I9">
        <v>1.5716409693045011E-2</v>
      </c>
      <c r="J9">
        <v>1.6112414465104693E-2</v>
      </c>
      <c r="K9">
        <v>1.5849332787000046E-2</v>
      </c>
      <c r="L9">
        <v>1.7355090454083111E-2</v>
      </c>
      <c r="M9">
        <v>1.777133434639603E-2</v>
      </c>
      <c r="N9">
        <v>1.7511684579486118E-2</v>
      </c>
      <c r="O9">
        <v>1.6889259330717544E-2</v>
      </c>
      <c r="P9">
        <v>1.6830133813911928E-2</v>
      </c>
      <c r="Q9">
        <v>1.6602318419080338E-2</v>
      </c>
      <c r="R9">
        <v>1.6517183376076799E-2</v>
      </c>
      <c r="S9">
        <v>1.655876893586538E-2</v>
      </c>
      <c r="T9">
        <v>1.6490752122173491E-2</v>
      </c>
      <c r="U9">
        <v>1.6423539254325766E-2</v>
      </c>
    </row>
    <row r="10" spans="1:24">
      <c r="A10" t="s">
        <v>7</v>
      </c>
      <c r="B10">
        <v>1.360786656759916E-2</v>
      </c>
      <c r="C10">
        <v>1.6289776306246544E-2</v>
      </c>
      <c r="D10">
        <v>1.6732857999699657E-2</v>
      </c>
      <c r="E10">
        <v>1.7455681375588991E-2</v>
      </c>
      <c r="F10">
        <v>1.7932683864159964E-2</v>
      </c>
      <c r="G10">
        <v>1.829920951782793E-2</v>
      </c>
      <c r="H10">
        <v>1.8745187531612226E-2</v>
      </c>
      <c r="I10">
        <v>1.8711020709188696E-2</v>
      </c>
      <c r="J10">
        <v>1.929876774712028E-2</v>
      </c>
      <c r="K10">
        <v>1.9432296655840682E-2</v>
      </c>
      <c r="L10">
        <v>2.1574636037395577E-2</v>
      </c>
      <c r="M10">
        <v>2.1584621049059997E-2</v>
      </c>
      <c r="N10">
        <v>2.1524695951686344E-2</v>
      </c>
      <c r="O10">
        <v>2.0940509404582808E-2</v>
      </c>
      <c r="P10">
        <v>2.1291117883122948E-2</v>
      </c>
      <c r="Q10">
        <v>2.1258703277733153E-2</v>
      </c>
      <c r="R10">
        <v>2.0640025264210896E-2</v>
      </c>
      <c r="S10">
        <v>2.1048485783754907E-2</v>
      </c>
      <c r="T10">
        <v>2.0896237007738166E-2</v>
      </c>
      <c r="U10">
        <v>2.1613242487255945E-2</v>
      </c>
    </row>
    <row r="11" spans="1:24">
      <c r="A11" t="s">
        <v>8</v>
      </c>
      <c r="B11">
        <v>1.3418013268905774E-2</v>
      </c>
      <c r="C11">
        <v>1.6170498956790815E-2</v>
      </c>
      <c r="D11">
        <v>1.6758212922839345E-2</v>
      </c>
      <c r="E11">
        <v>1.7246862825790264E-2</v>
      </c>
      <c r="F11">
        <v>1.7729463924174578E-2</v>
      </c>
      <c r="G11">
        <v>1.8265950949585566E-2</v>
      </c>
      <c r="H11">
        <v>1.8781739062418999E-2</v>
      </c>
      <c r="I11">
        <v>1.8745655771342438E-2</v>
      </c>
      <c r="J11">
        <v>1.9188730287669441E-2</v>
      </c>
      <c r="K11">
        <v>1.8882278056712502E-2</v>
      </c>
      <c r="L11">
        <v>2.1682982266544974E-2</v>
      </c>
      <c r="M11">
        <v>2.2151097559438841E-2</v>
      </c>
      <c r="N11">
        <v>2.2322497124249299E-2</v>
      </c>
      <c r="O11">
        <v>2.213093152201526E-2</v>
      </c>
      <c r="P11">
        <v>2.2232560229044681E-2</v>
      </c>
      <c r="Q11">
        <v>2.1986088662817631E-2</v>
      </c>
      <c r="R11">
        <v>2.1646151915592337E-2</v>
      </c>
      <c r="S11">
        <v>2.1913682002554946E-2</v>
      </c>
      <c r="T11">
        <v>2.2284039749473575E-2</v>
      </c>
      <c r="U11">
        <v>2.2156139619827483E-2</v>
      </c>
    </row>
    <row r="12" spans="1:24">
      <c r="A12" t="s">
        <v>9</v>
      </c>
      <c r="B12">
        <v>1.391778207698301E-2</v>
      </c>
      <c r="C12">
        <v>1.5323721611453209E-2</v>
      </c>
      <c r="D12">
        <v>1.5763349553113239E-2</v>
      </c>
      <c r="E12">
        <v>1.5570872756729214E-2</v>
      </c>
      <c r="F12">
        <v>1.5364514790123912E-2</v>
      </c>
      <c r="G12">
        <v>1.5881640148011102E-2</v>
      </c>
      <c r="H12">
        <v>1.5962408324160661E-2</v>
      </c>
      <c r="I12">
        <v>1.5742138089746366E-2</v>
      </c>
      <c r="J12">
        <v>1.5860266485301189E-2</v>
      </c>
      <c r="K12">
        <v>1.5661628292021609E-2</v>
      </c>
      <c r="L12">
        <v>1.698922204219876E-2</v>
      </c>
      <c r="M12">
        <v>1.7596035089571159E-2</v>
      </c>
      <c r="N12">
        <v>1.7184497819001242E-2</v>
      </c>
      <c r="O12">
        <v>1.6992478847914591E-2</v>
      </c>
      <c r="P12">
        <v>1.7170898304695439E-2</v>
      </c>
      <c r="Q12">
        <v>1.7137513024644505E-2</v>
      </c>
      <c r="R12">
        <v>1.6448556926648598E-2</v>
      </c>
      <c r="S12">
        <v>1.7086158153733214E-2</v>
      </c>
      <c r="T12">
        <v>1.7070020267358228E-2</v>
      </c>
      <c r="U12">
        <v>1.7125777897688918E-2</v>
      </c>
    </row>
    <row r="13" spans="1:24">
      <c r="A13" t="s">
        <v>10</v>
      </c>
      <c r="B13">
        <v>1.3687653162380161E-2</v>
      </c>
      <c r="C13">
        <v>1.5347078260978612E-2</v>
      </c>
      <c r="D13">
        <v>1.5437256980087364E-2</v>
      </c>
      <c r="E13">
        <v>1.5498319429520577E-2</v>
      </c>
      <c r="F13">
        <v>1.5774941908150167E-2</v>
      </c>
      <c r="G13">
        <v>1.5550329875291657E-2</v>
      </c>
      <c r="H13">
        <v>1.5783662394175803E-2</v>
      </c>
      <c r="I13">
        <v>1.560416164833844E-2</v>
      </c>
      <c r="J13">
        <v>1.5692088411771173E-2</v>
      </c>
      <c r="K13">
        <v>1.5608839688386424E-2</v>
      </c>
      <c r="L13">
        <v>1.6838828675518017E-2</v>
      </c>
      <c r="M13">
        <v>1.7008775026236718E-2</v>
      </c>
      <c r="N13">
        <v>1.6868406835204807E-2</v>
      </c>
      <c r="O13">
        <v>1.7007039666791408E-2</v>
      </c>
      <c r="P13">
        <v>1.6593286046339903E-2</v>
      </c>
      <c r="Q13">
        <v>1.6871335452622555E-2</v>
      </c>
      <c r="R13">
        <v>1.6086967469084765E-2</v>
      </c>
      <c r="S13">
        <v>1.6271555818595365E-2</v>
      </c>
      <c r="T13">
        <v>1.6582722008089436E-2</v>
      </c>
      <c r="U13">
        <v>1.6545082378129121E-2</v>
      </c>
    </row>
    <row r="14" spans="1:24">
      <c r="A14" t="s">
        <v>11</v>
      </c>
      <c r="B14">
        <v>1.4190089864408633E-2</v>
      </c>
      <c r="C14">
        <v>1.5893619448757432E-2</v>
      </c>
      <c r="D14">
        <v>1.6094201792198979E-2</v>
      </c>
      <c r="E14">
        <v>1.6320167302124759E-2</v>
      </c>
      <c r="F14">
        <v>1.6552849257330315E-2</v>
      </c>
      <c r="G14">
        <v>1.6556043785170629E-2</v>
      </c>
      <c r="H14">
        <v>1.6727632417263664E-2</v>
      </c>
      <c r="I14">
        <v>1.6711379822360053E-2</v>
      </c>
      <c r="J14">
        <v>1.6751632088601535E-2</v>
      </c>
      <c r="K14">
        <v>1.6479953567782528E-2</v>
      </c>
      <c r="L14">
        <v>1.8108710660139162E-2</v>
      </c>
      <c r="M14">
        <v>1.858248664569076E-2</v>
      </c>
      <c r="N14">
        <v>1.8547763183938158E-2</v>
      </c>
      <c r="O14">
        <v>1.876138893565037E-2</v>
      </c>
      <c r="P14">
        <v>1.9277015250107936E-2</v>
      </c>
      <c r="Q14">
        <v>1.9271872909890034E-2</v>
      </c>
      <c r="R14">
        <v>1.8452967399439482E-2</v>
      </c>
      <c r="S14">
        <v>1.8562191214230507E-2</v>
      </c>
      <c r="T14">
        <v>1.8409623528493839E-2</v>
      </c>
      <c r="U14">
        <v>1.8652918600089944E-2</v>
      </c>
    </row>
    <row r="15" spans="1:24">
      <c r="A15" t="s">
        <v>12</v>
      </c>
      <c r="B15">
        <v>1.4581140018467801E-2</v>
      </c>
      <c r="C15">
        <v>1.5318817688051203E-2</v>
      </c>
      <c r="D15">
        <v>1.5423564153703421E-2</v>
      </c>
      <c r="E15">
        <v>1.5002245897742338E-2</v>
      </c>
      <c r="F15">
        <v>1.4813057138227047E-2</v>
      </c>
      <c r="G15">
        <v>1.46772359994329E-2</v>
      </c>
      <c r="H15">
        <v>1.4730704626183937E-2</v>
      </c>
      <c r="I15">
        <v>1.4761714856356269E-2</v>
      </c>
      <c r="J15">
        <v>1.4967888159035587E-2</v>
      </c>
      <c r="K15">
        <v>1.4762777631224301E-2</v>
      </c>
      <c r="L15">
        <v>1.6233220111630593E-2</v>
      </c>
      <c r="M15">
        <v>1.6639171773217772E-2</v>
      </c>
      <c r="N15">
        <v>1.6712211070013434E-2</v>
      </c>
      <c r="O15">
        <v>1.6498486050763976E-2</v>
      </c>
      <c r="P15">
        <v>1.7140441840972496E-2</v>
      </c>
      <c r="Q15">
        <v>1.7230039110144101E-2</v>
      </c>
      <c r="R15">
        <v>1.6682733383039612E-2</v>
      </c>
      <c r="S15">
        <v>1.6783978696097414E-2</v>
      </c>
      <c r="T15">
        <v>1.6562112190797947E-2</v>
      </c>
      <c r="U15">
        <v>1.6387022012861383E-2</v>
      </c>
    </row>
    <row r="16" spans="1:24">
      <c r="A16" t="s">
        <v>13</v>
      </c>
      <c r="B16">
        <v>1.358733678303619E-2</v>
      </c>
      <c r="C16">
        <v>1.7073024467757679E-2</v>
      </c>
      <c r="D16">
        <v>1.8809631741874236E-2</v>
      </c>
      <c r="E16">
        <v>1.9261358397485617E-2</v>
      </c>
      <c r="F16">
        <v>1.9656777490465623E-2</v>
      </c>
      <c r="G16">
        <v>1.9914195955399158E-2</v>
      </c>
      <c r="H16">
        <v>2.0561522668947816E-2</v>
      </c>
      <c r="I16">
        <v>2.0730177805921398E-2</v>
      </c>
      <c r="J16">
        <v>2.104632097751168E-2</v>
      </c>
      <c r="K16">
        <v>2.0502585259304339E-2</v>
      </c>
      <c r="L16">
        <v>2.2562888459618818E-2</v>
      </c>
      <c r="M16">
        <v>2.296135635335364E-2</v>
      </c>
      <c r="N16">
        <v>2.2905555871766448E-2</v>
      </c>
      <c r="O16">
        <v>2.2526462294373061E-2</v>
      </c>
      <c r="P16">
        <v>2.2935474654833872E-2</v>
      </c>
      <c r="Q16">
        <v>2.3192338935583499E-2</v>
      </c>
      <c r="R16">
        <v>2.2775519567722592E-2</v>
      </c>
      <c r="S16">
        <v>2.2888292388809794E-2</v>
      </c>
      <c r="T16">
        <v>2.2950990140334419E-2</v>
      </c>
      <c r="U16">
        <v>2.3015052834589825E-2</v>
      </c>
    </row>
    <row r="17" spans="1:21">
      <c r="A17" t="s">
        <v>14</v>
      </c>
      <c r="B17">
        <v>1.33218314614552E-2</v>
      </c>
      <c r="C17">
        <v>1.6959551991533695E-2</v>
      </c>
      <c r="D17">
        <v>1.8783499935468562E-2</v>
      </c>
      <c r="E17">
        <v>1.9276967194045043E-2</v>
      </c>
      <c r="F17">
        <v>1.981311304663733E-2</v>
      </c>
      <c r="G17">
        <v>2.0023967195447787E-2</v>
      </c>
      <c r="H17">
        <v>2.0275705972939342E-2</v>
      </c>
      <c r="I17">
        <v>2.0416227969821454E-2</v>
      </c>
      <c r="J17">
        <v>2.1022943469137381E-2</v>
      </c>
      <c r="K17">
        <v>2.0619757737538654E-2</v>
      </c>
      <c r="L17">
        <v>2.2403364920083695E-2</v>
      </c>
      <c r="M17">
        <v>2.2730426122549111E-2</v>
      </c>
      <c r="N17">
        <v>2.2635302262249069E-2</v>
      </c>
      <c r="O17">
        <v>2.2276545722881121E-2</v>
      </c>
      <c r="P17">
        <v>2.2654622894724447E-2</v>
      </c>
      <c r="Q17">
        <v>2.2973858063356747E-2</v>
      </c>
      <c r="R17">
        <v>2.2457098801751819E-2</v>
      </c>
      <c r="S17">
        <v>2.2542689282829261E-2</v>
      </c>
      <c r="T17">
        <v>2.2541587645321808E-2</v>
      </c>
      <c r="U17">
        <v>2.2162848283492305E-2</v>
      </c>
    </row>
    <row r="18" spans="1:21">
      <c r="A18" t="s">
        <v>15</v>
      </c>
      <c r="B18">
        <v>1.3420526324292012E-2</v>
      </c>
      <c r="C18">
        <v>1.6831732043749093E-2</v>
      </c>
      <c r="D18">
        <v>1.8675851902667698E-2</v>
      </c>
      <c r="E18">
        <v>1.9366353573171534E-2</v>
      </c>
      <c r="F18">
        <v>1.9673764719686265E-2</v>
      </c>
      <c r="G18">
        <v>1.9671664343930237E-2</v>
      </c>
      <c r="H18">
        <v>2.0157234251843414E-2</v>
      </c>
      <c r="I18">
        <v>2.0491915539662016E-2</v>
      </c>
      <c r="J18">
        <v>2.0704204471124251E-2</v>
      </c>
      <c r="K18">
        <v>2.0371866440534726E-2</v>
      </c>
      <c r="L18">
        <v>2.226810782481119E-2</v>
      </c>
      <c r="M18">
        <v>2.2393966861879715E-2</v>
      </c>
      <c r="N18">
        <v>2.2464808827397601E-2</v>
      </c>
      <c r="O18">
        <v>2.2325602136909477E-2</v>
      </c>
      <c r="P18">
        <v>2.2391173604667389E-2</v>
      </c>
      <c r="Q18">
        <v>2.270966107178916E-2</v>
      </c>
      <c r="R18">
        <v>2.2009816992633286E-2</v>
      </c>
      <c r="S18">
        <v>2.2280340241651899E-2</v>
      </c>
      <c r="T18">
        <v>2.2301599781983233E-2</v>
      </c>
      <c r="U18">
        <v>2.2427294184965314E-2</v>
      </c>
    </row>
    <row r="19" spans="1:21">
      <c r="A19" t="s">
        <v>16</v>
      </c>
      <c r="B19">
        <v>1.5584844137642134E-2</v>
      </c>
      <c r="C19">
        <v>1.7603844902076053E-2</v>
      </c>
      <c r="D19">
        <v>1.8989584250707507E-2</v>
      </c>
      <c r="E19">
        <v>1.9197258497236358E-2</v>
      </c>
      <c r="F19">
        <v>1.9564564296272787E-2</v>
      </c>
      <c r="G19">
        <v>1.9766843122999603E-2</v>
      </c>
      <c r="H19">
        <v>2.0015417858036427E-2</v>
      </c>
      <c r="I19">
        <v>2.0116475114645798E-2</v>
      </c>
      <c r="J19">
        <v>2.0518112050216291E-2</v>
      </c>
      <c r="K19">
        <v>2.0035841957391203E-2</v>
      </c>
      <c r="L19">
        <v>2.1768824896801525E-2</v>
      </c>
      <c r="M19">
        <v>2.216070870844386E-2</v>
      </c>
      <c r="N19">
        <v>2.2127253471279782E-2</v>
      </c>
      <c r="O19">
        <v>2.1960032940509099E-2</v>
      </c>
      <c r="P19">
        <v>2.2079047146130227E-2</v>
      </c>
      <c r="Q19">
        <v>2.2461851170638966E-2</v>
      </c>
      <c r="R19">
        <v>2.1858627185511598E-2</v>
      </c>
      <c r="S19">
        <v>2.1917606948367387E-2</v>
      </c>
      <c r="T19">
        <v>2.1996434754430128E-2</v>
      </c>
      <c r="U19">
        <v>2.1826944715554127E-2</v>
      </c>
    </row>
    <row r="20" spans="1:21">
      <c r="A20" t="s">
        <v>17</v>
      </c>
      <c r="B20">
        <v>1.5907949431095161E-2</v>
      </c>
      <c r="C20">
        <v>1.7748618605817994E-2</v>
      </c>
      <c r="D20">
        <v>1.92611496863405E-2</v>
      </c>
      <c r="E20">
        <v>1.945582569558519E-2</v>
      </c>
      <c r="F20">
        <v>1.9798095294583838E-2</v>
      </c>
      <c r="G20">
        <v>1.9998866455928719E-2</v>
      </c>
      <c r="H20">
        <v>2.0298232113021383E-2</v>
      </c>
      <c r="I20">
        <v>2.0345489474004073E-2</v>
      </c>
      <c r="J20">
        <v>2.0705348151198212E-2</v>
      </c>
      <c r="K20">
        <v>2.0438421926279274E-2</v>
      </c>
      <c r="L20">
        <v>2.2092581718737372E-2</v>
      </c>
      <c r="M20">
        <v>2.2073236419386182E-2</v>
      </c>
      <c r="N20">
        <v>2.1875851273611233E-2</v>
      </c>
      <c r="O20">
        <v>2.1655862851697856E-2</v>
      </c>
      <c r="P20">
        <v>2.1872257525963355E-2</v>
      </c>
      <c r="Q20">
        <v>2.181960583212476E-2</v>
      </c>
      <c r="R20">
        <v>2.1396265849122301E-2</v>
      </c>
      <c r="S20">
        <v>2.1477961885741439E-2</v>
      </c>
      <c r="T20">
        <v>2.12422292550664E-2</v>
      </c>
      <c r="U20">
        <v>2.1211180997997178E-2</v>
      </c>
    </row>
    <row r="21" spans="1:21">
      <c r="A21" t="s">
        <v>18</v>
      </c>
      <c r="B21">
        <v>1.5782849671716455E-2</v>
      </c>
      <c r="C21">
        <v>1.758262208702226E-2</v>
      </c>
      <c r="D21">
        <v>1.9115988852223154E-2</v>
      </c>
      <c r="E21">
        <v>1.9384714718170392E-2</v>
      </c>
      <c r="F21">
        <v>1.9810261252952988E-2</v>
      </c>
      <c r="G21">
        <v>1.9854614380240325E-2</v>
      </c>
      <c r="H21">
        <v>2.0283844787829512E-2</v>
      </c>
      <c r="I21">
        <v>2.0254742564268055E-2</v>
      </c>
      <c r="J21">
        <v>2.0624364671625029E-2</v>
      </c>
      <c r="K21">
        <v>2.0144756641849511E-2</v>
      </c>
      <c r="L21">
        <v>2.1715786309255091E-2</v>
      </c>
      <c r="M21">
        <v>2.1945523498789466E-2</v>
      </c>
      <c r="N21">
        <v>2.190166713660173E-2</v>
      </c>
      <c r="O21">
        <v>2.1779142506128595E-2</v>
      </c>
      <c r="P21">
        <v>2.1920439202359084E-2</v>
      </c>
      <c r="Q21">
        <v>2.1975126400058467E-2</v>
      </c>
      <c r="R21">
        <v>2.1368225084693819E-2</v>
      </c>
      <c r="S21">
        <v>2.1638141022541347E-2</v>
      </c>
      <c r="T21">
        <v>2.1566255102704664E-2</v>
      </c>
      <c r="U21">
        <v>2.1317605901316025E-2</v>
      </c>
    </row>
    <row r="22" spans="1:21">
      <c r="A22" t="s">
        <v>19</v>
      </c>
      <c r="B22">
        <v>1.5823268556144573E-2</v>
      </c>
      <c r="C22">
        <v>1.7725923151135758E-2</v>
      </c>
      <c r="D22">
        <v>1.9171666765531697E-2</v>
      </c>
      <c r="E22">
        <v>1.9293005554888023E-2</v>
      </c>
      <c r="F22">
        <v>1.9544141457741557E-2</v>
      </c>
      <c r="G22">
        <v>1.9844188087854125E-2</v>
      </c>
      <c r="H22">
        <v>2.0152921382715568E-2</v>
      </c>
      <c r="I22">
        <v>2.0359569573290735E-2</v>
      </c>
      <c r="J22">
        <v>2.0684973700173234E-2</v>
      </c>
      <c r="K22">
        <v>2.0313773275707905E-2</v>
      </c>
      <c r="L22">
        <v>2.1937885645346423E-2</v>
      </c>
      <c r="M22">
        <v>2.2059920682334564E-2</v>
      </c>
      <c r="N22">
        <v>2.1771941688941546E-2</v>
      </c>
      <c r="O22">
        <v>2.1561494545792731E-2</v>
      </c>
      <c r="P22">
        <v>2.1735006326960689E-2</v>
      </c>
      <c r="Q22">
        <v>2.1888632530565642E-2</v>
      </c>
      <c r="R22">
        <v>2.1350723953304715E-2</v>
      </c>
      <c r="S22">
        <v>2.1441451258129119E-2</v>
      </c>
      <c r="T22">
        <v>2.1510406829516427E-2</v>
      </c>
      <c r="U22">
        <v>2.1360024033034452E-2</v>
      </c>
    </row>
    <row r="23" spans="1:21">
      <c r="A23" t="s">
        <v>20</v>
      </c>
      <c r="B23">
        <v>1.6029088569405752E-2</v>
      </c>
      <c r="C23">
        <v>1.787267969712171E-2</v>
      </c>
      <c r="D23">
        <v>1.9416235116717664E-2</v>
      </c>
      <c r="E23">
        <v>1.9617086371407959E-2</v>
      </c>
      <c r="F23">
        <v>1.9914838208075745E-2</v>
      </c>
      <c r="G23">
        <v>2.0090852247229868E-2</v>
      </c>
      <c r="H23">
        <v>2.0363829467064776E-2</v>
      </c>
      <c r="I23">
        <v>2.0664675982185878E-2</v>
      </c>
      <c r="J23">
        <v>2.0922574175272872E-2</v>
      </c>
      <c r="K23">
        <v>2.047637492381579E-2</v>
      </c>
      <c r="L23">
        <v>2.1920329126583413E-2</v>
      </c>
      <c r="M23">
        <v>2.2134911872082018E-2</v>
      </c>
      <c r="N23">
        <v>2.2033055918128111E-2</v>
      </c>
      <c r="O23">
        <v>2.1804948806830492E-2</v>
      </c>
      <c r="P23">
        <v>2.1833304755295099E-2</v>
      </c>
      <c r="Q23">
        <v>2.2035648800837748E-2</v>
      </c>
      <c r="R23">
        <v>2.120716689203074E-2</v>
      </c>
      <c r="S23">
        <v>2.1346069863405284E-2</v>
      </c>
      <c r="T23">
        <v>2.1406946297485987E-2</v>
      </c>
      <c r="U23">
        <v>2.1218337885814384E-2</v>
      </c>
    </row>
    <row r="24" spans="1:21">
      <c r="A24" t="s">
        <v>21</v>
      </c>
      <c r="B24">
        <v>1.578631636867027E-2</v>
      </c>
      <c r="C24">
        <v>1.7608032576782062E-2</v>
      </c>
      <c r="D24">
        <v>1.9062473311527491E-2</v>
      </c>
      <c r="E24">
        <v>1.9213719666042364E-2</v>
      </c>
      <c r="F24">
        <v>1.9610123673549574E-2</v>
      </c>
      <c r="G24">
        <v>1.9790048178775367E-2</v>
      </c>
      <c r="H24">
        <v>1.9992487676621984E-2</v>
      </c>
      <c r="I24">
        <v>2.0091492633647214E-2</v>
      </c>
      <c r="J24">
        <v>2.0427793148026362E-2</v>
      </c>
      <c r="K24">
        <v>2.0000038746658483E-2</v>
      </c>
      <c r="L24">
        <v>2.1781449927603672E-2</v>
      </c>
      <c r="M24">
        <v>2.1964430145594349E-2</v>
      </c>
      <c r="N24">
        <v>2.168422522082069E-2</v>
      </c>
      <c r="O24">
        <v>2.1524972394691318E-2</v>
      </c>
      <c r="P24">
        <v>2.1761844249754147E-2</v>
      </c>
      <c r="Q24">
        <v>2.1954361833288388E-2</v>
      </c>
      <c r="R24">
        <v>2.1195574608051024E-2</v>
      </c>
      <c r="S24">
        <v>2.1444914225680414E-2</v>
      </c>
      <c r="T24">
        <v>2.1178312051027368E-2</v>
      </c>
      <c r="U24">
        <v>2.1047614441840799E-2</v>
      </c>
    </row>
    <row r="25" spans="1:21">
      <c r="A25" t="s">
        <v>34</v>
      </c>
      <c r="B25">
        <v>1.5813598551954796E-2</v>
      </c>
      <c r="C25">
        <v>1.7591271271902634E-2</v>
      </c>
      <c r="D25">
        <v>1.9067620699038165E-2</v>
      </c>
      <c r="E25">
        <v>1.9459093492891762E-2</v>
      </c>
      <c r="F25">
        <v>1.9693952336916488E-2</v>
      </c>
      <c r="G25">
        <v>1.9978486487527876E-2</v>
      </c>
      <c r="H25">
        <v>2.0322006753783553E-2</v>
      </c>
      <c r="I25">
        <v>2.0478682533562987E-2</v>
      </c>
      <c r="J25">
        <v>2.0785260291088965E-2</v>
      </c>
      <c r="K25">
        <v>2.0385615145228055E-2</v>
      </c>
      <c r="L25">
        <v>2.2055801894687449E-2</v>
      </c>
      <c r="M25">
        <v>2.2006326550431662E-2</v>
      </c>
      <c r="N25">
        <v>2.1887336629553895E-2</v>
      </c>
      <c r="O25">
        <v>2.1855478058650814E-2</v>
      </c>
      <c r="P25">
        <v>2.1961367415083932E-2</v>
      </c>
      <c r="Q25">
        <v>2.1972596023574712E-2</v>
      </c>
      <c r="R25">
        <v>2.1374748058512378E-2</v>
      </c>
      <c r="S25">
        <v>2.1314240699481943E-2</v>
      </c>
      <c r="T25">
        <v>2.1170480139024419E-2</v>
      </c>
      <c r="U25">
        <v>2.1204330147664888E-2</v>
      </c>
    </row>
    <row r="26" spans="1:21">
      <c r="A26" t="s">
        <v>22</v>
      </c>
      <c r="B26">
        <v>1.3258625347407852E-2</v>
      </c>
      <c r="C26">
        <v>1.7088098318207828E-2</v>
      </c>
      <c r="D26">
        <v>1.9432612895974168E-2</v>
      </c>
      <c r="E26">
        <v>2.0075938832598856E-2</v>
      </c>
      <c r="F26">
        <v>2.081086413992498E-2</v>
      </c>
      <c r="G26">
        <v>2.1246199193362118E-2</v>
      </c>
      <c r="H26">
        <v>2.1694860451979037E-2</v>
      </c>
      <c r="I26">
        <v>2.1974122840210986E-2</v>
      </c>
      <c r="J26">
        <v>2.225780726270199E-2</v>
      </c>
      <c r="K26">
        <v>2.1977514420654147E-2</v>
      </c>
      <c r="L26">
        <v>2.3762706589932705E-2</v>
      </c>
      <c r="M26">
        <v>2.3960505522125669E-2</v>
      </c>
      <c r="N26">
        <v>2.402642417950282E-2</v>
      </c>
      <c r="O26">
        <v>2.373882111698486E-2</v>
      </c>
      <c r="P26">
        <v>2.4023793708129217E-2</v>
      </c>
      <c r="Q26">
        <v>2.4027669905953994E-2</v>
      </c>
      <c r="R26">
        <v>2.3307293507498369E-2</v>
      </c>
      <c r="S26">
        <v>2.3617038993072981E-2</v>
      </c>
      <c r="T26">
        <v>2.3456016000038021E-2</v>
      </c>
      <c r="U26">
        <v>2.3566023057588856E-2</v>
      </c>
    </row>
    <row r="27" spans="1:21">
      <c r="A27" t="s">
        <v>23</v>
      </c>
      <c r="B27">
        <v>1.548987449974976E-2</v>
      </c>
      <c r="C27">
        <v>1.7408787151736015E-2</v>
      </c>
      <c r="D27">
        <v>1.8901621795299039E-2</v>
      </c>
      <c r="E27">
        <v>1.9129645150847634E-2</v>
      </c>
      <c r="F27">
        <v>1.9432845250930149E-2</v>
      </c>
      <c r="G27">
        <v>1.9782075727672384E-2</v>
      </c>
      <c r="H27">
        <v>2.0003688758356921E-2</v>
      </c>
      <c r="I27">
        <v>2.0127679217544495E-2</v>
      </c>
      <c r="J27">
        <v>2.0345113275677482E-2</v>
      </c>
      <c r="K27">
        <v>2.0076841653793077E-2</v>
      </c>
      <c r="L27">
        <v>2.188529938916987E-2</v>
      </c>
      <c r="M27">
        <v>2.1975113011284887E-2</v>
      </c>
      <c r="N27">
        <v>2.183978908746001E-2</v>
      </c>
      <c r="O27">
        <v>2.147542909100339E-2</v>
      </c>
      <c r="P27">
        <v>2.1558440681768657E-2</v>
      </c>
      <c r="Q27">
        <v>2.1603984951536388E-2</v>
      </c>
      <c r="R27">
        <v>2.1222202617476985E-2</v>
      </c>
      <c r="S27">
        <v>2.1407817009091244E-2</v>
      </c>
      <c r="T27">
        <v>2.1222115149986145E-2</v>
      </c>
      <c r="U27">
        <v>2.1197591572624748E-2</v>
      </c>
    </row>
    <row r="28" spans="1:21">
      <c r="A28" t="s">
        <v>24</v>
      </c>
      <c r="B28">
        <v>1.5711488201829583E-2</v>
      </c>
      <c r="C28">
        <v>1.7493923399722187E-2</v>
      </c>
      <c r="D28">
        <v>1.9021980217462497E-2</v>
      </c>
      <c r="E28">
        <v>1.9173350853676562E-2</v>
      </c>
      <c r="F28">
        <v>1.9499655102303018E-2</v>
      </c>
      <c r="G28">
        <v>1.9740058730355059E-2</v>
      </c>
      <c r="H28">
        <v>2.0000549219581758E-2</v>
      </c>
      <c r="I28">
        <v>1.9949534688172406E-2</v>
      </c>
      <c r="J28">
        <v>2.0342543982738017E-2</v>
      </c>
      <c r="K28">
        <v>2.0153418384136125E-2</v>
      </c>
      <c r="L28">
        <v>2.1935527390202346E-2</v>
      </c>
      <c r="M28">
        <v>2.2091517062551535E-2</v>
      </c>
      <c r="N28">
        <v>2.1940155863347483E-2</v>
      </c>
      <c r="O28">
        <v>2.1815159616676929E-2</v>
      </c>
      <c r="P28">
        <v>2.193954201523507E-2</v>
      </c>
      <c r="Q28">
        <v>2.1974654158945946E-2</v>
      </c>
      <c r="R28">
        <v>2.1441587216782791E-2</v>
      </c>
      <c r="S28">
        <v>2.1494267002579042E-2</v>
      </c>
      <c r="T28">
        <v>2.1199136981502064E-2</v>
      </c>
      <c r="U28">
        <v>2.1093670668731086E-2</v>
      </c>
    </row>
    <row r="29" spans="1:21">
      <c r="A29" t="s">
        <v>25</v>
      </c>
      <c r="B29">
        <v>1.5363447442648162E-2</v>
      </c>
      <c r="C29">
        <v>1.6920266282491495E-2</v>
      </c>
      <c r="D29">
        <v>1.8355266254388915E-2</v>
      </c>
      <c r="E29">
        <v>1.8552823307384392E-2</v>
      </c>
      <c r="F29">
        <v>1.8839218943830303E-2</v>
      </c>
      <c r="G29">
        <v>1.88826432938024E-2</v>
      </c>
      <c r="H29">
        <v>1.9046555426791106E-2</v>
      </c>
      <c r="I29">
        <v>1.8969973273511281E-2</v>
      </c>
      <c r="J29">
        <v>1.9334262857422763E-2</v>
      </c>
      <c r="K29">
        <v>1.9056108145203889E-2</v>
      </c>
      <c r="L29">
        <v>2.074727464603553E-2</v>
      </c>
      <c r="M29">
        <v>2.1170731014966176E-2</v>
      </c>
      <c r="N29">
        <v>2.1030220096908438E-2</v>
      </c>
      <c r="O29">
        <v>2.0790278126942049E-2</v>
      </c>
      <c r="P29">
        <v>2.0801128341488399E-2</v>
      </c>
      <c r="Q29">
        <v>2.0993768361639936E-2</v>
      </c>
      <c r="R29">
        <v>2.0626531167544735E-2</v>
      </c>
      <c r="S29">
        <v>2.0770784908818455E-2</v>
      </c>
      <c r="T29">
        <v>2.0910680219304159E-2</v>
      </c>
      <c r="U29">
        <v>2.0894048390385486E-2</v>
      </c>
    </row>
    <row r="30" spans="1:21">
      <c r="A30" t="s">
        <v>26</v>
      </c>
      <c r="B30">
        <v>1.8603447306965962E-2</v>
      </c>
      <c r="C30">
        <v>2.1123024982339419E-2</v>
      </c>
      <c r="D30">
        <v>2.3239384368542705E-2</v>
      </c>
      <c r="E30">
        <v>2.3549193396802368E-2</v>
      </c>
      <c r="F30">
        <v>2.3981315393203903E-2</v>
      </c>
      <c r="G30">
        <v>2.4254035206277672E-2</v>
      </c>
      <c r="H30">
        <v>2.4959237046540125E-2</v>
      </c>
      <c r="I30">
        <v>2.5670780996196688E-2</v>
      </c>
      <c r="J30">
        <v>2.6070547281714401E-2</v>
      </c>
      <c r="K30">
        <v>2.5838675151988511E-2</v>
      </c>
      <c r="L30">
        <v>2.7806093580934905E-2</v>
      </c>
      <c r="M30">
        <v>2.7783125927176907E-2</v>
      </c>
      <c r="N30">
        <v>2.8088279654199588E-2</v>
      </c>
      <c r="O30">
        <v>2.7807417105892872E-2</v>
      </c>
      <c r="P30">
        <v>2.7674678869602874E-2</v>
      </c>
      <c r="Q30">
        <v>2.7905541056765324E-2</v>
      </c>
      <c r="R30">
        <v>2.7645871970297203E-2</v>
      </c>
      <c r="S30">
        <v>2.7967833622601204E-2</v>
      </c>
      <c r="T30">
        <v>2.7816651598773688E-2</v>
      </c>
      <c r="U30">
        <v>2.776565810140702E-2</v>
      </c>
    </row>
    <row r="31" spans="1:21">
      <c r="A31" t="s">
        <v>27</v>
      </c>
      <c r="B31">
        <v>1.7299382783213628E-2</v>
      </c>
      <c r="C31">
        <v>1.8926210556792993E-2</v>
      </c>
      <c r="D31">
        <v>1.9210246047179615E-2</v>
      </c>
      <c r="E31">
        <v>1.9279550310812514E-2</v>
      </c>
      <c r="F31">
        <v>1.9511126164478917E-2</v>
      </c>
      <c r="G31">
        <v>1.979181339473713E-2</v>
      </c>
      <c r="H31">
        <v>2.0197486628846833E-2</v>
      </c>
      <c r="I31">
        <v>2.0502701212296651E-2</v>
      </c>
      <c r="J31">
        <v>2.0626700572506759E-2</v>
      </c>
      <c r="K31">
        <v>2.0450153364334811E-2</v>
      </c>
      <c r="L31">
        <v>2.2364547187885494E-2</v>
      </c>
      <c r="M31">
        <v>2.238782703288637E-2</v>
      </c>
      <c r="N31">
        <v>2.2193920429217816E-2</v>
      </c>
      <c r="O31">
        <v>2.195371234621514E-2</v>
      </c>
      <c r="P31">
        <v>2.1981399741864083E-2</v>
      </c>
      <c r="Q31">
        <v>2.2312436632172264E-2</v>
      </c>
      <c r="R31">
        <v>2.191805006003204E-2</v>
      </c>
      <c r="S31">
        <v>2.2087105791984262E-2</v>
      </c>
      <c r="T31">
        <v>2.1923473944307739E-2</v>
      </c>
      <c r="U31">
        <v>2.1883235364583548E-2</v>
      </c>
    </row>
    <row r="32" spans="1:21">
      <c r="A32" t="s">
        <v>28</v>
      </c>
      <c r="B32">
        <v>1.7077659155953773E-2</v>
      </c>
      <c r="C32">
        <v>2.1451114763181362E-2</v>
      </c>
      <c r="D32">
        <v>2.4222113497222076E-2</v>
      </c>
      <c r="E32">
        <v>2.5514289924572043E-2</v>
      </c>
      <c r="F32">
        <v>2.6119304078759925E-2</v>
      </c>
      <c r="G32">
        <v>2.6612106651079669E-2</v>
      </c>
      <c r="H32">
        <v>2.7445353762312601E-2</v>
      </c>
      <c r="I32">
        <v>2.8339392390280698E-2</v>
      </c>
      <c r="J32">
        <v>2.8929513691577813E-2</v>
      </c>
      <c r="K32">
        <v>2.8917879784634278E-2</v>
      </c>
      <c r="L32">
        <v>3.1479212162981933E-2</v>
      </c>
      <c r="M32">
        <v>3.1645318397412747E-2</v>
      </c>
      <c r="N32">
        <v>3.1805783647336591E-2</v>
      </c>
      <c r="O32">
        <v>3.1422951594721936E-2</v>
      </c>
      <c r="P32">
        <v>3.1647906171239609E-2</v>
      </c>
      <c r="Q32">
        <v>3.2124504471316838E-2</v>
      </c>
      <c r="R32">
        <v>3.1599645713714215E-2</v>
      </c>
      <c r="S32">
        <v>3.1854211365209439E-2</v>
      </c>
      <c r="T32">
        <v>3.1603989849636374E-2</v>
      </c>
      <c r="U32">
        <v>3.1463288056898547E-2</v>
      </c>
    </row>
    <row r="33" spans="1:21">
      <c r="A33" t="s">
        <v>29</v>
      </c>
      <c r="B33">
        <v>1.7895317755954689E-2</v>
      </c>
      <c r="C33">
        <v>2.2367823390622394E-2</v>
      </c>
      <c r="D33">
        <v>2.4459658339596686E-2</v>
      </c>
      <c r="E33">
        <v>2.5514376048427673E-2</v>
      </c>
      <c r="F33">
        <v>2.6150222301284783E-2</v>
      </c>
      <c r="G33">
        <v>2.6760676482120362E-2</v>
      </c>
      <c r="H33">
        <v>2.793550360445957E-2</v>
      </c>
      <c r="I33">
        <v>2.878995664067719E-2</v>
      </c>
      <c r="J33">
        <v>2.9583778004676202E-2</v>
      </c>
      <c r="K33">
        <v>2.9325390846824385E-2</v>
      </c>
      <c r="L33">
        <v>3.1805586528855907E-2</v>
      </c>
      <c r="M33">
        <v>3.1776372890813136E-2</v>
      </c>
      <c r="N33">
        <v>3.2243622839489956E-2</v>
      </c>
      <c r="O33">
        <v>3.2160084019848281E-2</v>
      </c>
      <c r="P33">
        <v>3.2352703591677023E-2</v>
      </c>
      <c r="Q33">
        <v>3.2815339777450311E-2</v>
      </c>
      <c r="R33">
        <v>3.2058230594676225E-2</v>
      </c>
      <c r="S33">
        <v>3.2524968730358039E-2</v>
      </c>
      <c r="T33">
        <v>3.2118704633268012E-2</v>
      </c>
      <c r="U33">
        <v>3.2013669057583606E-2</v>
      </c>
    </row>
    <row r="34" spans="1:21">
      <c r="A34" t="s">
        <v>30</v>
      </c>
      <c r="B34">
        <v>1.7784563825725741E-2</v>
      </c>
      <c r="C34">
        <v>2.2381709294329279E-2</v>
      </c>
      <c r="D34">
        <v>2.4413392073096552E-2</v>
      </c>
      <c r="E34">
        <v>2.5438374592736655E-2</v>
      </c>
      <c r="F34">
        <v>2.6103328423221456E-2</v>
      </c>
      <c r="G34">
        <v>2.6799874680132483E-2</v>
      </c>
      <c r="H34">
        <v>2.788398078949849E-2</v>
      </c>
      <c r="I34">
        <v>2.9134764741746068E-2</v>
      </c>
      <c r="J34">
        <v>2.9878525686640005E-2</v>
      </c>
      <c r="K34">
        <v>2.9633080719316467E-2</v>
      </c>
      <c r="L34">
        <v>3.2057177941851284E-2</v>
      </c>
      <c r="M34">
        <v>3.1998914646872691E-2</v>
      </c>
      <c r="N34">
        <v>3.2319844993694578E-2</v>
      </c>
      <c r="O34">
        <v>3.2267395570501657E-2</v>
      </c>
      <c r="P34">
        <v>3.2247058062437328E-2</v>
      </c>
      <c r="Q34">
        <v>3.2806398135541537E-2</v>
      </c>
      <c r="R34">
        <v>3.2162325868057381E-2</v>
      </c>
      <c r="S34">
        <v>3.2643287979642555E-2</v>
      </c>
      <c r="T34">
        <v>3.2726315605943017E-2</v>
      </c>
      <c r="U34">
        <v>3.2574478143388069E-2</v>
      </c>
    </row>
    <row r="35" spans="1:21">
      <c r="A35" t="s">
        <v>31</v>
      </c>
      <c r="B35">
        <v>1.3341830856089412E-2</v>
      </c>
      <c r="C35">
        <v>1.4384027558283288E-2</v>
      </c>
      <c r="D35">
        <v>1.4674945501347007E-2</v>
      </c>
      <c r="E35">
        <v>1.4644015677770843E-2</v>
      </c>
      <c r="F35">
        <v>1.4877760469699915E-2</v>
      </c>
      <c r="G35">
        <v>1.495371735978036E-2</v>
      </c>
      <c r="H35">
        <v>1.5487080184646359E-2</v>
      </c>
      <c r="I35">
        <v>1.5624739978761753E-2</v>
      </c>
      <c r="J35">
        <v>1.5861618256866231E-2</v>
      </c>
      <c r="K35">
        <v>1.5843672074370447E-2</v>
      </c>
      <c r="L35">
        <v>1.7357899408967179E-2</v>
      </c>
      <c r="M35">
        <v>1.7542998350021991E-2</v>
      </c>
      <c r="N35">
        <v>1.7622844907182928E-2</v>
      </c>
      <c r="O35">
        <v>1.7383745382074184E-2</v>
      </c>
      <c r="P35">
        <v>1.7368349184733352E-2</v>
      </c>
      <c r="Q35">
        <v>1.7336971128627657E-2</v>
      </c>
      <c r="R35">
        <v>1.7102832807147344E-2</v>
      </c>
      <c r="S35">
        <v>1.7368802993491157E-2</v>
      </c>
      <c r="T35">
        <v>1.7191848330715721E-2</v>
      </c>
      <c r="U35">
        <v>1.7137945668443323E-2</v>
      </c>
    </row>
    <row r="36" spans="1:21">
      <c r="A36" t="s">
        <v>32</v>
      </c>
      <c r="B36">
        <v>1.3076183505371711E-2</v>
      </c>
      <c r="C36">
        <v>1.4030650504084334E-2</v>
      </c>
      <c r="D36">
        <v>1.4380679314056588E-2</v>
      </c>
      <c r="E36">
        <v>1.4426001595602563E-2</v>
      </c>
      <c r="F36">
        <v>1.4663540997211694E-2</v>
      </c>
      <c r="G36">
        <v>1.4910552922063362E-2</v>
      </c>
      <c r="H36">
        <v>1.5160161979998131E-2</v>
      </c>
      <c r="I36">
        <v>1.5445193670018847E-2</v>
      </c>
      <c r="J36">
        <v>1.5938669431338114E-2</v>
      </c>
      <c r="K36">
        <v>1.5896550377826852E-2</v>
      </c>
      <c r="L36">
        <v>1.7494645707663136E-2</v>
      </c>
      <c r="M36">
        <v>1.7889046529528118E-2</v>
      </c>
      <c r="N36">
        <v>1.8015109902283912E-2</v>
      </c>
      <c r="O36">
        <v>1.7751183011935512E-2</v>
      </c>
      <c r="P36">
        <v>1.8076302392705867E-2</v>
      </c>
      <c r="Q36">
        <v>1.8245943983864331E-2</v>
      </c>
      <c r="R36">
        <v>1.809003932112712E-2</v>
      </c>
      <c r="S36">
        <v>1.8514979042617629E-2</v>
      </c>
      <c r="T36">
        <v>1.8304157152819731E-2</v>
      </c>
      <c r="U36">
        <v>1.8205988756187761E-2</v>
      </c>
    </row>
    <row r="37" spans="1:21">
      <c r="A37" t="s">
        <v>33</v>
      </c>
      <c r="B37">
        <v>1.3133414213926777E-2</v>
      </c>
      <c r="C37">
        <v>1.3727746526543081E-2</v>
      </c>
      <c r="D37">
        <v>1.3807706323077476E-2</v>
      </c>
      <c r="E37">
        <v>1.3553927372201621E-2</v>
      </c>
      <c r="F37">
        <v>1.3615536468899715E-2</v>
      </c>
      <c r="G37">
        <v>1.3605034103315984E-2</v>
      </c>
      <c r="H37">
        <v>1.3673420186155496E-2</v>
      </c>
      <c r="I37">
        <v>1.3545446374730033E-2</v>
      </c>
      <c r="J37">
        <v>1.3674148299105788E-2</v>
      </c>
      <c r="K37">
        <v>1.3454204877694444E-2</v>
      </c>
      <c r="L37">
        <v>1.4758391314215812E-2</v>
      </c>
      <c r="M37">
        <v>1.4825676595388441E-2</v>
      </c>
      <c r="N37">
        <v>1.4757540120906363E-2</v>
      </c>
      <c r="O37">
        <v>1.4526592554564517E-2</v>
      </c>
      <c r="P37">
        <v>1.4479756896833439E-2</v>
      </c>
      <c r="Q37">
        <v>1.437552450790637E-2</v>
      </c>
      <c r="R37">
        <v>1.4054740010347377E-2</v>
      </c>
      <c r="S37">
        <v>1.4239668816791253E-2</v>
      </c>
      <c r="T37">
        <v>1.4321664999828534E-2</v>
      </c>
      <c r="U37">
        <v>1.4290122744776267E-2</v>
      </c>
    </row>
  </sheetData>
  <phoneticPr fontId="0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7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"AA_R_phophi_ty_1.4A"</f>
        <v>AA_R_phophi_ty_1.4A</v>
      </c>
      <c r="C1" s="1" t="str">
        <f>"AA_R_phophi_ty_2A"</f>
        <v>AA_R_phophi_ty_2A</v>
      </c>
      <c r="D1" s="1" t="str">
        <f>"AA_R_phophi_ty_3A"</f>
        <v>AA_R_phophi_ty_3A</v>
      </c>
      <c r="E1" s="1" t="str">
        <f>"AA_R_phophi_ty_4A"</f>
        <v>AA_R_phophi_ty_4A</v>
      </c>
      <c r="F1" s="1" t="str">
        <f>"AA_R_phophi_ty_5A"</f>
        <v>AA_R_phophi_ty_5A</v>
      </c>
      <c r="G1" s="1" t="str">
        <f>"AA_R_phophi_ty_6A"</f>
        <v>AA_R_phophi_ty_6A</v>
      </c>
      <c r="H1" s="1" t="str">
        <f>"AA_R_phophi_ty_7A"</f>
        <v>AA_R_phophi_ty_7A</v>
      </c>
      <c r="I1" s="1" t="str">
        <f>"AA_R_phophi_ty_8A"</f>
        <v>AA_R_phophi_ty_8A</v>
      </c>
      <c r="J1" s="1" t="str">
        <f>"AA_R_phophi_ty_9A"</f>
        <v>AA_R_phophi_ty_9A</v>
      </c>
      <c r="K1" s="1" t="str">
        <f>"AA_R_phophi_ty_10A"</f>
        <v>AA_R_phophi_ty_10A</v>
      </c>
      <c r="L1" s="1" t="str">
        <f>"AA_R_phophi_ty_11A"</f>
        <v>AA_R_phophi_ty_11A</v>
      </c>
      <c r="M1" s="1" t="str">
        <f>"AA_R_phophi_ty_12A"</f>
        <v>AA_R_phophi_ty_12A</v>
      </c>
      <c r="N1" s="1" t="str">
        <f>"AA_R_phophi_ty_13A"</f>
        <v>AA_R_phophi_ty_13A</v>
      </c>
      <c r="O1" s="1" t="str">
        <f>"AA_R_phophi_ty_14A"</f>
        <v>AA_R_phophi_ty_14A</v>
      </c>
      <c r="P1" s="1" t="str">
        <f>"AA_R_phophi_ty_15A"</f>
        <v>AA_R_phophi_ty_15A</v>
      </c>
      <c r="Q1" s="1" t="str">
        <f>"AA_R_phophi_ty_16A"</f>
        <v>AA_R_phophi_ty_16A</v>
      </c>
      <c r="R1" s="1" t="str">
        <f>"AA_R_phophi_ty_17A"</f>
        <v>AA_R_phophi_ty_17A</v>
      </c>
      <c r="S1" s="1" t="str">
        <f>"AA_R_phophi_ty_18A"</f>
        <v>AA_R_phophi_ty_18A</v>
      </c>
      <c r="T1" s="1" t="str">
        <f>"AA_R_phophi_ty_19A"</f>
        <v>AA_R_phophi_ty_19A</v>
      </c>
      <c r="U1" s="1" t="str">
        <f>"AA_R_phophi_ty_20A"</f>
        <v>AA_R_phophi_ty_20A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-0.18644780034291097</v>
      </c>
      <c r="C3">
        <v>-0.17124072507069893</v>
      </c>
      <c r="D3">
        <v>-0.15294331559790794</v>
      </c>
      <c r="E3">
        <v>-0.1448271763256368</v>
      </c>
      <c r="F3">
        <v>-0.13838038081205564</v>
      </c>
      <c r="G3">
        <v>-0.12190054316818459</v>
      </c>
      <c r="H3">
        <v>-0.12280286499092195</v>
      </c>
      <c r="I3">
        <v>-0.11014931255111243</v>
      </c>
      <c r="J3">
        <v>-0.10620294254407969</v>
      </c>
      <c r="K3">
        <v>-0.10750322052745315</v>
      </c>
      <c r="L3">
        <v>-9.9938831854438345E-2</v>
      </c>
      <c r="M3">
        <v>-9.8944536631618424E-2</v>
      </c>
      <c r="N3">
        <v>-9.8736330028520239E-2</v>
      </c>
      <c r="O3">
        <v>-9.2769279978192482E-2</v>
      </c>
      <c r="P3">
        <v>-9.208802281577165E-2</v>
      </c>
      <c r="Q3">
        <v>-8.3571475307935156E-2</v>
      </c>
      <c r="R3">
        <v>-8.2624984949861535E-2</v>
      </c>
      <c r="S3">
        <v>-7.535191700068436E-2</v>
      </c>
      <c r="T3">
        <v>-7.7788521811175126E-2</v>
      </c>
      <c r="U3">
        <v>-7.3909925107917024E-2</v>
      </c>
    </row>
    <row r="4" spans="1:24">
      <c r="A4" t="s">
        <v>1</v>
      </c>
      <c r="B4">
        <v>-0.17583377372758946</v>
      </c>
      <c r="C4">
        <v>-0.15469620948522719</v>
      </c>
      <c r="D4">
        <v>-0.13086649251650798</v>
      </c>
      <c r="E4">
        <v>-0.12297756157055147</v>
      </c>
      <c r="F4">
        <v>-0.12739974858871062</v>
      </c>
      <c r="G4">
        <v>-0.12051525872229057</v>
      </c>
      <c r="H4">
        <v>-0.12286499854149042</v>
      </c>
      <c r="I4">
        <v>-0.12763391204720914</v>
      </c>
      <c r="J4">
        <v>-0.12635517308411537</v>
      </c>
      <c r="K4">
        <v>-0.12928616820311009</v>
      </c>
      <c r="L4">
        <v>-0.13039763262839202</v>
      </c>
      <c r="M4">
        <v>-0.13422913528915942</v>
      </c>
      <c r="N4">
        <v>-0.13151651268251277</v>
      </c>
      <c r="O4">
        <v>-0.13506105584541966</v>
      </c>
      <c r="P4">
        <v>-0.13315315083183335</v>
      </c>
      <c r="Q4">
        <v>-0.12947758473512749</v>
      </c>
      <c r="R4">
        <v>-0.1294527228469215</v>
      </c>
      <c r="S4">
        <v>-0.13258054779379944</v>
      </c>
      <c r="T4">
        <v>-0.13003484731552284</v>
      </c>
      <c r="U4">
        <v>-0.12943858798397689</v>
      </c>
    </row>
    <row r="5" spans="1:24">
      <c r="A5" t="s">
        <v>2</v>
      </c>
      <c r="B5">
        <v>-0.10776821296146857</v>
      </c>
      <c r="C5">
        <v>-7.7327298701804922E-2</v>
      </c>
      <c r="D5">
        <v>-6.0194454578206311E-2</v>
      </c>
      <c r="E5">
        <v>-5.1066958971306593E-2</v>
      </c>
      <c r="F5">
        <v>-4.7547549625756649E-2</v>
      </c>
      <c r="G5">
        <v>-4.4668871980106661E-2</v>
      </c>
      <c r="H5">
        <v>-4.2517053472326802E-2</v>
      </c>
      <c r="I5">
        <v>-3.9398631103212137E-2</v>
      </c>
      <c r="J5">
        <v>-3.725329692059301E-2</v>
      </c>
      <c r="K5">
        <v>-3.8175620187723566E-2</v>
      </c>
      <c r="L5">
        <v>-3.6631512211154557E-2</v>
      </c>
      <c r="M5">
        <v>-3.7018134611417189E-2</v>
      </c>
      <c r="N5">
        <v>-3.6964872169424609E-2</v>
      </c>
      <c r="O5">
        <v>-3.5773967051973977E-2</v>
      </c>
      <c r="P5">
        <v>-3.4159016830165624E-2</v>
      </c>
      <c r="Q5">
        <v>-3.0727654952798309E-2</v>
      </c>
      <c r="R5">
        <v>-3.1676979941027451E-2</v>
      </c>
      <c r="S5">
        <v>-3.0998161392723284E-2</v>
      </c>
      <c r="T5">
        <v>-3.0934739216556963E-2</v>
      </c>
      <c r="U5">
        <v>-3.079592465044759E-2</v>
      </c>
    </row>
    <row r="6" spans="1:24">
      <c r="A6" t="s">
        <v>3</v>
      </c>
      <c r="B6">
        <v>-0.20268917538615372</v>
      </c>
      <c r="C6">
        <v>-0.12110064978119613</v>
      </c>
      <c r="D6">
        <v>-0.11195909563064853</v>
      </c>
      <c r="E6">
        <v>-9.1715283133766354E-2</v>
      </c>
      <c r="F6">
        <v>-7.9214792843878071E-2</v>
      </c>
      <c r="G6">
        <v>-7.182858966527994E-2</v>
      </c>
      <c r="H6">
        <v>-6.8532273834836191E-2</v>
      </c>
      <c r="I6">
        <v>-6.4398487595172735E-2</v>
      </c>
      <c r="J6">
        <v>-6.0185002150655725E-2</v>
      </c>
      <c r="K6">
        <v>-5.9158663252522461E-2</v>
      </c>
      <c r="L6">
        <v>-5.0240093573415127E-2</v>
      </c>
      <c r="M6">
        <v>-4.4388798759296196E-2</v>
      </c>
      <c r="N6">
        <v>-4.7698473794019092E-2</v>
      </c>
      <c r="O6">
        <v>-4.5267324699418361E-2</v>
      </c>
      <c r="P6">
        <v>-3.8957062079808091E-2</v>
      </c>
      <c r="Q6">
        <v>-3.9822694942000865E-2</v>
      </c>
      <c r="R6">
        <v>-3.7357705354459189E-2</v>
      </c>
      <c r="S6">
        <v>-3.6473180590806988E-2</v>
      </c>
      <c r="T6">
        <v>-3.1202351837741837E-2</v>
      </c>
      <c r="U6">
        <v>-2.8477071944830588E-2</v>
      </c>
    </row>
    <row r="7" spans="1:24">
      <c r="A7" t="s">
        <v>4</v>
      </c>
      <c r="B7">
        <v>-0.17489937501264136</v>
      </c>
      <c r="C7">
        <v>-0.10892951667679923</v>
      </c>
      <c r="D7">
        <v>-9.1705949621853855E-2</v>
      </c>
      <c r="E7">
        <v>-7.4148481752272191E-2</v>
      </c>
      <c r="F7">
        <v>-5.7333538093845317E-2</v>
      </c>
      <c r="G7">
        <v>-5.0402470732825513E-2</v>
      </c>
      <c r="H7">
        <v>-4.7393797313988621E-2</v>
      </c>
      <c r="I7">
        <v>-4.1913711826427065E-2</v>
      </c>
      <c r="J7">
        <v>-3.9943885985489376E-2</v>
      </c>
      <c r="K7">
        <v>-3.2911960244569244E-2</v>
      </c>
      <c r="L7">
        <v>-2.9359311766211423E-2</v>
      </c>
      <c r="M7">
        <v>-2.6643450097924529E-2</v>
      </c>
      <c r="N7">
        <v>-2.2698127606416953E-2</v>
      </c>
      <c r="O7">
        <v>-2.3984730787050636E-2</v>
      </c>
      <c r="P7">
        <v>-2.59293636453801E-2</v>
      </c>
      <c r="Q7">
        <v>-2.4983428435695346E-2</v>
      </c>
      <c r="R7">
        <v>-2.4612801368179282E-2</v>
      </c>
      <c r="S7">
        <v>-2.3515473995091581E-2</v>
      </c>
      <c r="T7">
        <v>-2.4731843676040966E-2</v>
      </c>
      <c r="U7">
        <v>-2.5438445761864433E-2</v>
      </c>
    </row>
    <row r="8" spans="1:24">
      <c r="A8" t="s">
        <v>5</v>
      </c>
      <c r="B8">
        <v>-0.17783312517016273</v>
      </c>
      <c r="C8">
        <v>-0.11126479029253311</v>
      </c>
      <c r="D8">
        <v>-8.927678262453681E-2</v>
      </c>
      <c r="E8">
        <v>-6.7799421623100833E-2</v>
      </c>
      <c r="F8">
        <v>-5.9383176881018976E-2</v>
      </c>
      <c r="G8">
        <v>-5.180324888764342E-2</v>
      </c>
      <c r="H8">
        <v>-5.247265099634383E-2</v>
      </c>
      <c r="I8">
        <v>-4.6981327937347432E-2</v>
      </c>
      <c r="J8">
        <v>-4.2844730612606581E-2</v>
      </c>
      <c r="K8">
        <v>-4.215878272302926E-2</v>
      </c>
      <c r="L8">
        <v>-2.9884750985515855E-2</v>
      </c>
      <c r="M8">
        <v>-3.0638126703989115E-2</v>
      </c>
      <c r="N8">
        <v>-3.1372588691266509E-2</v>
      </c>
      <c r="O8">
        <v>-2.9810511648079876E-2</v>
      </c>
      <c r="P8">
        <v>-2.8938995671726996E-2</v>
      </c>
      <c r="Q8">
        <v>-2.0562933612996909E-2</v>
      </c>
      <c r="R8">
        <v>-2.1297911050111924E-2</v>
      </c>
      <c r="S8">
        <v>-2.3434759391689972E-2</v>
      </c>
      <c r="T8">
        <v>-2.5052064607282064E-2</v>
      </c>
      <c r="U8">
        <v>-2.6043808827961951E-2</v>
      </c>
    </row>
    <row r="9" spans="1:24">
      <c r="A9" t="s">
        <v>6</v>
      </c>
      <c r="B9">
        <v>-0.17480069378588298</v>
      </c>
      <c r="C9">
        <v>-0.10824983814579826</v>
      </c>
      <c r="D9">
        <v>-8.4964387582068063E-2</v>
      </c>
      <c r="E9">
        <v>-6.7882386271378811E-2</v>
      </c>
      <c r="F9">
        <v>-6.0557536436097049E-2</v>
      </c>
      <c r="G9">
        <v>-5.5837273598457325E-2</v>
      </c>
      <c r="H9">
        <v>-4.7780303010070954E-2</v>
      </c>
      <c r="I9">
        <v>-4.4822667953571475E-2</v>
      </c>
      <c r="J9">
        <v>-4.4486168334825743E-2</v>
      </c>
      <c r="K9">
        <v>-4.090761842062117E-2</v>
      </c>
      <c r="L9">
        <v>-3.4404066771149204E-2</v>
      </c>
      <c r="M9">
        <v>-3.4717791366722574E-2</v>
      </c>
      <c r="N9">
        <v>-3.7065949816878455E-2</v>
      </c>
      <c r="O9">
        <v>-4.0470578816641234E-2</v>
      </c>
      <c r="P9">
        <v>-4.0020531126515643E-2</v>
      </c>
      <c r="Q9">
        <v>-3.9618785819910032E-2</v>
      </c>
      <c r="R9">
        <v>-3.7374903088281348E-2</v>
      </c>
      <c r="S9">
        <v>-3.6430108582328112E-2</v>
      </c>
      <c r="T9">
        <v>-3.5393278195148446E-2</v>
      </c>
      <c r="U9">
        <v>-3.6737077399477826E-2</v>
      </c>
    </row>
    <row r="10" spans="1:24">
      <c r="A10" t="s">
        <v>7</v>
      </c>
      <c r="B10">
        <v>-0.1787182086147947</v>
      </c>
      <c r="C10">
        <v>-0.11306656622212061</v>
      </c>
      <c r="D10">
        <v>-9.3584788181163933E-2</v>
      </c>
      <c r="E10">
        <v>-6.9941786803251832E-2</v>
      </c>
      <c r="F10">
        <v>-6.1779317262811516E-2</v>
      </c>
      <c r="G10">
        <v>-5.1370604994457156E-2</v>
      </c>
      <c r="H10">
        <v>-4.9188373373709564E-2</v>
      </c>
      <c r="I10">
        <v>-4.5255921340847563E-2</v>
      </c>
      <c r="J10">
        <v>-4.1962481798001265E-2</v>
      </c>
      <c r="K10">
        <v>-3.7858920815737399E-2</v>
      </c>
      <c r="L10">
        <v>-3.5523797937177519E-2</v>
      </c>
      <c r="M10">
        <v>-3.4162166965347768E-2</v>
      </c>
      <c r="N10">
        <v>-3.4707828759105795E-2</v>
      </c>
      <c r="O10">
        <v>-3.5320809578300943E-2</v>
      </c>
      <c r="P10">
        <v>-3.2893758588120665E-2</v>
      </c>
      <c r="Q10">
        <v>-3.2156378888917828E-2</v>
      </c>
      <c r="R10">
        <v>-3.0771769384406032E-2</v>
      </c>
      <c r="S10">
        <v>-2.774417304984049E-2</v>
      </c>
      <c r="T10">
        <v>-2.9608666694226644E-2</v>
      </c>
      <c r="U10">
        <v>-2.330840298248656E-2</v>
      </c>
    </row>
    <row r="11" spans="1:24">
      <c r="A11" t="s">
        <v>8</v>
      </c>
      <c r="B11">
        <v>-0.18865048217529989</v>
      </c>
      <c r="C11">
        <v>-0.12040448783120498</v>
      </c>
      <c r="D11">
        <v>-9.8669082823263157E-2</v>
      </c>
      <c r="E11">
        <v>-8.0008931488841986E-2</v>
      </c>
      <c r="F11">
        <v>-7.0930073751395248E-2</v>
      </c>
      <c r="G11">
        <v>-5.7486707934833833E-2</v>
      </c>
      <c r="H11">
        <v>-5.1721031151521414E-2</v>
      </c>
      <c r="I11">
        <v>-4.4049339098953158E-2</v>
      </c>
      <c r="J11">
        <v>-3.8319127998313184E-2</v>
      </c>
      <c r="K11">
        <v>-3.7825773472370712E-2</v>
      </c>
      <c r="L11">
        <v>-2.0337306115014182E-2</v>
      </c>
      <c r="M11">
        <v>-1.6806913472129613E-2</v>
      </c>
      <c r="N11">
        <v>-1.5118199887286052E-2</v>
      </c>
      <c r="O11">
        <v>-1.12189302936078E-2</v>
      </c>
      <c r="P11">
        <v>-1.1691392267777505E-2</v>
      </c>
      <c r="Q11">
        <v>-1.2029337277828754E-2</v>
      </c>
      <c r="R11">
        <v>-1.1626513976456171E-2</v>
      </c>
      <c r="S11">
        <v>-1.1242334597697501E-2</v>
      </c>
      <c r="T11">
        <v>-1.0720653842564135E-2</v>
      </c>
      <c r="U11">
        <v>-1.1117012176024458E-2</v>
      </c>
    </row>
    <row r="12" spans="1:24">
      <c r="A12" t="s">
        <v>9</v>
      </c>
      <c r="B12">
        <v>-9.0585276246073584E-2</v>
      </c>
      <c r="C12">
        <v>-6.247061935877353E-2</v>
      </c>
      <c r="D12">
        <v>-4.9268187517699638E-2</v>
      </c>
      <c r="E12">
        <v>-4.2229331443647967E-2</v>
      </c>
      <c r="F12">
        <v>-4.336868534276013E-2</v>
      </c>
      <c r="G12">
        <v>-3.7338457643555589E-2</v>
      </c>
      <c r="H12">
        <v>-3.5622182235328495E-2</v>
      </c>
      <c r="I12">
        <v>-3.7663018643449106E-2</v>
      </c>
      <c r="J12">
        <v>-3.9357840023891325E-2</v>
      </c>
      <c r="K12">
        <v>-3.9138401821179808E-2</v>
      </c>
      <c r="L12">
        <v>-3.7716856950764766E-2</v>
      </c>
      <c r="M12">
        <v>-3.1485450577258989E-2</v>
      </c>
      <c r="N12">
        <v>-3.2065203680858786E-2</v>
      </c>
      <c r="O12">
        <v>-3.2499573874384534E-2</v>
      </c>
      <c r="P12">
        <v>-3.1680032302719326E-2</v>
      </c>
      <c r="Q12">
        <v>-3.2019635539658954E-2</v>
      </c>
      <c r="R12">
        <v>-3.4667897398002821E-2</v>
      </c>
      <c r="S12">
        <v>-3.1450849310062173E-2</v>
      </c>
      <c r="T12">
        <v>-3.1535965512333744E-2</v>
      </c>
      <c r="U12">
        <v>-2.8941155093942596E-2</v>
      </c>
    </row>
    <row r="13" spans="1:24">
      <c r="A13" t="s">
        <v>10</v>
      </c>
      <c r="B13">
        <v>-9.6233137748164568E-2</v>
      </c>
      <c r="C13">
        <v>-5.932612837846038E-2</v>
      </c>
      <c r="D13">
        <v>-5.1581048732996244E-2</v>
      </c>
      <c r="E13">
        <v>-4.261199504447738E-2</v>
      </c>
      <c r="F13">
        <v>-4.0436201041162252E-2</v>
      </c>
      <c r="G13">
        <v>-4.043136003478584E-2</v>
      </c>
      <c r="H13">
        <v>-3.7933468040739944E-2</v>
      </c>
      <c r="I13">
        <v>-3.6917271446989981E-2</v>
      </c>
      <c r="J13">
        <v>-3.6641074886905267E-2</v>
      </c>
      <c r="K13">
        <v>-3.5578383373620188E-2</v>
      </c>
      <c r="L13">
        <v>-3.4945230068689069E-2</v>
      </c>
      <c r="M13">
        <v>-3.5993164219859534E-2</v>
      </c>
      <c r="N13">
        <v>-3.4600948360250669E-2</v>
      </c>
      <c r="O13">
        <v>-3.1197709250741747E-2</v>
      </c>
      <c r="P13">
        <v>-3.4370180841631792E-2</v>
      </c>
      <c r="Q13">
        <v>-3.4883121904732146E-2</v>
      </c>
      <c r="R13">
        <v>-3.7550677919555124E-2</v>
      </c>
      <c r="S13">
        <v>-3.481326517032339E-2</v>
      </c>
      <c r="T13">
        <v>-3.3302753842576652E-2</v>
      </c>
      <c r="U13">
        <v>-3.4636655009634816E-2</v>
      </c>
    </row>
    <row r="14" spans="1:24">
      <c r="A14" t="s">
        <v>11</v>
      </c>
      <c r="B14">
        <v>-8.5324618693525339E-2</v>
      </c>
      <c r="C14">
        <v>-5.2450666768951451E-2</v>
      </c>
      <c r="D14">
        <v>-4.1794073349496648E-2</v>
      </c>
      <c r="E14">
        <v>-3.3964952587395084E-2</v>
      </c>
      <c r="F14">
        <v>-3.0603582869282227E-2</v>
      </c>
      <c r="G14">
        <v>-2.9780688949084904E-2</v>
      </c>
      <c r="H14">
        <v>-2.8994440561751676E-2</v>
      </c>
      <c r="I14">
        <v>-2.804828295534537E-2</v>
      </c>
      <c r="J14">
        <v>-2.8504892804157154E-2</v>
      </c>
      <c r="K14">
        <v>-2.8154747728724824E-2</v>
      </c>
      <c r="L14">
        <v>-2.4396540239100189E-2</v>
      </c>
      <c r="M14">
        <v>-1.8778930832579616E-2</v>
      </c>
      <c r="N14">
        <v>-1.8758112082789307E-2</v>
      </c>
      <c r="O14">
        <v>-1.8764082662630119E-2</v>
      </c>
      <c r="P14">
        <v>-1.7673151301332166E-2</v>
      </c>
      <c r="Q14">
        <v>-1.7946839576471165E-2</v>
      </c>
      <c r="R14">
        <v>-1.8783949708296582E-2</v>
      </c>
      <c r="S14">
        <v>-2.0196296704776025E-2</v>
      </c>
      <c r="T14">
        <v>-2.1108920921641215E-2</v>
      </c>
      <c r="U14">
        <v>-2.0122675846169637E-2</v>
      </c>
    </row>
    <row r="15" spans="1:24">
      <c r="A15" t="s">
        <v>12</v>
      </c>
      <c r="B15">
        <v>-6.8332893808619358E-2</v>
      </c>
      <c r="C15">
        <v>-5.8857966198499444E-2</v>
      </c>
      <c r="D15">
        <v>-4.9406775540747454E-2</v>
      </c>
      <c r="E15">
        <v>-4.7265831741975378E-2</v>
      </c>
      <c r="F15">
        <v>-4.6985804921727173E-2</v>
      </c>
      <c r="G15">
        <v>-4.6205920259211913E-2</v>
      </c>
      <c r="H15">
        <v>-4.7379427655867959E-2</v>
      </c>
      <c r="I15">
        <v>-4.6481555199319083E-2</v>
      </c>
      <c r="J15">
        <v>-4.4430248701438593E-2</v>
      </c>
      <c r="K15">
        <v>-4.5819007655633931E-2</v>
      </c>
      <c r="L15">
        <v>-4.2429734361677546E-2</v>
      </c>
      <c r="M15">
        <v>-4.1630146761596938E-2</v>
      </c>
      <c r="N15">
        <v>-3.9809512667095412E-2</v>
      </c>
      <c r="O15">
        <v>-3.9803192409744358E-2</v>
      </c>
      <c r="P15">
        <v>-3.5652263158250534E-2</v>
      </c>
      <c r="Q15">
        <v>-3.4354760088373293E-2</v>
      </c>
      <c r="R15">
        <v>-3.577240700793801E-2</v>
      </c>
      <c r="S15">
        <v>-3.6100522392026949E-2</v>
      </c>
      <c r="T15">
        <v>-3.6989030450440906E-2</v>
      </c>
      <c r="U15">
        <v>-3.8368137806991914E-2</v>
      </c>
    </row>
    <row r="16" spans="1:24">
      <c r="A16" t="s">
        <v>13</v>
      </c>
      <c r="B16">
        <v>-0.19871039838255339</v>
      </c>
      <c r="C16">
        <v>-0.11632358993987599</v>
      </c>
      <c r="D16">
        <v>-7.2447643408645582E-2</v>
      </c>
      <c r="E16">
        <v>-5.6198820392271198E-2</v>
      </c>
      <c r="F16">
        <v>-4.7160069400595396E-2</v>
      </c>
      <c r="G16">
        <v>-4.0756463235196515E-2</v>
      </c>
      <c r="H16">
        <v>-3.7335143119602093E-2</v>
      </c>
      <c r="I16">
        <v>-3.4525289835874599E-2</v>
      </c>
      <c r="J16">
        <v>-3.3821285506205223E-2</v>
      </c>
      <c r="K16">
        <v>-3.3036206462106171E-2</v>
      </c>
      <c r="L16">
        <v>-2.9675750101555053E-2</v>
      </c>
      <c r="M16">
        <v>-2.7698746806778089E-2</v>
      </c>
      <c r="N16">
        <v>-2.7432832094703877E-2</v>
      </c>
      <c r="O16">
        <v>-2.7226088706090341E-2</v>
      </c>
      <c r="P16">
        <v>-2.5689435378848165E-2</v>
      </c>
      <c r="Q16">
        <v>-2.2784475892672577E-2</v>
      </c>
      <c r="R16">
        <v>-2.1822417199665517E-2</v>
      </c>
      <c r="S16">
        <v>-2.2888562912100025E-2</v>
      </c>
      <c r="T16">
        <v>-2.3165729457045005E-2</v>
      </c>
      <c r="U16">
        <v>-2.2835991758247468E-2</v>
      </c>
    </row>
    <row r="17" spans="1:21">
      <c r="A17" t="s">
        <v>14</v>
      </c>
      <c r="B17">
        <v>-0.20524832699043113</v>
      </c>
      <c r="C17">
        <v>-0.1181413252063221</v>
      </c>
      <c r="D17">
        <v>-7.1911005459098717E-2</v>
      </c>
      <c r="E17">
        <v>-5.5947397971095957E-2</v>
      </c>
      <c r="F17">
        <v>-4.8715245522694371E-2</v>
      </c>
      <c r="G17">
        <v>-4.1316770666227895E-2</v>
      </c>
      <c r="H17">
        <v>-3.9840095960888694E-2</v>
      </c>
      <c r="I17">
        <v>-3.9079317978188442E-2</v>
      </c>
      <c r="J17">
        <v>-3.5277330620298357E-2</v>
      </c>
      <c r="K17">
        <v>-3.67425265397784E-2</v>
      </c>
      <c r="L17">
        <v>-3.4476682172603898E-2</v>
      </c>
      <c r="M17">
        <v>-2.8688205940366703E-2</v>
      </c>
      <c r="N17">
        <v>-2.7818399244296684E-2</v>
      </c>
      <c r="O17">
        <v>-2.8845902525193933E-2</v>
      </c>
      <c r="P17">
        <v>-2.5780379616043233E-2</v>
      </c>
      <c r="Q17">
        <v>-2.6929377830346241E-2</v>
      </c>
      <c r="R17">
        <v>-2.8184658322830746E-2</v>
      </c>
      <c r="S17">
        <v>-2.8166687078188056E-2</v>
      </c>
      <c r="T17">
        <v>-2.9405182871982696E-2</v>
      </c>
      <c r="U17">
        <v>-3.0749065148679335E-2</v>
      </c>
    </row>
    <row r="18" spans="1:21">
      <c r="A18" t="s">
        <v>15</v>
      </c>
      <c r="B18">
        <v>-0.21435629965709979</v>
      </c>
      <c r="C18">
        <v>-0.13384650186335689</v>
      </c>
      <c r="D18">
        <v>-8.6098120476534937E-2</v>
      </c>
      <c r="E18">
        <v>-6.7042836662413452E-2</v>
      </c>
      <c r="F18">
        <v>-6.2513987656904593E-2</v>
      </c>
      <c r="G18">
        <v>-5.7044774608414263E-2</v>
      </c>
      <c r="H18">
        <v>-5.3421660271915673E-2</v>
      </c>
      <c r="I18">
        <v>-4.9392893277708558E-2</v>
      </c>
      <c r="J18">
        <v>-5.2487352743148433E-2</v>
      </c>
      <c r="K18">
        <v>-5.2315441245603965E-2</v>
      </c>
      <c r="L18">
        <v>-4.7291189228779992E-2</v>
      </c>
      <c r="M18">
        <v>-4.6146081840635463E-2</v>
      </c>
      <c r="N18">
        <v>-4.4550183685777726E-2</v>
      </c>
      <c r="O18">
        <v>-4.2169988173697666E-2</v>
      </c>
      <c r="P18">
        <v>-4.010776317291305E-2</v>
      </c>
      <c r="Q18">
        <v>-3.5732974038284342E-2</v>
      </c>
      <c r="R18">
        <v>-3.7858324241255674E-2</v>
      </c>
      <c r="S18">
        <v>-3.8804737518231741E-2</v>
      </c>
      <c r="T18">
        <v>-4.0599549443043302E-2</v>
      </c>
      <c r="U18">
        <v>-3.894621346691747E-2</v>
      </c>
    </row>
    <row r="19" spans="1:21">
      <c r="A19" t="s">
        <v>16</v>
      </c>
      <c r="B19">
        <v>-0.13856216904744986</v>
      </c>
      <c r="C19">
        <v>-9.7087549287302094E-2</v>
      </c>
      <c r="D19">
        <v>-6.028253007337412E-2</v>
      </c>
      <c r="E19">
        <v>-4.6558948407428115E-2</v>
      </c>
      <c r="F19">
        <v>-3.8836191999744626E-2</v>
      </c>
      <c r="G19">
        <v>-3.1931956153801053E-2</v>
      </c>
      <c r="H19">
        <v>-2.9905479160542457E-2</v>
      </c>
      <c r="I19">
        <v>-2.7469992659472128E-2</v>
      </c>
      <c r="J19">
        <v>-2.4765291182168692E-2</v>
      </c>
      <c r="K19">
        <v>-2.398899495708243E-2</v>
      </c>
      <c r="L19">
        <v>-2.2203639083909876E-2</v>
      </c>
      <c r="M19">
        <v>-2.1624913237061741E-2</v>
      </c>
      <c r="N19">
        <v>-1.9538813888029461E-2</v>
      </c>
      <c r="O19">
        <v>-1.8961369613190119E-2</v>
      </c>
      <c r="P19">
        <v>-1.8285933036128316E-2</v>
      </c>
      <c r="Q19">
        <v>-1.6977841947114332E-2</v>
      </c>
      <c r="R19">
        <v>-1.7438611247970481E-2</v>
      </c>
      <c r="S19">
        <v>-1.7240752452158909E-2</v>
      </c>
      <c r="T19">
        <v>-1.7175844413650981E-2</v>
      </c>
      <c r="U19">
        <v>-1.7586926392653919E-2</v>
      </c>
    </row>
    <row r="20" spans="1:21">
      <c r="A20" t="s">
        <v>17</v>
      </c>
      <c r="B20">
        <v>-0.13027400645275516</v>
      </c>
      <c r="C20">
        <v>-9.2828058766527513E-2</v>
      </c>
      <c r="D20">
        <v>-5.2602437871444453E-2</v>
      </c>
      <c r="E20">
        <v>-3.8662232641021116E-2</v>
      </c>
      <c r="F20">
        <v>-3.2187489300510151E-2</v>
      </c>
      <c r="G20">
        <v>-2.3865667859607389E-2</v>
      </c>
      <c r="H20">
        <v>-2.3719653889699092E-2</v>
      </c>
      <c r="I20">
        <v>-2.2986835477840716E-2</v>
      </c>
      <c r="J20">
        <v>-2.0212004958788447E-2</v>
      </c>
      <c r="K20">
        <v>-1.9252743522188028E-2</v>
      </c>
      <c r="L20">
        <v>-1.9257986964378592E-2</v>
      </c>
      <c r="M20">
        <v>-1.8979761016064332E-2</v>
      </c>
      <c r="N20">
        <v>-1.883178856133565E-2</v>
      </c>
      <c r="O20">
        <v>-1.8658392191155025E-2</v>
      </c>
      <c r="P20">
        <v>-1.8655462504494263E-2</v>
      </c>
      <c r="Q20">
        <v>-1.8666775577472521E-2</v>
      </c>
      <c r="R20">
        <v>-1.6359049026301153E-2</v>
      </c>
      <c r="S20">
        <v>-1.6993100649518256E-2</v>
      </c>
      <c r="T20">
        <v>-1.7913317404910575E-2</v>
      </c>
      <c r="U20">
        <v>-1.7820211360776821E-2</v>
      </c>
    </row>
    <row r="21" spans="1:21">
      <c r="A21" t="s">
        <v>18</v>
      </c>
      <c r="B21">
        <v>-0.13239182604159427</v>
      </c>
      <c r="C21">
        <v>-9.4922767056877494E-2</v>
      </c>
      <c r="D21">
        <v>-5.4236776325467674E-2</v>
      </c>
      <c r="E21">
        <v>-3.8830900153182905E-2</v>
      </c>
      <c r="F21">
        <v>-3.1784503448075728E-2</v>
      </c>
      <c r="G21">
        <v>-2.5709526102023445E-2</v>
      </c>
      <c r="H21">
        <v>-2.4219712275631675E-2</v>
      </c>
      <c r="I21">
        <v>-2.3057210533995905E-2</v>
      </c>
      <c r="J21">
        <v>-2.1663328131504289E-2</v>
      </c>
      <c r="K21">
        <v>-2.1142662930182139E-2</v>
      </c>
      <c r="L21">
        <v>-2.0885748820210024E-2</v>
      </c>
      <c r="M21">
        <v>-2.0580477136939817E-2</v>
      </c>
      <c r="N21">
        <v>-1.8946585473579358E-2</v>
      </c>
      <c r="O21">
        <v>-1.8558731842731078E-2</v>
      </c>
      <c r="P21">
        <v>-1.8516840936248957E-2</v>
      </c>
      <c r="Q21">
        <v>-1.7865158564345885E-2</v>
      </c>
      <c r="R21">
        <v>-1.7677716989290344E-2</v>
      </c>
      <c r="S21">
        <v>-1.6901956795097602E-2</v>
      </c>
      <c r="T21">
        <v>-1.7032337242491244E-2</v>
      </c>
      <c r="U21">
        <v>-1.7587975703837081E-2</v>
      </c>
    </row>
    <row r="22" spans="1:21">
      <c r="A22" t="s">
        <v>19</v>
      </c>
      <c r="B22">
        <v>-0.12866385683741111</v>
      </c>
      <c r="C22">
        <v>-9.0072220004227224E-2</v>
      </c>
      <c r="D22">
        <v>-5.1578811261297465E-2</v>
      </c>
      <c r="E22">
        <v>-3.8517842090474846E-2</v>
      </c>
      <c r="F22">
        <v>-3.1887388538362163E-2</v>
      </c>
      <c r="G22">
        <v>-2.5474753309303565E-2</v>
      </c>
      <c r="H22">
        <v>-2.3065994841635185E-2</v>
      </c>
      <c r="I22">
        <v>-2.1124182642501474E-2</v>
      </c>
      <c r="J22">
        <v>-1.8790084618299136E-2</v>
      </c>
      <c r="K22">
        <v>-1.8682749033828126E-2</v>
      </c>
      <c r="L22">
        <v>-1.9273415271807485E-2</v>
      </c>
      <c r="M22">
        <v>-1.9511074555161202E-2</v>
      </c>
      <c r="N22">
        <v>-1.9093724483624158E-2</v>
      </c>
      <c r="O22">
        <v>-1.9888968488055395E-2</v>
      </c>
      <c r="P22">
        <v>-1.8731989873775799E-2</v>
      </c>
      <c r="Q22">
        <v>-1.7651330652239793E-2</v>
      </c>
      <c r="R22">
        <v>-1.7720554510262124E-2</v>
      </c>
      <c r="S22">
        <v>-1.7846158178820994E-2</v>
      </c>
      <c r="T22">
        <v>-1.85389345101248E-2</v>
      </c>
      <c r="U22">
        <v>-1.934779552328415E-2</v>
      </c>
    </row>
    <row r="23" spans="1:21">
      <c r="A23" t="s">
        <v>20</v>
      </c>
      <c r="B23">
        <v>-0.12860788845498466</v>
      </c>
      <c r="C23">
        <v>-9.1875197713612522E-2</v>
      </c>
      <c r="D23">
        <v>-5.2007543108465379E-2</v>
      </c>
      <c r="E23">
        <v>-3.8079180236678445E-2</v>
      </c>
      <c r="F23">
        <v>-3.0506780094234208E-2</v>
      </c>
      <c r="G23">
        <v>-2.4230778094200607E-2</v>
      </c>
      <c r="H23">
        <v>-2.3842748671222477E-2</v>
      </c>
      <c r="I23">
        <v>-2.1140689961808883E-2</v>
      </c>
      <c r="J23">
        <v>-1.9734589301462761E-2</v>
      </c>
      <c r="K23">
        <v>-1.86290159464132E-2</v>
      </c>
      <c r="L23">
        <v>-1.9368838245841992E-2</v>
      </c>
      <c r="M23">
        <v>-1.9036152430673702E-2</v>
      </c>
      <c r="N23">
        <v>-1.8179891617814914E-2</v>
      </c>
      <c r="O23">
        <v>-1.8614671429538727E-2</v>
      </c>
      <c r="P23">
        <v>-1.8895680110935981E-2</v>
      </c>
      <c r="Q23">
        <v>-1.7803799687568025E-2</v>
      </c>
      <c r="R23">
        <v>-1.7642037176124867E-2</v>
      </c>
      <c r="S23">
        <v>-1.8177489185286257E-2</v>
      </c>
      <c r="T23">
        <v>-1.7848416145715484E-2</v>
      </c>
      <c r="U23">
        <v>-1.7293126513723597E-2</v>
      </c>
    </row>
    <row r="24" spans="1:21">
      <c r="A24" t="s">
        <v>21</v>
      </c>
      <c r="B24">
        <v>-0.13101586510507518</v>
      </c>
      <c r="C24">
        <v>-9.3229402905948416E-2</v>
      </c>
      <c r="D24">
        <v>-5.4124340742525624E-2</v>
      </c>
      <c r="E24">
        <v>-4.0988855171313725E-2</v>
      </c>
      <c r="F24">
        <v>-3.3921376386452623E-2</v>
      </c>
      <c r="G24">
        <v>-2.7722343675688585E-2</v>
      </c>
      <c r="H24">
        <v>-2.5111316063069843E-2</v>
      </c>
      <c r="I24">
        <v>-2.4329906725333382E-2</v>
      </c>
      <c r="J24">
        <v>-2.1648497948389103E-2</v>
      </c>
      <c r="K24">
        <v>-2.147590267028297E-2</v>
      </c>
      <c r="L24">
        <v>-2.0575672643144544E-2</v>
      </c>
      <c r="M24">
        <v>-2.0953652026207231E-2</v>
      </c>
      <c r="N24">
        <v>-1.9539911219822383E-2</v>
      </c>
      <c r="O24">
        <v>-1.8788213821854655E-2</v>
      </c>
      <c r="P24">
        <v>-1.8091217377720393E-2</v>
      </c>
      <c r="Q24">
        <v>-1.8114261971682807E-2</v>
      </c>
      <c r="R24">
        <v>-1.8127757358628326E-2</v>
      </c>
      <c r="S24">
        <v>-1.8725976199187564E-2</v>
      </c>
      <c r="T24">
        <v>-1.9620831234282519E-2</v>
      </c>
      <c r="U24">
        <v>-1.9270887997407747E-2</v>
      </c>
    </row>
    <row r="25" spans="1:21">
      <c r="A25" t="s">
        <v>34</v>
      </c>
      <c r="B25">
        <v>-0.1323251728357335</v>
      </c>
      <c r="C25">
        <v>-9.6194264745279312E-2</v>
      </c>
      <c r="D25">
        <v>-5.6204245300371554E-2</v>
      </c>
      <c r="E25">
        <v>-4.0687820585027325E-2</v>
      </c>
      <c r="F25">
        <v>-3.4294917940596303E-2</v>
      </c>
      <c r="G25">
        <v>-2.7737732532905901E-2</v>
      </c>
      <c r="H25">
        <v>-2.5594580857572557E-2</v>
      </c>
      <c r="I25">
        <v>-2.4110270568407467E-2</v>
      </c>
      <c r="J25">
        <v>-2.1598409674353711E-2</v>
      </c>
      <c r="K25">
        <v>-2.0439513491141641E-2</v>
      </c>
      <c r="L25">
        <v>-1.8789365983451274E-2</v>
      </c>
      <c r="M25">
        <v>-1.9718781946355443E-2</v>
      </c>
      <c r="N25">
        <v>-1.6899705454362514E-2</v>
      </c>
      <c r="O25">
        <v>-1.6897485744161493E-2</v>
      </c>
      <c r="P25">
        <v>-1.6157908015928171E-2</v>
      </c>
      <c r="Q25">
        <v>-1.6963296646728326E-2</v>
      </c>
      <c r="R25">
        <v>-1.747285723796585E-2</v>
      </c>
      <c r="S25">
        <v>-1.7564531174794243E-2</v>
      </c>
      <c r="T25">
        <v>-1.820950299724319E-2</v>
      </c>
      <c r="U25">
        <v>-1.6714954333336664E-2</v>
      </c>
    </row>
    <row r="26" spans="1:21">
      <c r="A26" t="s">
        <v>22</v>
      </c>
      <c r="B26">
        <v>-0.20763066061032978</v>
      </c>
      <c r="C26">
        <v>-0.11789978853963053</v>
      </c>
      <c r="D26">
        <v>-6.2573854267927331E-2</v>
      </c>
      <c r="E26">
        <v>-4.6127968931052539E-2</v>
      </c>
      <c r="F26">
        <v>-3.5281435610555072E-2</v>
      </c>
      <c r="G26">
        <v>-2.809835867736285E-2</v>
      </c>
      <c r="H26">
        <v>-2.5634451064298194E-2</v>
      </c>
      <c r="I26">
        <v>-2.0506350929171739E-2</v>
      </c>
      <c r="J26">
        <v>-2.1370558754691137E-2</v>
      </c>
      <c r="K26">
        <v>-1.8356017163310649E-2</v>
      </c>
      <c r="L26">
        <v>-1.7473208643503081E-2</v>
      </c>
      <c r="M26">
        <v>-1.7220535838112422E-2</v>
      </c>
      <c r="N26">
        <v>-1.4477615136650144E-2</v>
      </c>
      <c r="O26">
        <v>-1.5058935679285911E-2</v>
      </c>
      <c r="P26">
        <v>-1.308964125913618E-2</v>
      </c>
      <c r="Q26">
        <v>-1.3865308688152247E-2</v>
      </c>
      <c r="R26">
        <v>-1.4226469313111365E-2</v>
      </c>
      <c r="S26">
        <v>-1.3625072216374282E-2</v>
      </c>
      <c r="T26">
        <v>-1.4117713342621583E-2</v>
      </c>
      <c r="U26">
        <v>-1.3881340056013011E-2</v>
      </c>
    </row>
    <row r="27" spans="1:21">
      <c r="A27" t="s">
        <v>23</v>
      </c>
      <c r="B27">
        <v>-0.14020369646842243</v>
      </c>
      <c r="C27">
        <v>-9.9755993897950049E-2</v>
      </c>
      <c r="D27">
        <v>-5.8908082230763194E-2</v>
      </c>
      <c r="E27">
        <v>-4.5493142396829611E-2</v>
      </c>
      <c r="F27">
        <v>-3.7816729426124754E-2</v>
      </c>
      <c r="G27">
        <v>-3.1320637878210308E-2</v>
      </c>
      <c r="H27">
        <v>-2.9477978272515845E-2</v>
      </c>
      <c r="I27">
        <v>-2.6783108454312553E-2</v>
      </c>
      <c r="J27">
        <v>-2.6804651330785238E-2</v>
      </c>
      <c r="K27">
        <v>-2.3900945478128502E-2</v>
      </c>
      <c r="L27">
        <v>-2.2715072929076412E-2</v>
      </c>
      <c r="M27">
        <v>-2.1204735936443255E-2</v>
      </c>
      <c r="N27">
        <v>-1.9839433944344193E-2</v>
      </c>
      <c r="O27">
        <v>-2.0033073554466697E-2</v>
      </c>
      <c r="P27">
        <v>-2.0045739970310648E-2</v>
      </c>
      <c r="Q27">
        <v>-2.0140845688317078E-2</v>
      </c>
      <c r="R27">
        <v>-2.0732669059649152E-2</v>
      </c>
      <c r="S27">
        <v>-1.857717964938382E-2</v>
      </c>
      <c r="T27">
        <v>-1.9497555893430607E-2</v>
      </c>
      <c r="U27">
        <v>-1.8915955073272536E-2</v>
      </c>
    </row>
    <row r="28" spans="1:21">
      <c r="A28" t="s">
        <v>24</v>
      </c>
      <c r="B28">
        <v>-0.13526329030382039</v>
      </c>
      <c r="C28">
        <v>-9.8481572629390168E-2</v>
      </c>
      <c r="D28">
        <v>-5.783799090313789E-2</v>
      </c>
      <c r="E28">
        <v>-4.4651880732419963E-2</v>
      </c>
      <c r="F28">
        <v>-3.6862632990644108E-2</v>
      </c>
      <c r="G28">
        <v>-3.0885528438467872E-2</v>
      </c>
      <c r="H28">
        <v>-2.7897156823432818E-2</v>
      </c>
      <c r="I28">
        <v>-2.6918850865435114E-2</v>
      </c>
      <c r="J28">
        <v>-2.5804124058875871E-2</v>
      </c>
      <c r="K28">
        <v>-2.2011176647256717E-2</v>
      </c>
      <c r="L28">
        <v>-2.0034482811175938E-2</v>
      </c>
      <c r="M28">
        <v>-1.9116594885269376E-2</v>
      </c>
      <c r="N28">
        <v>-1.7796481216422976E-2</v>
      </c>
      <c r="O28">
        <v>-1.6996408592162816E-2</v>
      </c>
      <c r="P28">
        <v>-1.6409312186871385E-2</v>
      </c>
      <c r="Q28">
        <v>-1.6688677704518189E-2</v>
      </c>
      <c r="R28">
        <v>-1.6792986166619246E-2</v>
      </c>
      <c r="S28">
        <v>-1.7141797170701106E-2</v>
      </c>
      <c r="T28">
        <v>-1.8548858683134859E-2</v>
      </c>
      <c r="U28">
        <v>-1.8268041396773283E-2</v>
      </c>
    </row>
    <row r="29" spans="1:21">
      <c r="A29" t="s">
        <v>25</v>
      </c>
      <c r="B29">
        <v>-0.13983009857511233</v>
      </c>
      <c r="C29">
        <v>-0.10596691003266343</v>
      </c>
      <c r="D29">
        <v>-6.7966476195844394E-2</v>
      </c>
      <c r="E29">
        <v>-5.4605153485884052E-2</v>
      </c>
      <c r="F29">
        <v>-4.642755310025283E-2</v>
      </c>
      <c r="G29">
        <v>-4.231764479682474E-2</v>
      </c>
      <c r="H29">
        <v>-4.1808289005846079E-2</v>
      </c>
      <c r="I29">
        <v>-3.9127207867967577E-2</v>
      </c>
      <c r="J29">
        <v>-3.6956995465306876E-2</v>
      </c>
      <c r="K29">
        <v>-3.5008444875348155E-2</v>
      </c>
      <c r="L29">
        <v>-2.9345566707745348E-2</v>
      </c>
      <c r="M29">
        <v>-2.6410606185834577E-2</v>
      </c>
      <c r="N29">
        <v>-2.6355072215464216E-2</v>
      </c>
      <c r="O29">
        <v>-2.5816768398127653E-2</v>
      </c>
      <c r="P29">
        <v>-2.5862887104602258E-2</v>
      </c>
      <c r="Q29">
        <v>-2.5488268766009299E-2</v>
      </c>
      <c r="R29">
        <v>-2.2669482503816164E-2</v>
      </c>
      <c r="S29">
        <v>-2.1512691093430094E-2</v>
      </c>
      <c r="T29">
        <v>-2.2235935105602005E-2</v>
      </c>
      <c r="U29">
        <v>-2.0999378726324635E-2</v>
      </c>
    </row>
    <row r="30" spans="1:21">
      <c r="A30" t="s">
        <v>26</v>
      </c>
      <c r="B30">
        <v>-0.10227501482053704</v>
      </c>
      <c r="C30">
        <v>-6.6890504856271002E-2</v>
      </c>
      <c r="D30">
        <v>-3.3209686233778998E-2</v>
      </c>
      <c r="E30">
        <v>-2.6327200559895146E-2</v>
      </c>
      <c r="F30">
        <v>-2.2703724627030165E-2</v>
      </c>
      <c r="G30">
        <v>-1.6977847978610974E-2</v>
      </c>
      <c r="H30">
        <v>-1.3758276072459098E-2</v>
      </c>
      <c r="I30">
        <v>-1.2069271610305101E-2</v>
      </c>
      <c r="J30">
        <v>-1.1494708254684856E-2</v>
      </c>
      <c r="K30">
        <v>-1.0532114641258647E-2</v>
      </c>
      <c r="L30">
        <v>-1.0501561326770197E-2</v>
      </c>
      <c r="M30">
        <v>-1.0167933711435581E-2</v>
      </c>
      <c r="N30">
        <v>-9.29012601826186E-3</v>
      </c>
      <c r="O30">
        <v>-8.9425700809644404E-3</v>
      </c>
      <c r="P30">
        <v>-9.043808141660975E-3</v>
      </c>
      <c r="Q30">
        <v>-9.0581072236653563E-3</v>
      </c>
      <c r="R30">
        <v>-9.508468129759402E-3</v>
      </c>
      <c r="S30">
        <v>-9.9247788310516671E-3</v>
      </c>
      <c r="T30">
        <v>-9.8737600597958546E-3</v>
      </c>
      <c r="U30">
        <v>-1.0180460879872838E-2</v>
      </c>
    </row>
    <row r="31" spans="1:21">
      <c r="A31" t="s">
        <v>27</v>
      </c>
      <c r="B31">
        <v>-0.13351843586828196</v>
      </c>
      <c r="C31">
        <v>-0.11377900153793667</v>
      </c>
      <c r="D31">
        <v>-0.10535453742371453</v>
      </c>
      <c r="E31">
        <v>-0.10028617484626312</v>
      </c>
      <c r="F31">
        <v>-9.5969415061935112E-2</v>
      </c>
      <c r="G31">
        <v>-8.7439401173172254E-2</v>
      </c>
      <c r="H31">
        <v>-8.7093068163843032E-2</v>
      </c>
      <c r="I31">
        <v>-8.5984917454297788E-2</v>
      </c>
      <c r="J31">
        <v>-8.4902585451548232E-2</v>
      </c>
      <c r="K31">
        <v>-8.289195630635883E-2</v>
      </c>
      <c r="L31">
        <v>-7.6507906256093702E-2</v>
      </c>
      <c r="M31">
        <v>-7.7278123426402889E-2</v>
      </c>
      <c r="N31">
        <v>-7.9646596184528004E-2</v>
      </c>
      <c r="O31">
        <v>-8.2449084338055367E-2</v>
      </c>
      <c r="P31">
        <v>-8.2701424102052945E-2</v>
      </c>
      <c r="Q31">
        <v>-8.0420730173655447E-2</v>
      </c>
      <c r="R31">
        <v>-7.808694923481449E-2</v>
      </c>
      <c r="S31">
        <v>-7.7988465171329097E-2</v>
      </c>
      <c r="T31">
        <v>-7.7316594373688638E-2</v>
      </c>
      <c r="U31">
        <v>-7.9059832536016408E-2</v>
      </c>
    </row>
    <row r="32" spans="1:21">
      <c r="A32" t="s">
        <v>28</v>
      </c>
      <c r="B32">
        <v>-0.14100433059983414</v>
      </c>
      <c r="C32">
        <v>-7.4646528512943025E-2</v>
      </c>
      <c r="D32">
        <v>-3.3789268084004571E-2</v>
      </c>
      <c r="E32">
        <v>-2.0463256839059897E-2</v>
      </c>
      <c r="F32">
        <v>-1.621048704510137E-2</v>
      </c>
      <c r="G32">
        <v>-1.3667914363807617E-2</v>
      </c>
      <c r="H32">
        <v>-1.0995586696211871E-2</v>
      </c>
      <c r="I32">
        <v>-9.1824678244208716E-3</v>
      </c>
      <c r="J32">
        <v>-8.279775608320895E-3</v>
      </c>
      <c r="K32">
        <v>-6.5746111532175473E-3</v>
      </c>
      <c r="L32">
        <v>-5.2727243103206341E-3</v>
      </c>
      <c r="M32">
        <v>-4.6437762290542023E-3</v>
      </c>
      <c r="N32">
        <v>-3.8288763003211609E-3</v>
      </c>
      <c r="O32">
        <v>-3.8459627841626438E-3</v>
      </c>
      <c r="P32">
        <v>-2.8174455665532614E-3</v>
      </c>
      <c r="Q32">
        <v>-3.0164679679153543E-3</v>
      </c>
      <c r="R32">
        <v>-2.3090112093091227E-3</v>
      </c>
      <c r="S32">
        <v>-2.575294877181476E-3</v>
      </c>
      <c r="T32">
        <v>-2.9061760892874896E-3</v>
      </c>
      <c r="U32">
        <v>-2.6877076647595132E-3</v>
      </c>
    </row>
    <row r="33" spans="1:21">
      <c r="A33" t="s">
        <v>29</v>
      </c>
      <c r="B33">
        <v>-0.12811211668437308</v>
      </c>
      <c r="C33">
        <v>-6.3218779832748401E-2</v>
      </c>
      <c r="D33">
        <v>-3.4699131959631549E-2</v>
      </c>
      <c r="E33">
        <v>-2.2570545255057604E-2</v>
      </c>
      <c r="F33">
        <v>-2.027703007969283E-2</v>
      </c>
      <c r="G33">
        <v>-1.6799975070278854E-2</v>
      </c>
      <c r="H33">
        <v>-1.3889477385771194E-2</v>
      </c>
      <c r="I33">
        <v>-1.0522402830252936E-2</v>
      </c>
      <c r="J33">
        <v>-9.1280462363131955E-3</v>
      </c>
      <c r="K33">
        <v>-8.0189892746765461E-3</v>
      </c>
      <c r="L33">
        <v>-7.7925479381143348E-3</v>
      </c>
      <c r="M33">
        <v>-7.1740891447135144E-3</v>
      </c>
      <c r="N33">
        <v>-6.4476371483433628E-3</v>
      </c>
      <c r="O33">
        <v>-6.1653482817326495E-3</v>
      </c>
      <c r="P33">
        <v>-6.1285510397723463E-3</v>
      </c>
      <c r="Q33">
        <v>-5.0202043229788818E-3</v>
      </c>
      <c r="R33">
        <v>-5.0822869141387006E-3</v>
      </c>
      <c r="S33">
        <v>-5.52939073890211E-3</v>
      </c>
      <c r="T33">
        <v>-6.1049672566455306E-3</v>
      </c>
      <c r="U33">
        <v>-6.4891488402069953E-3</v>
      </c>
    </row>
    <row r="34" spans="1:21">
      <c r="A34" t="s">
        <v>30</v>
      </c>
      <c r="B34">
        <v>-0.12979770770679508</v>
      </c>
      <c r="C34">
        <v>-6.2510385376015332E-2</v>
      </c>
      <c r="D34">
        <v>-3.3646555730474703E-2</v>
      </c>
      <c r="E34">
        <v>-2.275305860624241E-2</v>
      </c>
      <c r="F34">
        <v>-1.9523188799114459E-2</v>
      </c>
      <c r="G34">
        <v>-1.5743289606458124E-2</v>
      </c>
      <c r="H34">
        <v>-1.3698057406471925E-2</v>
      </c>
      <c r="I34">
        <v>-1.0929143922624139E-2</v>
      </c>
      <c r="J34">
        <v>-8.995281405985444E-3</v>
      </c>
      <c r="K34">
        <v>-7.4469336078928795E-3</v>
      </c>
      <c r="L34">
        <v>-5.3045406076546106E-3</v>
      </c>
      <c r="M34">
        <v>-5.416884746651634E-3</v>
      </c>
      <c r="N34">
        <v>-4.6483586525471621E-3</v>
      </c>
      <c r="O34">
        <v>-3.9556867035319045E-3</v>
      </c>
      <c r="P34">
        <v>-4.2002095006449533E-3</v>
      </c>
      <c r="Q34">
        <v>-4.2325893283392951E-3</v>
      </c>
      <c r="R34">
        <v>-4.2835682078374718E-3</v>
      </c>
      <c r="S34">
        <v>-3.8521839290184697E-3</v>
      </c>
      <c r="T34">
        <v>-3.8164464919483144E-3</v>
      </c>
      <c r="U34">
        <v>-4.0477342198337778E-3</v>
      </c>
    </row>
    <row r="35" spans="1:21">
      <c r="A35" t="s">
        <v>31</v>
      </c>
      <c r="B35">
        <v>-0.13625311767202972</v>
      </c>
      <c r="C35">
        <v>-0.11723947764902777</v>
      </c>
      <c r="D35">
        <v>-0.10623039624613194</v>
      </c>
      <c r="E35">
        <v>-9.9317801396633876E-2</v>
      </c>
      <c r="F35">
        <v>-9.4601425777170581E-2</v>
      </c>
      <c r="G35">
        <v>-8.7935184453226553E-2</v>
      </c>
      <c r="H35">
        <v>-8.1345082262012994E-2</v>
      </c>
      <c r="I35">
        <v>-7.6658322320122041E-2</v>
      </c>
      <c r="J35">
        <v>-7.2234789135205327E-2</v>
      </c>
      <c r="K35">
        <v>-6.4671800270584626E-2</v>
      </c>
      <c r="L35">
        <v>-6.0886600313612337E-2</v>
      </c>
      <c r="M35">
        <v>-6.0162732975500531E-2</v>
      </c>
      <c r="N35">
        <v>-5.7125517043737611E-2</v>
      </c>
      <c r="O35">
        <v>-5.7410728081756388E-2</v>
      </c>
      <c r="P35">
        <v>-5.4853064820208498E-2</v>
      </c>
      <c r="Q35">
        <v>-5.5320737518578342E-2</v>
      </c>
      <c r="R35">
        <v>-5.5855517391296808E-2</v>
      </c>
      <c r="S35">
        <v>-5.5273854359942899E-2</v>
      </c>
      <c r="T35">
        <v>-5.6019606452792012E-2</v>
      </c>
      <c r="U35">
        <v>-5.3272276494149028E-2</v>
      </c>
    </row>
    <row r="36" spans="1:21">
      <c r="A36" t="s">
        <v>32</v>
      </c>
      <c r="B36">
        <v>-0.15314910088304562</v>
      </c>
      <c r="C36">
        <v>-0.13706793009951843</v>
      </c>
      <c r="D36">
        <v>-0.12401288257757045</v>
      </c>
      <c r="E36">
        <v>-0.11637473608027668</v>
      </c>
      <c r="F36">
        <v>-0.11101003952734087</v>
      </c>
      <c r="G36">
        <v>-0.10162295840814067</v>
      </c>
      <c r="H36">
        <v>-0.10048096015105326</v>
      </c>
      <c r="I36">
        <v>-9.4410338317727133E-2</v>
      </c>
      <c r="J36">
        <v>-8.8104734104456364E-2</v>
      </c>
      <c r="K36">
        <v>-8.2609326403569661E-2</v>
      </c>
      <c r="L36">
        <v>-7.4186169247701203E-2</v>
      </c>
      <c r="M36">
        <v>-7.2342167732719301E-2</v>
      </c>
      <c r="N36">
        <v>-6.941471084494856E-2</v>
      </c>
      <c r="O36">
        <v>-6.9881605725915258E-2</v>
      </c>
      <c r="P36">
        <v>-6.6098268561450804E-2</v>
      </c>
      <c r="Q36">
        <v>-6.5407495759858034E-2</v>
      </c>
      <c r="R36">
        <v>-6.4961953479279536E-2</v>
      </c>
      <c r="S36">
        <v>-6.179245179452194E-2</v>
      </c>
      <c r="T36">
        <v>-6.0913707850777266E-2</v>
      </c>
      <c r="U36">
        <v>-6.1899460919127E-2</v>
      </c>
    </row>
    <row r="37" spans="1:21">
      <c r="A37" t="s">
        <v>33</v>
      </c>
      <c r="B37">
        <v>-0.14395205654440399</v>
      </c>
      <c r="C37">
        <v>-0.13254335161007375</v>
      </c>
      <c r="D37">
        <v>-0.12300371848890955</v>
      </c>
      <c r="E37">
        <v>-0.12188573604224318</v>
      </c>
      <c r="F37">
        <v>-0.12235632334030647</v>
      </c>
      <c r="G37">
        <v>-0.12005606105230432</v>
      </c>
      <c r="H37">
        <v>-0.12341991599843283</v>
      </c>
      <c r="I37">
        <v>-0.1260540758876936</v>
      </c>
      <c r="J37">
        <v>-0.12639614526866239</v>
      </c>
      <c r="K37">
        <v>-0.12741584687826094</v>
      </c>
      <c r="L37">
        <v>-0.11794892285398614</v>
      </c>
      <c r="M37">
        <v>-0.1182140993226409</v>
      </c>
      <c r="N37">
        <v>-0.12223987583263275</v>
      </c>
      <c r="O37">
        <v>-0.1236843004035304</v>
      </c>
      <c r="P37">
        <v>-0.1211811119288628</v>
      </c>
      <c r="Q37">
        <v>-0.12243987007968585</v>
      </c>
      <c r="R37">
        <v>-0.12576066334602265</v>
      </c>
      <c r="S37">
        <v>-0.1278424410678024</v>
      </c>
      <c r="T37">
        <v>-0.12382516197427935</v>
      </c>
      <c r="U37">
        <v>-0.1245923790403094</v>
      </c>
    </row>
  </sheetData>
  <phoneticPr fontId="0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8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 AA_R_phoamp_ty _1.4A"</f>
        <v xml:space="preserve"> AA_R_phoamp_ty _1.4A</v>
      </c>
      <c r="C1" s="1" t="str">
        <f>" AA_R_phoamp_ty _2A"</f>
        <v xml:space="preserve"> AA_R_phoamp_ty _2A</v>
      </c>
      <c r="D1" s="1" t="str">
        <f>" AA_R_phoamp_ty _3A"</f>
        <v xml:space="preserve"> AA_R_phoamp_ty _3A</v>
      </c>
      <c r="E1" s="1" t="str">
        <f>" AA_R_phoamp_ty _4A"</f>
        <v xml:space="preserve"> AA_R_phoamp_ty _4A</v>
      </c>
      <c r="F1" s="1" t="str">
        <f>" AA_R_phoamp_ty _5A"</f>
        <v xml:space="preserve"> AA_R_phoamp_ty _5A</v>
      </c>
      <c r="G1" s="1" t="str">
        <f>" AA_R_phoamp_ty _6A"</f>
        <v xml:space="preserve"> AA_R_phoamp_ty _6A</v>
      </c>
      <c r="H1" s="1" t="str">
        <f>" AA_R_phoamp_ty _7A"</f>
        <v xml:space="preserve"> AA_R_phoamp_ty _7A</v>
      </c>
      <c r="I1" s="1" t="str">
        <f>" AA_R_phoamp_ty _8A"</f>
        <v xml:space="preserve"> AA_R_phoamp_ty _8A</v>
      </c>
      <c r="J1" s="1" t="str">
        <f>" AA_R_phoamp_ty _9A"</f>
        <v xml:space="preserve"> AA_R_phoamp_ty _9A</v>
      </c>
      <c r="K1" s="1" t="str">
        <f>" AA_R_phoamp_ty _10A"</f>
        <v xml:space="preserve"> AA_R_phoamp_ty _10A</v>
      </c>
      <c r="L1" s="1" t="str">
        <f>" AA_R_phoamp_ty _11A"</f>
        <v xml:space="preserve"> AA_R_phoamp_ty _11A</v>
      </c>
      <c r="M1" s="1" t="str">
        <f>" AA_R_phoamp_ty _12A"</f>
        <v xml:space="preserve"> AA_R_phoamp_ty _12A</v>
      </c>
      <c r="N1" s="1" t="str">
        <f>" AA_R_phoamp_ty _13A"</f>
        <v xml:space="preserve"> AA_R_phoamp_ty _13A</v>
      </c>
      <c r="O1" s="1" t="str">
        <f>" AA_R_phoamp_ty _14A"</f>
        <v xml:space="preserve"> AA_R_phoamp_ty _14A</v>
      </c>
      <c r="P1" s="1" t="str">
        <f>" AA_R_phoamp_ty _15A"</f>
        <v xml:space="preserve"> AA_R_phoamp_ty _15A</v>
      </c>
      <c r="Q1" s="1" t="str">
        <f>" AA_R_phoamp_ty _16A"</f>
        <v xml:space="preserve"> AA_R_phoamp_ty _16A</v>
      </c>
      <c r="R1" s="1" t="str">
        <f>" AA_R_phoamp_ty _17A"</f>
        <v xml:space="preserve"> AA_R_phoamp_ty _17A</v>
      </c>
      <c r="S1" s="1" t="str">
        <f>" AA_R_phoamp_ty _18A"</f>
        <v xml:space="preserve"> AA_R_phoamp_ty _18A</v>
      </c>
      <c r="T1" s="1" t="str">
        <f>" AA_R_phoamp_ty _19A"</f>
        <v xml:space="preserve"> AA_R_phoamp_ty _19A</v>
      </c>
      <c r="U1" s="1" t="str">
        <f>" AA_R_phoamp_ty _20A"</f>
        <v xml:space="preserve"> AA_R_phoamp_ty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-0.22917742760882265</v>
      </c>
      <c r="C3">
        <v>-0.20662299687120481</v>
      </c>
      <c r="D3">
        <v>-0.18055853688925827</v>
      </c>
      <c r="E3">
        <v>-0.16935427824210744</v>
      </c>
      <c r="F3">
        <v>-0.16060495574889047</v>
      </c>
      <c r="G3">
        <v>-0.13882316202312889</v>
      </c>
      <c r="H3">
        <v>-0.13999460336774933</v>
      </c>
      <c r="I3">
        <v>-0.12378403939530511</v>
      </c>
      <c r="J3">
        <v>-0.11882221099090755</v>
      </c>
      <c r="K3">
        <v>-0.12045222234973896</v>
      </c>
      <c r="L3">
        <v>-0.11103560001410462</v>
      </c>
      <c r="M3">
        <v>-0.10980959625031049</v>
      </c>
      <c r="N3">
        <v>-0.1095532121378472</v>
      </c>
      <c r="O3">
        <v>-0.10225544388087141</v>
      </c>
      <c r="P3">
        <v>-0.10142835994010206</v>
      </c>
      <c r="Q3">
        <v>-9.119257318623572E-2</v>
      </c>
      <c r="R3">
        <v>-9.0066748706193758E-2</v>
      </c>
      <c r="S3">
        <v>-8.1492535794009904E-2</v>
      </c>
      <c r="T3">
        <v>-8.4349982244796728E-2</v>
      </c>
      <c r="U3">
        <v>-7.9808570582650631E-2</v>
      </c>
    </row>
    <row r="4" spans="1:24">
      <c r="A4" t="s">
        <v>1</v>
      </c>
      <c r="B4">
        <v>-0.21334746331800225</v>
      </c>
      <c r="C4">
        <v>-0.18300664355358012</v>
      </c>
      <c r="D4">
        <v>-0.15057121994458789</v>
      </c>
      <c r="E4">
        <v>-0.14022168211656799</v>
      </c>
      <c r="F4">
        <v>-0.14600012821754541</v>
      </c>
      <c r="G4">
        <v>-0.13702939126289654</v>
      </c>
      <c r="H4">
        <v>-0.14007535708549901</v>
      </c>
      <c r="I4">
        <v>-0.14630774145144923</v>
      </c>
      <c r="J4">
        <v>-0.14462991045247839</v>
      </c>
      <c r="K4">
        <v>-0.14848296131497365</v>
      </c>
      <c r="L4">
        <v>-0.14995087124995035</v>
      </c>
      <c r="M4">
        <v>-0.1550400235909887</v>
      </c>
      <c r="N4">
        <v>-0.15143236987583039</v>
      </c>
      <c r="O4">
        <v>-0.15615097083810089</v>
      </c>
      <c r="P4">
        <v>-0.1536063157633995</v>
      </c>
      <c r="Q4">
        <v>-0.14873549774790298</v>
      </c>
      <c r="R4">
        <v>-0.14870269110514756</v>
      </c>
      <c r="S4">
        <v>-0.15284479435709353</v>
      </c>
      <c r="T4">
        <v>-0.14947132872422586</v>
      </c>
      <c r="U4">
        <v>-0.14868404020369619</v>
      </c>
    </row>
    <row r="5" spans="1:24">
      <c r="A5" t="s">
        <v>2</v>
      </c>
      <c r="B5">
        <v>-0.12078499614900466</v>
      </c>
      <c r="C5">
        <v>-8.38079403378965E-2</v>
      </c>
      <c r="D5">
        <v>-6.4049903590631049E-2</v>
      </c>
      <c r="E5">
        <v>-5.3815134222692178E-2</v>
      </c>
      <c r="F5">
        <v>-4.9921179379688693E-2</v>
      </c>
      <c r="G5">
        <v>-4.6757475675153023E-2</v>
      </c>
      <c r="H5">
        <v>-4.4405024263372582E-2</v>
      </c>
      <c r="I5">
        <v>-4.1014548155870197E-2</v>
      </c>
      <c r="J5">
        <v>-3.8694806018484358E-2</v>
      </c>
      <c r="K5">
        <v>-3.9690842724504939E-2</v>
      </c>
      <c r="L5">
        <v>-3.8024403616556311E-2</v>
      </c>
      <c r="M5">
        <v>-3.8441154441137486E-2</v>
      </c>
      <c r="N5">
        <v>-3.8383721529135911E-2</v>
      </c>
      <c r="O5">
        <v>-3.7101225054667522E-2</v>
      </c>
      <c r="P5">
        <v>-3.5367122979248308E-2</v>
      </c>
      <c r="Q5">
        <v>-3.1701776193049161E-2</v>
      </c>
      <c r="R5">
        <v>-3.271323647670616E-2</v>
      </c>
      <c r="S5">
        <v>-3.19897859402168E-2</v>
      </c>
      <c r="T5">
        <v>-3.1922245558103794E-2</v>
      </c>
      <c r="U5">
        <v>-3.1774448161849461E-2</v>
      </c>
    </row>
    <row r="6" spans="1:24">
      <c r="A6" t="s">
        <v>3</v>
      </c>
      <c r="B6">
        <v>-0.25421600852380272</v>
      </c>
      <c r="C6">
        <v>-0.13778670987872257</v>
      </c>
      <c r="D6">
        <v>-0.12607425522831864</v>
      </c>
      <c r="E6">
        <v>-0.10097635843769635</v>
      </c>
      <c r="F6">
        <v>-8.6029610628233041E-2</v>
      </c>
      <c r="G6">
        <v>-7.7387203339280716E-2</v>
      </c>
      <c r="H6">
        <v>-7.3574501735000894E-2</v>
      </c>
      <c r="I6">
        <v>-6.8831106770708209E-2</v>
      </c>
      <c r="J6">
        <v>-6.4039201639026835E-2</v>
      </c>
      <c r="K6">
        <v>-6.2878469452709307E-2</v>
      </c>
      <c r="L6">
        <v>-5.289767785886066E-2</v>
      </c>
      <c r="M6">
        <v>-4.6450689047663578E-2</v>
      </c>
      <c r="N6">
        <v>-5.0087574661412448E-2</v>
      </c>
      <c r="O6">
        <v>-4.7413612072265882E-2</v>
      </c>
      <c r="P6">
        <v>-4.0536234691153007E-2</v>
      </c>
      <c r="Q6">
        <v>-4.1474313892052875E-2</v>
      </c>
      <c r="R6">
        <v>-3.8807463127531548E-2</v>
      </c>
      <c r="S6">
        <v>-3.7853830174827192E-2</v>
      </c>
      <c r="T6">
        <v>-3.2207295194131125E-2</v>
      </c>
      <c r="U6">
        <v>-2.9311785777240532E-2</v>
      </c>
    </row>
    <row r="7" spans="1:24">
      <c r="A7" t="s">
        <v>4</v>
      </c>
      <c r="B7">
        <v>-0.21197338811289951</v>
      </c>
      <c r="C7">
        <v>-0.1222456794557399</v>
      </c>
      <c r="D7">
        <v>-0.10096504494736513</v>
      </c>
      <c r="E7">
        <v>-8.0086796090809528E-2</v>
      </c>
      <c r="F7">
        <v>-6.0820598176275255E-2</v>
      </c>
      <c r="G7">
        <v>-5.3077718906579523E-2</v>
      </c>
      <c r="H7">
        <v>-4.9751720260013989E-2</v>
      </c>
      <c r="I7">
        <v>-4.3747324582140056E-2</v>
      </c>
      <c r="J7">
        <v>-4.1605782622916192E-2</v>
      </c>
      <c r="K7">
        <v>-3.4032020758826081E-2</v>
      </c>
      <c r="L7">
        <v>-3.0247353240089946E-2</v>
      </c>
      <c r="M7">
        <v>-2.7372754722413888E-2</v>
      </c>
      <c r="N7">
        <v>-2.3225298393039266E-2</v>
      </c>
      <c r="O7">
        <v>-2.4574134794419479E-2</v>
      </c>
      <c r="P7">
        <v>-2.6619592745777281E-2</v>
      </c>
      <c r="Q7">
        <v>-2.562359365401579E-2</v>
      </c>
      <c r="R7">
        <v>-2.5233877789972797E-2</v>
      </c>
      <c r="S7">
        <v>-2.4081768188688509E-2</v>
      </c>
      <c r="T7">
        <v>-2.5359018968959018E-2</v>
      </c>
      <c r="U7">
        <v>-2.6102451560128456E-2</v>
      </c>
    </row>
    <row r="8" spans="1:24">
      <c r="A8" t="s">
        <v>5</v>
      </c>
      <c r="B8">
        <v>-0.21629809058771501</v>
      </c>
      <c r="C8">
        <v>-0.12519453384676485</v>
      </c>
      <c r="D8">
        <v>-9.8028446976257053E-2</v>
      </c>
      <c r="E8">
        <v>-7.273050799984461E-2</v>
      </c>
      <c r="F8">
        <v>-6.3132165427480819E-2</v>
      </c>
      <c r="G8">
        <v>-5.4633438499838302E-2</v>
      </c>
      <c r="H8">
        <v>-5.5378508125934159E-2</v>
      </c>
      <c r="I8">
        <v>-4.9297384526227658E-2</v>
      </c>
      <c r="J8">
        <v>-4.4762570904539264E-2</v>
      </c>
      <c r="K8">
        <v>-4.4014375203942142E-2</v>
      </c>
      <c r="L8">
        <v>-3.0805361544285616E-2</v>
      </c>
      <c r="M8">
        <v>-3.1606490360316916E-2</v>
      </c>
      <c r="N8">
        <v>-3.2388706250712364E-2</v>
      </c>
      <c r="O8">
        <v>-3.0726483852880713E-2</v>
      </c>
      <c r="P8">
        <v>-2.9801418801432986E-2</v>
      </c>
      <c r="Q8">
        <v>-2.0994645106551354E-2</v>
      </c>
      <c r="R8">
        <v>-2.1761383050652124E-2</v>
      </c>
      <c r="S8">
        <v>-2.3997126271965485E-2</v>
      </c>
      <c r="T8">
        <v>-2.5695797383468343E-2</v>
      </c>
      <c r="U8">
        <v>-2.6740226166252292E-2</v>
      </c>
    </row>
    <row r="9" spans="1:24">
      <c r="A9" t="s">
        <v>6</v>
      </c>
      <c r="B9">
        <v>-0.21182845461642563</v>
      </c>
      <c r="C9">
        <v>-0.1213903207157441</v>
      </c>
      <c r="D9">
        <v>-9.285364026166619E-2</v>
      </c>
      <c r="E9">
        <v>-7.2825988128084274E-2</v>
      </c>
      <c r="F9">
        <v>-6.4461144545631663E-2</v>
      </c>
      <c r="G9">
        <v>-5.9139459795525019E-2</v>
      </c>
      <c r="H9">
        <v>-5.0177814175772398E-2</v>
      </c>
      <c r="I9">
        <v>-4.692601724283043E-2</v>
      </c>
      <c r="J9">
        <v>-4.6557325347451738E-2</v>
      </c>
      <c r="K9">
        <v>-4.2652427655881106E-2</v>
      </c>
      <c r="L9">
        <v>-3.5629879525388673E-2</v>
      </c>
      <c r="M9">
        <v>-3.5966467688116573E-2</v>
      </c>
      <c r="N9">
        <v>-3.8492719007942044E-2</v>
      </c>
      <c r="O9">
        <v>-4.2177527778908631E-2</v>
      </c>
      <c r="P9">
        <v>-4.1688944841163006E-2</v>
      </c>
      <c r="Q9">
        <v>-4.1253187000053863E-2</v>
      </c>
      <c r="R9">
        <v>-3.8826021893868155E-2</v>
      </c>
      <c r="S9">
        <v>-3.7807437640802133E-2</v>
      </c>
      <c r="T9">
        <v>-3.6691925730027018E-2</v>
      </c>
      <c r="U9">
        <v>-3.8138162009079192E-2</v>
      </c>
    </row>
    <row r="10" spans="1:24">
      <c r="A10" t="s">
        <v>7</v>
      </c>
      <c r="B10">
        <v>-0.21760887735421688</v>
      </c>
      <c r="C10">
        <v>-0.12748032931909589</v>
      </c>
      <c r="D10">
        <v>-0.10324715093138639</v>
      </c>
      <c r="E10">
        <v>-7.5201515142639855E-2</v>
      </c>
      <c r="F10">
        <v>-6.5847319718613517E-2</v>
      </c>
      <c r="G10">
        <v>-5.4152449064850026E-2</v>
      </c>
      <c r="H10">
        <v>-5.1733037329635738E-2</v>
      </c>
      <c r="I10">
        <v>-4.7401101878950858E-2</v>
      </c>
      <c r="J10">
        <v>-4.3800457707287438E-2</v>
      </c>
      <c r="K10">
        <v>-3.9348616990593041E-2</v>
      </c>
      <c r="L10">
        <v>-3.6832218214611398E-2</v>
      </c>
      <c r="M10">
        <v>-3.5370499888175429E-2</v>
      </c>
      <c r="N10">
        <v>-3.595577566374384E-2</v>
      </c>
      <c r="O10">
        <v>-3.6614047373470168E-2</v>
      </c>
      <c r="P10">
        <v>-3.4012559509593324E-2</v>
      </c>
      <c r="Q10">
        <v>-3.3224767087892133E-2</v>
      </c>
      <c r="R10">
        <v>-3.1748734108644053E-2</v>
      </c>
      <c r="S10">
        <v>-2.8535877369714885E-2</v>
      </c>
      <c r="T10">
        <v>-3.0512088966582782E-2</v>
      </c>
      <c r="U10">
        <v>-2.3864649858422616E-2</v>
      </c>
    </row>
    <row r="11" spans="1:24">
      <c r="A11" t="s">
        <v>8</v>
      </c>
      <c r="B11">
        <v>-0.23251444418317838</v>
      </c>
      <c r="C11">
        <v>-0.13688620072006377</v>
      </c>
      <c r="D11">
        <v>-0.10947042972000448</v>
      </c>
      <c r="E11">
        <v>-8.6967074167711461E-2</v>
      </c>
      <c r="F11">
        <v>-7.6345247809060462E-2</v>
      </c>
      <c r="G11">
        <v>-6.0992994389366284E-2</v>
      </c>
      <c r="H11">
        <v>-5.4541999612548291E-2</v>
      </c>
      <c r="I11">
        <v>-4.6079092677684577E-2</v>
      </c>
      <c r="J11">
        <v>-3.9845991652671629E-2</v>
      </c>
      <c r="K11">
        <v>-3.9312810954081949E-2</v>
      </c>
      <c r="L11">
        <v>-2.0759498388535979E-2</v>
      </c>
      <c r="M11">
        <v>-1.7094214455354785E-2</v>
      </c>
      <c r="N11">
        <v>-1.5350268311949581E-2</v>
      </c>
      <c r="O11">
        <v>-1.1346222776027801E-2</v>
      </c>
      <c r="P11">
        <v>-1.1829697906410658E-2</v>
      </c>
      <c r="Q11">
        <v>-1.2175804132365763E-2</v>
      </c>
      <c r="R11">
        <v>-1.1763279914794497E-2</v>
      </c>
      <c r="S11">
        <v>-1.1370161760640566E-2</v>
      </c>
      <c r="T11">
        <v>-1.0836831764663192E-2</v>
      </c>
      <c r="U11">
        <v>-1.1241989510293125E-2</v>
      </c>
    </row>
    <row r="12" spans="1:24">
      <c r="A12" t="s">
        <v>9</v>
      </c>
      <c r="B12">
        <v>-9.9608323771305629E-2</v>
      </c>
      <c r="C12">
        <v>-6.6633239073581388E-2</v>
      </c>
      <c r="D12">
        <v>-5.1821330548583969E-2</v>
      </c>
      <c r="E12">
        <v>-4.4091276575947191E-2</v>
      </c>
      <c r="F12">
        <v>-4.5334795838560954E-2</v>
      </c>
      <c r="G12">
        <v>-3.8786692934836581E-2</v>
      </c>
      <c r="H12">
        <v>-3.6937994195985389E-2</v>
      </c>
      <c r="I12">
        <v>-3.9137037621018909E-2</v>
      </c>
      <c r="J12">
        <v>-4.0970344279778609E-2</v>
      </c>
      <c r="K12">
        <v>-4.0732611122518809E-2</v>
      </c>
      <c r="L12">
        <v>-3.9195175789164774E-2</v>
      </c>
      <c r="M12">
        <v>-3.2509011450602483E-2</v>
      </c>
      <c r="N12">
        <v>-3.3127441851244756E-2</v>
      </c>
      <c r="O12">
        <v>-3.3591276031298564E-2</v>
      </c>
      <c r="P12">
        <v>-3.2716491820421946E-2</v>
      </c>
      <c r="Q12">
        <v>-3.3078806880044748E-2</v>
      </c>
      <c r="R12">
        <v>-3.5912922925237331E-2</v>
      </c>
      <c r="S12">
        <v>-3.2472125227365513E-2</v>
      </c>
      <c r="T12">
        <v>-3.2562866961824553E-2</v>
      </c>
      <c r="U12">
        <v>-2.9803708854268699E-2</v>
      </c>
    </row>
    <row r="13" spans="1:24">
      <c r="A13" t="s">
        <v>10</v>
      </c>
      <c r="B13">
        <v>-0.10648004675496624</v>
      </c>
      <c r="C13">
        <v>-6.3067690267822177E-2</v>
      </c>
      <c r="D13">
        <v>-5.4386353904135439E-2</v>
      </c>
      <c r="E13">
        <v>-4.4508595077350076E-2</v>
      </c>
      <c r="F13">
        <v>-4.2140190245856531E-2</v>
      </c>
      <c r="G13">
        <v>-4.2134932667507285E-2</v>
      </c>
      <c r="H13">
        <v>-3.9429152538429935E-2</v>
      </c>
      <c r="I13">
        <v>-3.8332399027087301E-2</v>
      </c>
      <c r="J13">
        <v>-3.8034707450915806E-2</v>
      </c>
      <c r="K13">
        <v>-3.6890902029006863E-2</v>
      </c>
      <c r="L13">
        <v>-3.6210618461764967E-2</v>
      </c>
      <c r="M13">
        <v>-3.7337042522869041E-2</v>
      </c>
      <c r="N13">
        <v>-3.5841083851781572E-2</v>
      </c>
      <c r="O13">
        <v>-3.220234876469364E-2</v>
      </c>
      <c r="P13">
        <v>-3.5593537150280269E-2</v>
      </c>
      <c r="Q13">
        <v>-3.6143935202518331E-2</v>
      </c>
      <c r="R13">
        <v>-3.9015745617010794E-2</v>
      </c>
      <c r="S13">
        <v>-3.606894284189139E-2</v>
      </c>
      <c r="T13">
        <v>-3.4450034873848609E-2</v>
      </c>
      <c r="U13">
        <v>-3.5879397316437897E-2</v>
      </c>
    </row>
    <row r="14" spans="1:24">
      <c r="A14" t="s">
        <v>11</v>
      </c>
      <c r="B14">
        <v>-9.3284044194621371E-2</v>
      </c>
      <c r="C14">
        <v>-5.5354022138456811E-2</v>
      </c>
      <c r="D14">
        <v>-4.3617005684353949E-2</v>
      </c>
      <c r="E14">
        <v>-3.5159130797961888E-2</v>
      </c>
      <c r="F14">
        <v>-3.1569729708579582E-2</v>
      </c>
      <c r="G14">
        <v>-3.0694801278308176E-2</v>
      </c>
      <c r="H14">
        <v>-2.9860220963642787E-2</v>
      </c>
      <c r="I14">
        <v>-2.8857691656361095E-2</v>
      </c>
      <c r="J14">
        <v>-2.9341262341953181E-2</v>
      </c>
      <c r="K14">
        <v>-2.897040209120235E-2</v>
      </c>
      <c r="L14">
        <v>-2.5006615131397011E-2</v>
      </c>
      <c r="M14">
        <v>-1.9138328173602916E-2</v>
      </c>
      <c r="N14">
        <v>-1.9116705385055846E-2</v>
      </c>
      <c r="O14">
        <v>-1.9122906460199037E-2</v>
      </c>
      <c r="P14">
        <v>-1.7991110926820923E-2</v>
      </c>
      <c r="Q14">
        <v>-1.8274814744989213E-2</v>
      </c>
      <c r="R14">
        <v>-1.914354102005603E-2</v>
      </c>
      <c r="S14">
        <v>-2.0612594784907332E-2</v>
      </c>
      <c r="T14">
        <v>-2.1564116144071506E-2</v>
      </c>
      <c r="U14">
        <v>-2.0535913374203758E-2</v>
      </c>
    </row>
    <row r="15" spans="1:24">
      <c r="A15" t="s">
        <v>12</v>
      </c>
      <c r="B15">
        <v>-7.3344753028752513E-2</v>
      </c>
      <c r="C15">
        <v>-6.2538877326260595E-2</v>
      </c>
      <c r="D15">
        <v>-5.1974676727632507E-2</v>
      </c>
      <c r="E15">
        <v>-4.9610723868963404E-2</v>
      </c>
      <c r="F15">
        <v>-4.9302313821115898E-2</v>
      </c>
      <c r="G15">
        <v>-4.8444335355666349E-2</v>
      </c>
      <c r="H15">
        <v>-4.9735885442071109E-2</v>
      </c>
      <c r="I15">
        <v>-4.874741065867412E-2</v>
      </c>
      <c r="J15">
        <v>-4.6496081150602116E-2</v>
      </c>
      <c r="K15">
        <v>-4.8019199735952971E-2</v>
      </c>
      <c r="L15">
        <v>-4.4309786847227979E-2</v>
      </c>
      <c r="M15">
        <v>-4.34384978001192E-2</v>
      </c>
      <c r="N15">
        <v>-4.1460015686755274E-2</v>
      </c>
      <c r="O15">
        <v>-4.1453160534490718E-2</v>
      </c>
      <c r="P15">
        <v>-3.6970339428609153E-2</v>
      </c>
      <c r="Q15">
        <v>-3.5576999366265558E-2</v>
      </c>
      <c r="R15">
        <v>-3.7099547106854577E-2</v>
      </c>
      <c r="S15">
        <v>-3.7452580098512482E-2</v>
      </c>
      <c r="T15">
        <v>-3.8409770625709737E-2</v>
      </c>
      <c r="U15">
        <v>-3.9898987664045482E-2</v>
      </c>
    </row>
    <row r="16" spans="1:24">
      <c r="A16" t="s">
        <v>13</v>
      </c>
      <c r="B16">
        <v>-0.24798824043322867</v>
      </c>
      <c r="C16">
        <v>-0.13163595702635256</v>
      </c>
      <c r="D16">
        <v>-7.8106257715609848E-2</v>
      </c>
      <c r="E16">
        <v>-5.954518982020033E-2</v>
      </c>
      <c r="F16">
        <v>-4.9494220263133104E-2</v>
      </c>
      <c r="G16">
        <v>-4.2488129107081565E-2</v>
      </c>
      <c r="H16">
        <v>-3.8783116317957202E-2</v>
      </c>
      <c r="I16">
        <v>-3.5759911132219595E-2</v>
      </c>
      <c r="J16">
        <v>-3.500520659257645E-2</v>
      </c>
      <c r="K16">
        <v>-3.416488464499217E-2</v>
      </c>
      <c r="L16">
        <v>-3.0583333462665646E-2</v>
      </c>
      <c r="M16">
        <v>-2.8487823826010863E-2</v>
      </c>
      <c r="N16">
        <v>-2.8206619552856582E-2</v>
      </c>
      <c r="O16">
        <v>-2.7988095065045765E-2</v>
      </c>
      <c r="P16">
        <v>-2.6366783150747395E-2</v>
      </c>
      <c r="Q16">
        <v>-2.3315712174636061E-2</v>
      </c>
      <c r="R16">
        <v>-2.2309259160480994E-2</v>
      </c>
      <c r="S16">
        <v>-2.3424721115040015E-2</v>
      </c>
      <c r="T16">
        <v>-2.371510721482854E-2</v>
      </c>
      <c r="U16">
        <v>-2.3369661147607267E-2</v>
      </c>
    </row>
    <row r="17" spans="1:21">
      <c r="A17" t="s">
        <v>14</v>
      </c>
      <c r="B17">
        <v>-0.25825466489827686</v>
      </c>
      <c r="C17">
        <v>-0.13396854686944343</v>
      </c>
      <c r="D17">
        <v>-7.7482877053909049E-2</v>
      </c>
      <c r="E17">
        <v>-5.9263009127729749E-2</v>
      </c>
      <c r="F17">
        <v>-5.120995085163698E-2</v>
      </c>
      <c r="G17">
        <v>-4.3097416750411496E-2</v>
      </c>
      <c r="H17">
        <v>-4.1493188575458202E-2</v>
      </c>
      <c r="I17">
        <v>-4.0668619907279088E-2</v>
      </c>
      <c r="J17">
        <v>-3.6567328352490165E-2</v>
      </c>
      <c r="K17">
        <v>-3.8144034748873096E-2</v>
      </c>
      <c r="L17">
        <v>-3.5707767524644288E-2</v>
      </c>
      <c r="M17">
        <v>-2.9535527228042084E-2</v>
      </c>
      <c r="N17">
        <v>-2.8614406220682106E-2</v>
      </c>
      <c r="O17">
        <v>-2.9702703824448687E-2</v>
      </c>
      <c r="P17">
        <v>-2.6462595370315721E-2</v>
      </c>
      <c r="Q17">
        <v>-2.7674638630340986E-2</v>
      </c>
      <c r="R17">
        <v>-2.9002071807375834E-2</v>
      </c>
      <c r="S17">
        <v>-2.8983043391983605E-2</v>
      </c>
      <c r="T17">
        <v>-3.0296043573560808E-2</v>
      </c>
      <c r="U17">
        <v>-3.1724565892109376E-2</v>
      </c>
    </row>
    <row r="18" spans="1:21">
      <c r="A18" t="s">
        <v>15</v>
      </c>
      <c r="B18">
        <v>-0.27284161963437414</v>
      </c>
      <c r="C18">
        <v>-0.15452977116792924</v>
      </c>
      <c r="D18">
        <v>-9.4209370180340354E-2</v>
      </c>
      <c r="E18">
        <v>-7.1860573343552642E-2</v>
      </c>
      <c r="F18">
        <v>-6.668258174931159E-2</v>
      </c>
      <c r="G18">
        <v>-6.0495740489401283E-2</v>
      </c>
      <c r="H18">
        <v>-5.6436596982835749E-2</v>
      </c>
      <c r="I18">
        <v>-5.1959314135590719E-2</v>
      </c>
      <c r="J18">
        <v>-5.5394883535438623E-2</v>
      </c>
      <c r="K18">
        <v>-5.5203433212381955E-2</v>
      </c>
      <c r="L18">
        <v>-4.9638660516320474E-2</v>
      </c>
      <c r="M18">
        <v>-4.837856296662571E-2</v>
      </c>
      <c r="N18">
        <v>-4.6627444921844383E-2</v>
      </c>
      <c r="O18">
        <v>-4.402658890724441E-2</v>
      </c>
      <c r="P18">
        <v>-4.178361032014262E-2</v>
      </c>
      <c r="Q18">
        <v>-3.7057135706414841E-2</v>
      </c>
      <c r="R18">
        <v>-3.9347972544064906E-2</v>
      </c>
      <c r="S18">
        <v>-4.0371336639799332E-2</v>
      </c>
      <c r="T18">
        <v>-4.2317625991810007E-2</v>
      </c>
      <c r="U18">
        <v>-4.0524488860724982E-2</v>
      </c>
    </row>
    <row r="19" spans="1:21">
      <c r="A19" t="s">
        <v>16</v>
      </c>
      <c r="B19">
        <v>-0.16084987687879029</v>
      </c>
      <c r="C19">
        <v>-0.10752709103819287</v>
      </c>
      <c r="D19">
        <v>-6.4149632206030011E-2</v>
      </c>
      <c r="E19">
        <v>-4.8832540123648738E-2</v>
      </c>
      <c r="F19">
        <v>-4.0405383220311925E-2</v>
      </c>
      <c r="G19">
        <v>-3.2985239371122362E-2</v>
      </c>
      <c r="H19">
        <v>-3.0827386938196671E-2</v>
      </c>
      <c r="I19">
        <v>-2.8245907532037321E-2</v>
      </c>
      <c r="J19">
        <v>-2.5394185582452152E-2</v>
      </c>
      <c r="K19">
        <v>-2.457861113566806E-2</v>
      </c>
      <c r="L19">
        <v>-2.2707835671537429E-2</v>
      </c>
      <c r="M19">
        <v>-2.2102886234164187E-2</v>
      </c>
      <c r="N19">
        <v>-1.9928187025445483E-2</v>
      </c>
      <c r="O19">
        <v>-1.9327852161860247E-2</v>
      </c>
      <c r="P19">
        <v>-1.8626536637781785E-2</v>
      </c>
      <c r="Q19">
        <v>-1.7271067399684131E-2</v>
      </c>
      <c r="R19">
        <v>-1.774811370322581E-2</v>
      </c>
      <c r="S19">
        <v>-1.754321060338801E-2</v>
      </c>
      <c r="T19">
        <v>-1.7476009636132661E-2</v>
      </c>
      <c r="U19">
        <v>-1.7901763387651249E-2</v>
      </c>
    </row>
    <row r="20" spans="1:21">
      <c r="A20" t="s">
        <v>17</v>
      </c>
      <c r="B20">
        <v>-0.14978741283955713</v>
      </c>
      <c r="C20">
        <v>-0.10232686279991215</v>
      </c>
      <c r="D20">
        <v>-5.5523087639428245E-2</v>
      </c>
      <c r="E20">
        <v>-4.0217116141432127E-2</v>
      </c>
      <c r="F20">
        <v>-3.3257980181767371E-2</v>
      </c>
      <c r="G20">
        <v>-2.444916347453591E-2</v>
      </c>
      <c r="H20">
        <v>-2.4295945303214401E-2</v>
      </c>
      <c r="I20">
        <v>-2.3527661972787429E-2</v>
      </c>
      <c r="J20">
        <v>-2.0628957551106036E-2</v>
      </c>
      <c r="K20">
        <v>-1.9630688125838864E-2</v>
      </c>
      <c r="L20">
        <v>-1.9636139482564541E-2</v>
      </c>
      <c r="M20">
        <v>-1.9346961726010962E-2</v>
      </c>
      <c r="N20">
        <v>-1.9193231437576876E-2</v>
      </c>
      <c r="O20">
        <v>-1.9013146943617096E-2</v>
      </c>
      <c r="P20">
        <v>-1.901010480183133E-2</v>
      </c>
      <c r="Q20">
        <v>-1.9021852224005886E-2</v>
      </c>
      <c r="R20">
        <v>-1.6631118306031742E-2</v>
      </c>
      <c r="S20">
        <v>-1.7286857966863085E-2</v>
      </c>
      <c r="T20">
        <v>-1.8240057341553595E-2</v>
      </c>
      <c r="U20">
        <v>-1.8143532952827422E-2</v>
      </c>
    </row>
    <row r="21" spans="1:21">
      <c r="A21" t="s">
        <v>18</v>
      </c>
      <c r="B21">
        <v>-0.15259402805942363</v>
      </c>
      <c r="C21">
        <v>-0.10487808509800699</v>
      </c>
      <c r="D21">
        <v>-5.7347098055625288E-2</v>
      </c>
      <c r="E21">
        <v>-4.0399655127668424E-2</v>
      </c>
      <c r="F21">
        <v>-3.2827922669352944E-2</v>
      </c>
      <c r="G21">
        <v>-2.6387947733044995E-2</v>
      </c>
      <c r="H21">
        <v>-2.4820866521207172E-2</v>
      </c>
      <c r="I21">
        <v>-2.3601392817074733E-2</v>
      </c>
      <c r="J21">
        <v>-2.2143019631606115E-2</v>
      </c>
      <c r="K21">
        <v>-2.1599330290021743E-2</v>
      </c>
      <c r="L21">
        <v>-2.133126833262166E-2</v>
      </c>
      <c r="M21">
        <v>-2.1012933330937209E-2</v>
      </c>
      <c r="N21">
        <v>-1.9312491239557382E-2</v>
      </c>
      <c r="O21">
        <v>-1.8909671362787216E-2</v>
      </c>
      <c r="P21">
        <v>-1.8866183046800721E-2</v>
      </c>
      <c r="Q21">
        <v>-1.8190128086924558E-2</v>
      </c>
      <c r="R21">
        <v>-1.799584239818941E-2</v>
      </c>
      <c r="S21">
        <v>-1.7192544438393118E-2</v>
      </c>
      <c r="T21">
        <v>-1.7327464460743916E-2</v>
      </c>
      <c r="U21">
        <v>-1.7902850605312746E-2</v>
      </c>
    </row>
    <row r="22" spans="1:21">
      <c r="A22" t="s">
        <v>19</v>
      </c>
      <c r="B22">
        <v>-0.14766271070819426</v>
      </c>
      <c r="C22">
        <v>-9.8988317517512955E-2</v>
      </c>
      <c r="D22">
        <v>-5.438386644428695E-2</v>
      </c>
      <c r="E22">
        <v>-4.0060901571196246E-2</v>
      </c>
      <c r="F22">
        <v>-3.2937685307310678E-2</v>
      </c>
      <c r="G22">
        <v>-2.6140680701511852E-2</v>
      </c>
      <c r="H22">
        <v>-2.3610596744348251E-2</v>
      </c>
      <c r="I22">
        <v>-2.158004342116324E-2</v>
      </c>
      <c r="J22">
        <v>-1.9149913105993836E-2</v>
      </c>
      <c r="K22">
        <v>-1.9038439419498357E-2</v>
      </c>
      <c r="L22">
        <v>-1.9652179895938166E-2</v>
      </c>
      <c r="M22">
        <v>-1.9899331903528852E-2</v>
      </c>
      <c r="N22">
        <v>-1.9465391302112629E-2</v>
      </c>
      <c r="O22">
        <v>-2.0292566707849576E-2</v>
      </c>
      <c r="P22">
        <v>-1.9089575610812207E-2</v>
      </c>
      <c r="Q22">
        <v>-1.7968498561676236E-2</v>
      </c>
      <c r="R22">
        <v>-1.8040237522660502E-2</v>
      </c>
      <c r="S22">
        <v>-1.8170430556713382E-2</v>
      </c>
      <c r="T22">
        <v>-1.8889118643612715E-2</v>
      </c>
      <c r="U22">
        <v>-1.9729518207332531E-2</v>
      </c>
    </row>
    <row r="23" spans="1:21">
      <c r="A23" t="s">
        <v>20</v>
      </c>
      <c r="B23">
        <v>-0.14758899782436335</v>
      </c>
      <c r="C23">
        <v>-0.10117023286039338</v>
      </c>
      <c r="D23">
        <v>-5.4860714059896641E-2</v>
      </c>
      <c r="E23">
        <v>-3.9586605731278118E-2</v>
      </c>
      <c r="F23">
        <v>-3.1466728665930692E-2</v>
      </c>
      <c r="G23">
        <v>-2.483248861536631E-2</v>
      </c>
      <c r="H23">
        <v>-2.4425110440727597E-2</v>
      </c>
      <c r="I23">
        <v>-2.1597271175756667E-2</v>
      </c>
      <c r="J23">
        <v>-2.0131883759317681E-2</v>
      </c>
      <c r="K23">
        <v>-1.8982643922755289E-2</v>
      </c>
      <c r="L23">
        <v>-1.9751399915942824E-2</v>
      </c>
      <c r="M23">
        <v>-1.9405559621633647E-2</v>
      </c>
      <c r="N23">
        <v>-1.8516519943527349E-2</v>
      </c>
      <c r="O23">
        <v>-1.8967749860958141E-2</v>
      </c>
      <c r="P23">
        <v>-1.9259603416151062E-2</v>
      </c>
      <c r="Q23">
        <v>-1.8126520629895251E-2</v>
      </c>
      <c r="R23">
        <v>-1.7958868196488443E-2</v>
      </c>
      <c r="S23">
        <v>-1.8514027724015641E-2</v>
      </c>
      <c r="T23">
        <v>-1.8172771330951229E-2</v>
      </c>
      <c r="U23">
        <v>-1.7597441292309324E-2</v>
      </c>
    </row>
    <row r="24" spans="1:21">
      <c r="A24" t="s">
        <v>21</v>
      </c>
      <c r="B24">
        <v>-0.15076899547874631</v>
      </c>
      <c r="C24">
        <v>-0.10281476175421084</v>
      </c>
      <c r="D24">
        <v>-5.7221411940142311E-2</v>
      </c>
      <c r="E24">
        <v>-4.2740749565153176E-2</v>
      </c>
      <c r="F24">
        <v>-3.5112438633174765E-2</v>
      </c>
      <c r="G24">
        <v>-2.8512784897775704E-2</v>
      </c>
      <c r="H24">
        <v>-2.5758136776869597E-2</v>
      </c>
      <c r="I24">
        <v>-2.493661217356196E-2</v>
      </c>
      <c r="J24">
        <v>-2.212752564184961E-2</v>
      </c>
      <c r="K24">
        <v>-2.1947239448561678E-2</v>
      </c>
      <c r="L24">
        <v>-2.1007924827302918E-2</v>
      </c>
      <c r="M24">
        <v>-2.1402104271745999E-2</v>
      </c>
      <c r="N24">
        <v>-1.9929328529968645E-2</v>
      </c>
      <c r="O24">
        <v>-1.9147969976018545E-2</v>
      </c>
      <c r="P24">
        <v>-1.8424539731079805E-2</v>
      </c>
      <c r="Q24">
        <v>-1.8448441880882478E-2</v>
      </c>
      <c r="R24">
        <v>-1.8462439991034026E-2</v>
      </c>
      <c r="S24">
        <v>-1.9083330186052828E-2</v>
      </c>
      <c r="T24">
        <v>-2.0013512995165787E-2</v>
      </c>
      <c r="U24">
        <v>-1.9649552319353204E-2</v>
      </c>
    </row>
    <row r="25" spans="1:21">
      <c r="A25" t="s">
        <v>34</v>
      </c>
      <c r="B25">
        <v>-0.15250548787752483</v>
      </c>
      <c r="C25">
        <v>-0.10643245665858576</v>
      </c>
      <c r="D25">
        <v>-5.9551280052387044E-2</v>
      </c>
      <c r="E25">
        <v>-4.2413534882711906E-2</v>
      </c>
      <c r="F25">
        <v>-3.5512827443613594E-2</v>
      </c>
      <c r="G25">
        <v>-2.8529064081821601E-2</v>
      </c>
      <c r="H25">
        <v>-2.6266870395793059E-2</v>
      </c>
      <c r="I25">
        <v>-2.4705937403860689E-2</v>
      </c>
      <c r="J25">
        <v>-2.2075198863040484E-2</v>
      </c>
      <c r="K25">
        <v>-2.0866004471033553E-2</v>
      </c>
      <c r="L25">
        <v>-1.9149166684565691E-2</v>
      </c>
      <c r="M25">
        <v>-2.0115433799198182E-2</v>
      </c>
      <c r="N25">
        <v>-1.7190215024981862E-2</v>
      </c>
      <c r="O25">
        <v>-1.718791834944302E-2</v>
      </c>
      <c r="P25">
        <v>-1.6423273762706386E-2</v>
      </c>
      <c r="Q25">
        <v>-1.7256015557571981E-2</v>
      </c>
      <c r="R25">
        <v>-1.7783587320393993E-2</v>
      </c>
      <c r="S25">
        <v>-1.7878559693898136E-2</v>
      </c>
      <c r="T25">
        <v>-1.8547239001430321E-2</v>
      </c>
      <c r="U25">
        <v>-1.6999093403280627E-2</v>
      </c>
    </row>
    <row r="26" spans="1:21">
      <c r="A26" t="s">
        <v>22</v>
      </c>
      <c r="B26">
        <v>-0.26203772696487626</v>
      </c>
      <c r="C26">
        <v>-0.13365804361892217</v>
      </c>
      <c r="D26">
        <v>-6.6750703031715597E-2</v>
      </c>
      <c r="E26">
        <v>-4.8358655488996448E-2</v>
      </c>
      <c r="F26">
        <v>-3.6571739067635889E-2</v>
      </c>
      <c r="G26">
        <v>-2.8910701950378929E-2</v>
      </c>
      <c r="H26">
        <v>-2.6308864360299552E-2</v>
      </c>
      <c r="I26">
        <v>-2.0935665023070406E-2</v>
      </c>
      <c r="J26">
        <v>-2.1837232617380731E-2</v>
      </c>
      <c r="K26">
        <v>-1.8699261121396225E-2</v>
      </c>
      <c r="L26">
        <v>-1.7783951335697632E-2</v>
      </c>
      <c r="M26">
        <v>-1.7522278869347419E-2</v>
      </c>
      <c r="N26">
        <v>-1.469029558233482E-2</v>
      </c>
      <c r="O26">
        <v>-1.5289174372754609E-2</v>
      </c>
      <c r="P26">
        <v>-1.3263252475976057E-2</v>
      </c>
      <c r="Q26">
        <v>-1.4060258512665576E-2</v>
      </c>
      <c r="R26">
        <v>-1.4431782625770381E-2</v>
      </c>
      <c r="S26">
        <v>-1.3813279142232132E-2</v>
      </c>
      <c r="T26">
        <v>-1.4319877264949666E-2</v>
      </c>
      <c r="U26">
        <v>-1.4076744128137168E-2</v>
      </c>
    </row>
    <row r="27" spans="1:21">
      <c r="A27" t="s">
        <v>23</v>
      </c>
      <c r="B27">
        <v>-0.16306617729401904</v>
      </c>
      <c r="C27">
        <v>-0.11080995065980133</v>
      </c>
      <c r="D27">
        <v>-6.25954607817681E-2</v>
      </c>
      <c r="E27">
        <v>-4.7661409694913968E-2</v>
      </c>
      <c r="F27">
        <v>-3.9303041928352912E-2</v>
      </c>
      <c r="G27">
        <v>-3.2333338670089723E-2</v>
      </c>
      <c r="H27">
        <v>-3.0373322410599618E-2</v>
      </c>
      <c r="I27">
        <v>-2.7520184541572179E-2</v>
      </c>
      <c r="J27">
        <v>-2.7542929965128748E-2</v>
      </c>
      <c r="K27">
        <v>-2.4486188535277339E-2</v>
      </c>
      <c r="L27">
        <v>-2.3243040284226069E-2</v>
      </c>
      <c r="M27">
        <v>-2.166411783441808E-2</v>
      </c>
      <c r="N27">
        <v>-2.0241004006294274E-2</v>
      </c>
      <c r="O27">
        <v>-2.0442601697925913E-2</v>
      </c>
      <c r="P27">
        <v>-2.0455791446534789E-2</v>
      </c>
      <c r="Q27">
        <v>-2.0554837498523271E-2</v>
      </c>
      <c r="R27">
        <v>-2.1171613107669393E-2</v>
      </c>
      <c r="S27">
        <v>-1.8928823809850955E-2</v>
      </c>
      <c r="T27">
        <v>-1.9885270057839289E-2</v>
      </c>
      <c r="U27">
        <v>-1.9280667309889112E-2</v>
      </c>
    </row>
    <row r="28" spans="1:21">
      <c r="A28" t="s">
        <v>24</v>
      </c>
      <c r="B28">
        <v>-0.15642135783890149</v>
      </c>
      <c r="C28">
        <v>-0.10923966681038774</v>
      </c>
      <c r="D28">
        <v>-6.1388583221032494E-2</v>
      </c>
      <c r="E28">
        <v>-4.6738858675570989E-2</v>
      </c>
      <c r="F28">
        <v>-3.8273494782064689E-2</v>
      </c>
      <c r="G28">
        <v>-3.1869845456648775E-2</v>
      </c>
      <c r="H28">
        <v>-2.8697742239157036E-2</v>
      </c>
      <c r="I28">
        <v>-2.766352106335232E-2</v>
      </c>
      <c r="J28">
        <v>-2.6487613729577475E-2</v>
      </c>
      <c r="K28">
        <v>-2.2506572796811682E-2</v>
      </c>
      <c r="L28">
        <v>-2.0444069163420987E-2</v>
      </c>
      <c r="M28">
        <v>-1.9489161286231946E-2</v>
      </c>
      <c r="N28">
        <v>-1.8118934493803553E-2</v>
      </c>
      <c r="O28">
        <v>-1.7290281277427391E-2</v>
      </c>
      <c r="P28">
        <v>-1.6683069888913965E-2</v>
      </c>
      <c r="Q28">
        <v>-1.6971916549846557E-2</v>
      </c>
      <c r="R28">
        <v>-1.7079807131507169E-2</v>
      </c>
      <c r="S28">
        <v>-1.7440763195907583E-2</v>
      </c>
      <c r="T28">
        <v>-1.8899421379496149E-2</v>
      </c>
      <c r="U28">
        <v>-1.8607972610736236E-2</v>
      </c>
    </row>
    <row r="29" spans="1:21">
      <c r="A29" t="s">
        <v>25</v>
      </c>
      <c r="B29">
        <v>-0.16256102235556152</v>
      </c>
      <c r="C29">
        <v>-0.11852683219648494</v>
      </c>
      <c r="D29">
        <v>-7.2922780629643871E-2</v>
      </c>
      <c r="E29">
        <v>-5.7759097891453039E-2</v>
      </c>
      <c r="F29">
        <v>-4.8688018672517215E-2</v>
      </c>
      <c r="G29">
        <v>-4.4187558188692869E-2</v>
      </c>
      <c r="H29">
        <v>-4.3632488703610965E-2</v>
      </c>
      <c r="I29">
        <v>-4.0720486820269075E-2</v>
      </c>
      <c r="J29">
        <v>-3.8375228615219657E-2</v>
      </c>
      <c r="K29">
        <v>-3.6278498697147638E-2</v>
      </c>
      <c r="L29">
        <v>-3.0232764309550814E-2</v>
      </c>
      <c r="M29">
        <v>-2.7127047966666446E-2</v>
      </c>
      <c r="N29">
        <v>-2.7068463526465886E-2</v>
      </c>
      <c r="O29">
        <v>-2.6500936949691214E-2</v>
      </c>
      <c r="P29">
        <v>-2.6549534723844772E-2</v>
      </c>
      <c r="Q29">
        <v>-2.6154912197654492E-2</v>
      </c>
      <c r="R29">
        <v>-2.3195308135770639E-2</v>
      </c>
      <c r="S29">
        <v>-2.1985661845190286E-2</v>
      </c>
      <c r="T29">
        <v>-2.2741616207795041E-2</v>
      </c>
      <c r="U29">
        <v>-2.1449811440369195E-2</v>
      </c>
    </row>
    <row r="30" spans="1:21">
      <c r="A30" t="s">
        <v>26</v>
      </c>
      <c r="B30">
        <v>-0.11392688909075131</v>
      </c>
      <c r="C30">
        <v>-7.1685590173924563E-2</v>
      </c>
      <c r="D30">
        <v>-3.4350454034244089E-2</v>
      </c>
      <c r="E30">
        <v>-2.7039063405113282E-2</v>
      </c>
      <c r="F30">
        <v>-2.3231158451274811E-2</v>
      </c>
      <c r="G30">
        <v>-1.7271073641320713E-2</v>
      </c>
      <c r="H30">
        <v>-1.3950206869842302E-2</v>
      </c>
      <c r="I30">
        <v>-1.2216718504117942E-2</v>
      </c>
      <c r="J30">
        <v>-1.1628373009910428E-2</v>
      </c>
      <c r="K30">
        <v>-1.0644220794937801E-2</v>
      </c>
      <c r="L30">
        <v>-1.0613014549928173E-2</v>
      </c>
      <c r="M30">
        <v>-1.0272382616943163E-2</v>
      </c>
      <c r="N30">
        <v>-9.3772417760652153E-3</v>
      </c>
      <c r="O30">
        <v>-9.0232612268443448E-3</v>
      </c>
      <c r="P30">
        <v>-9.1263450553763954E-3</v>
      </c>
      <c r="Q30">
        <v>-9.1409065351825414E-3</v>
      </c>
      <c r="R30">
        <v>-9.599747018337013E-3</v>
      </c>
      <c r="S30">
        <v>-1.0024267468621038E-2</v>
      </c>
      <c r="T30">
        <v>-9.9722234009192116E-3</v>
      </c>
      <c r="U30">
        <v>-1.0285168636822909E-2</v>
      </c>
    </row>
    <row r="31" spans="1:21">
      <c r="A31" t="s">
        <v>27</v>
      </c>
      <c r="B31">
        <v>-0.15409264477782378</v>
      </c>
      <c r="C31">
        <v>-0.12838671362491672</v>
      </c>
      <c r="D31">
        <v>-0.11776121584557979</v>
      </c>
      <c r="E31">
        <v>-0.11146452576643126</v>
      </c>
      <c r="F31">
        <v>-0.1061572657616556</v>
      </c>
      <c r="G31">
        <v>-9.5817638067633923E-2</v>
      </c>
      <c r="H31">
        <v>-9.5401913521096976E-2</v>
      </c>
      <c r="I31">
        <v>-9.4073849651160876E-2</v>
      </c>
      <c r="J31">
        <v>-9.2779833165021891E-2</v>
      </c>
      <c r="K31">
        <v>-9.0384068568968731E-2</v>
      </c>
      <c r="L31">
        <v>-8.2846303476107622E-2</v>
      </c>
      <c r="M31">
        <v>-8.3750180187950843E-2</v>
      </c>
      <c r="N31">
        <v>-8.6539144479001573E-2</v>
      </c>
      <c r="O31">
        <v>-8.9857775662045405E-2</v>
      </c>
      <c r="P31">
        <v>-9.0157584754883335E-2</v>
      </c>
      <c r="Q31">
        <v>-8.7453831129579815E-2</v>
      </c>
      <c r="R31">
        <v>-8.4700991237733878E-2</v>
      </c>
      <c r="S31">
        <v>-8.4585129605586756E-2</v>
      </c>
      <c r="T31">
        <v>-8.3795366755519629E-2</v>
      </c>
      <c r="U31">
        <v>-8.5846871848065304E-2</v>
      </c>
    </row>
    <row r="32" spans="1:21">
      <c r="A32" t="s">
        <v>28</v>
      </c>
      <c r="B32">
        <v>-0.16415022289727846</v>
      </c>
      <c r="C32">
        <v>-8.066812392564425E-2</v>
      </c>
      <c r="D32">
        <v>-3.4970909520949403E-2</v>
      </c>
      <c r="E32">
        <v>-2.0890749613971082E-2</v>
      </c>
      <c r="F32">
        <v>-1.6477596916449882E-2</v>
      </c>
      <c r="G32">
        <v>-1.3857314957965399E-2</v>
      </c>
      <c r="H32">
        <v>-1.1117833801652009E-2</v>
      </c>
      <c r="I32">
        <v>-9.2675669598402712E-3</v>
      </c>
      <c r="J32">
        <v>-8.3489026488289143E-3</v>
      </c>
      <c r="K32">
        <v>-6.618122736776119E-3</v>
      </c>
      <c r="L32">
        <v>-5.300673299286851E-3</v>
      </c>
      <c r="M32">
        <v>-4.6654414953684374E-3</v>
      </c>
      <c r="N32">
        <v>-3.8435929422458073E-3</v>
      </c>
      <c r="O32">
        <v>-3.8608113208191881E-3</v>
      </c>
      <c r="P32">
        <v>-2.825405994145179E-3</v>
      </c>
      <c r="Q32">
        <v>-3.0255945770408963E-3</v>
      </c>
      <c r="R32">
        <v>-2.3143550811337821E-3</v>
      </c>
      <c r="S32">
        <v>-2.5819441447105175E-3</v>
      </c>
      <c r="T32">
        <v>-2.9146465654447092E-3</v>
      </c>
      <c r="U32">
        <v>-2.6949509049629329E-3</v>
      </c>
    </row>
    <row r="33" spans="1:21">
      <c r="A33" t="s">
        <v>29</v>
      </c>
      <c r="B33">
        <v>-0.14693645723941778</v>
      </c>
      <c r="C33">
        <v>-6.748510588359298E-2</v>
      </c>
      <c r="D33">
        <v>-3.5946442304639517E-2</v>
      </c>
      <c r="E33">
        <v>-2.3091738381208624E-2</v>
      </c>
      <c r="F33">
        <v>-2.0696697640295407E-2</v>
      </c>
      <c r="G33">
        <v>-1.708703686361248E-2</v>
      </c>
      <c r="H33">
        <v>-1.4085112233616052E-2</v>
      </c>
      <c r="I33">
        <v>-1.0634301231630406E-2</v>
      </c>
      <c r="J33">
        <v>-9.2121350308095873E-3</v>
      </c>
      <c r="K33">
        <v>-8.0838132867212514E-3</v>
      </c>
      <c r="L33">
        <v>-7.8537486509709254E-3</v>
      </c>
      <c r="M33">
        <v>-7.2259286006478981E-3</v>
      </c>
      <c r="N33">
        <v>-6.4894789539200505E-3</v>
      </c>
      <c r="O33">
        <v>-6.2035956092627818E-3</v>
      </c>
      <c r="P33">
        <v>-6.1663417801003729E-3</v>
      </c>
      <c r="Q33">
        <v>-5.0455339342473267E-3</v>
      </c>
      <c r="R33">
        <v>-5.1082484986374943E-3</v>
      </c>
      <c r="S33">
        <v>-5.5601348973103445E-3</v>
      </c>
      <c r="T33">
        <v>-6.1424668154287541E-3</v>
      </c>
      <c r="U33">
        <v>-6.5315329295415041E-3</v>
      </c>
    </row>
    <row r="34" spans="1:21">
      <c r="A34" t="s">
        <v>30</v>
      </c>
      <c r="B34">
        <v>-0.14915808525939989</v>
      </c>
      <c r="C34">
        <v>-6.667848304760951E-2</v>
      </c>
      <c r="D34">
        <v>-3.4818063649484296E-2</v>
      </c>
      <c r="E34">
        <v>-2.3282813833923915E-2</v>
      </c>
      <c r="F34">
        <v>-1.9911933230937411E-2</v>
      </c>
      <c r="G34">
        <v>-1.5995105179586105E-2</v>
      </c>
      <c r="H34">
        <v>-1.3888300139055013E-2</v>
      </c>
      <c r="I34">
        <v>-1.1049909979117959E-2</v>
      </c>
      <c r="J34">
        <v>-9.0769309542213638E-3</v>
      </c>
      <c r="K34">
        <v>-7.5028065098445588E-3</v>
      </c>
      <c r="L34">
        <v>-5.3328288146556229E-3</v>
      </c>
      <c r="M34">
        <v>-5.4463871983909569E-3</v>
      </c>
      <c r="N34">
        <v>-4.6700667979554106E-3</v>
      </c>
      <c r="O34">
        <v>-3.9713963030824639E-3</v>
      </c>
      <c r="P34">
        <v>-4.2179256721260319E-3</v>
      </c>
      <c r="Q34">
        <v>-4.2505802891102317E-3</v>
      </c>
      <c r="R34">
        <v>-4.3019961015683906E-3</v>
      </c>
      <c r="S34">
        <v>-3.8670806348924209E-3</v>
      </c>
      <c r="T34">
        <v>-3.8310675562839109E-3</v>
      </c>
      <c r="U34">
        <v>-4.0641849603736159E-3</v>
      </c>
    </row>
    <row r="35" spans="1:21">
      <c r="A35" t="s">
        <v>31</v>
      </c>
      <c r="B35">
        <v>-0.15774658115673931</v>
      </c>
      <c r="C35">
        <v>-0.1328100596714441</v>
      </c>
      <c r="D35">
        <v>-0.11885657757878544</v>
      </c>
      <c r="E35">
        <v>-0.11026952853141768</v>
      </c>
      <c r="F35">
        <v>-0.10448594516329339</v>
      </c>
      <c r="G35">
        <v>-9.641330632901382E-2</v>
      </c>
      <c r="H35">
        <v>-8.854802896207184E-2</v>
      </c>
      <c r="I35">
        <v>-8.3022703483660407E-2</v>
      </c>
      <c r="J35">
        <v>-7.7858911165545164E-2</v>
      </c>
      <c r="K35">
        <v>-6.9143430390844376E-2</v>
      </c>
      <c r="L35">
        <v>-6.4834130078375116E-2</v>
      </c>
      <c r="M35">
        <v>-6.4013989534565052E-2</v>
      </c>
      <c r="N35">
        <v>-6.0586555343642191E-2</v>
      </c>
      <c r="O35">
        <v>-6.0907470297132726E-2</v>
      </c>
      <c r="P35">
        <v>-5.80365473118463E-2</v>
      </c>
      <c r="Q35">
        <v>-5.8560338641567559E-2</v>
      </c>
      <c r="R35">
        <v>-5.9159925647148968E-2</v>
      </c>
      <c r="S35">
        <v>-5.8507806325709934E-2</v>
      </c>
      <c r="T35">
        <v>-5.9344035994525667E-2</v>
      </c>
      <c r="U35">
        <v>-5.6269902287085394E-2</v>
      </c>
    </row>
    <row r="36" spans="1:21">
      <c r="A36" t="s">
        <v>32</v>
      </c>
      <c r="B36">
        <v>-0.18084541333396514</v>
      </c>
      <c r="C36">
        <v>-0.15883976836708122</v>
      </c>
      <c r="D36">
        <v>-0.14156929949206934</v>
      </c>
      <c r="E36">
        <v>-0.13170145856179283</v>
      </c>
      <c r="F36">
        <v>-0.12487209582020357</v>
      </c>
      <c r="G36">
        <v>-0.11311838315466313</v>
      </c>
      <c r="H36">
        <v>-0.11170520656008204</v>
      </c>
      <c r="I36">
        <v>-0.10425288882201386</v>
      </c>
      <c r="J36">
        <v>-9.661716361465203E-2</v>
      </c>
      <c r="K36">
        <v>-9.0048142826346586E-2</v>
      </c>
      <c r="L36">
        <v>-8.0130763641129588E-2</v>
      </c>
      <c r="M36">
        <v>-7.798367589470831E-2</v>
      </c>
      <c r="N36">
        <v>-7.4592529727152052E-2</v>
      </c>
      <c r="O36">
        <v>-7.5131946810335568E-2</v>
      </c>
      <c r="P36">
        <v>-7.0776470731706828E-2</v>
      </c>
      <c r="Q36">
        <v>-6.9985042104565923E-2</v>
      </c>
      <c r="R36">
        <v>-6.9475198063868274E-2</v>
      </c>
      <c r="S36">
        <v>-6.5862241156248599E-2</v>
      </c>
      <c r="T36">
        <v>-6.4864867435524179E-2</v>
      </c>
      <c r="U36">
        <v>-6.5983824057679913E-2</v>
      </c>
    </row>
    <row r="37" spans="1:21">
      <c r="A37" t="s">
        <v>33</v>
      </c>
      <c r="B37">
        <v>-0.16815887199414889</v>
      </c>
      <c r="C37">
        <v>-0.15279536084723719</v>
      </c>
      <c r="D37">
        <v>-0.14025568988385048</v>
      </c>
      <c r="E37">
        <v>-0.13880395871590887</v>
      </c>
      <c r="F37">
        <v>-0.13941457859753958</v>
      </c>
      <c r="G37">
        <v>-0.13643603386356243</v>
      </c>
      <c r="H37">
        <v>-0.14079707975456601</v>
      </c>
      <c r="I37">
        <v>-0.14423555555308593</v>
      </c>
      <c r="J37">
        <v>-0.1446835938098435</v>
      </c>
      <c r="K37">
        <v>-0.14602127075356644</v>
      </c>
      <c r="L37">
        <v>-0.13372119360210361</v>
      </c>
      <c r="M37">
        <v>-0.1340621337127671</v>
      </c>
      <c r="N37">
        <v>-0.13926341886240051</v>
      </c>
      <c r="O37">
        <v>-0.14114125817954098</v>
      </c>
      <c r="P37">
        <v>-0.13789088238059541</v>
      </c>
      <c r="Q37">
        <v>-0.1395230547800797</v>
      </c>
      <c r="R37">
        <v>-0.14385152677681276</v>
      </c>
      <c r="S37">
        <v>-0.14658181856994146</v>
      </c>
      <c r="T37">
        <v>-0.14132471808171737</v>
      </c>
      <c r="U37">
        <v>-0.14232498787675785</v>
      </c>
    </row>
  </sheetData>
  <phoneticPr fontId="0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9"/>
  <dimension ref="A1:X37"/>
  <sheetViews>
    <sheetView zoomScale="75" zoomScaleNormal="75" workbookViewId="0">
      <selection activeCell="G16" sqref="G16:H16"/>
    </sheetView>
  </sheetViews>
  <sheetFormatPr defaultRowHeight="15"/>
  <sheetData>
    <row r="1" spans="1:24">
      <c r="A1" s="1"/>
      <c r="B1" s="1" t="str">
        <f>"AA_R_phophi_A_1.4A"</f>
        <v>AA_R_phophi_A_1.4A</v>
      </c>
      <c r="C1" s="1" t="str">
        <f>"AA_R_phophi_A_2A"</f>
        <v>AA_R_phophi_A_2A</v>
      </c>
      <c r="D1" s="1" t="str">
        <f>"AA_R_phophi_A_3A"</f>
        <v>AA_R_phophi_A_3A</v>
      </c>
      <c r="E1" s="1" t="str">
        <f>"AA_R_phophi_A_4A"</f>
        <v>AA_R_phophi_A_4A</v>
      </c>
      <c r="F1" s="1" t="str">
        <f>"AA_R_phophi_A_5A"</f>
        <v>AA_R_phophi_A_5A</v>
      </c>
      <c r="G1" s="1" t="str">
        <f>"AA_R_phophi_A_6A"</f>
        <v>AA_R_phophi_A_6A</v>
      </c>
      <c r="H1" s="1" t="str">
        <f>"AA_R_phophi_A_7A"</f>
        <v>AA_R_phophi_A_7A</v>
      </c>
      <c r="I1" s="1" t="str">
        <f>"AA_R_phophi_A_8A"</f>
        <v>AA_R_phophi_A_8A</v>
      </c>
      <c r="J1" s="1" t="str">
        <f>"AA_R_phophi_A_9A"</f>
        <v>AA_R_phophi_A_9A</v>
      </c>
      <c r="K1" s="1" t="str">
        <f>"AA_R_phophi_A_10A"</f>
        <v>AA_R_phophi_A_10A</v>
      </c>
      <c r="L1" s="1" t="str">
        <f>"AA_R_phophi_A_11A"</f>
        <v>AA_R_phophi_A_11A</v>
      </c>
      <c r="M1" s="1" t="str">
        <f>"AA_R_phophi_A_12A"</f>
        <v>AA_R_phophi_A_12A</v>
      </c>
      <c r="N1" s="1" t="str">
        <f>"AA_R_phophi_A_13A"</f>
        <v>AA_R_phophi_A_13A</v>
      </c>
      <c r="O1" s="1" t="str">
        <f>"AA_R_phophi_A_14A"</f>
        <v>AA_R_phophi_A_14A</v>
      </c>
      <c r="P1" s="1" t="str">
        <f>"AA_R_phophi_A_15A"</f>
        <v>AA_R_phophi_A_15A</v>
      </c>
      <c r="Q1" s="1" t="str">
        <f>"AA_R_phophi_A_16A"</f>
        <v>AA_R_phophi_A_16A</v>
      </c>
      <c r="R1" s="1" t="str">
        <f>"AA_R_phophi_A_17A"</f>
        <v>AA_R_phophi_A_17A</v>
      </c>
      <c r="S1" s="1" t="str">
        <f>"AA_R_phophi_A_18A"</f>
        <v>AA_R_phophi_A_18A</v>
      </c>
      <c r="T1" s="1" t="str">
        <f>"AA_R_phophi_A_19A"</f>
        <v>AA_R_phophi_A_19A</v>
      </c>
      <c r="U1" s="1" t="str">
        <f>"AA_R_phophi_A_20A"</f>
        <v>AA_R_phophi_A_20A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0.3718645164406027</v>
      </c>
      <c r="C3">
        <v>0.33453415369638706</v>
      </c>
      <c r="D3">
        <v>0.28868989185405658</v>
      </c>
      <c r="E3">
        <v>0.26944123172575007</v>
      </c>
      <c r="F3">
        <v>0.2550871011014918</v>
      </c>
      <c r="G3">
        <v>0.23371859381994969</v>
      </c>
      <c r="H3">
        <v>0.22850406991937591</v>
      </c>
      <c r="I3">
        <v>0.20943541691114445</v>
      </c>
      <c r="J3">
        <v>0.20165277611224366</v>
      </c>
      <c r="K3">
        <v>0.20354039249864453</v>
      </c>
      <c r="L3">
        <v>0.20596464036643883</v>
      </c>
      <c r="M3">
        <v>0.19780873410271782</v>
      </c>
      <c r="N3">
        <v>0.18938350544465674</v>
      </c>
      <c r="O3">
        <v>0.17311869946806421</v>
      </c>
      <c r="P3">
        <v>0.17441546556851981</v>
      </c>
      <c r="Q3">
        <v>0.1589414322781246</v>
      </c>
      <c r="R3">
        <v>0.1577381322908756</v>
      </c>
      <c r="S3">
        <v>0.14738828085854969</v>
      </c>
      <c r="T3">
        <v>0.148461905641532</v>
      </c>
      <c r="U3">
        <v>0.14055941177091205</v>
      </c>
    </row>
    <row r="4" spans="1:24">
      <c r="A4" t="s">
        <v>1</v>
      </c>
      <c r="B4">
        <v>0.37284929310998938</v>
      </c>
      <c r="C4">
        <v>0.33427149610567924</v>
      </c>
      <c r="D4">
        <v>0.29566929148003329</v>
      </c>
      <c r="E4">
        <v>0.28490162883809922</v>
      </c>
      <c r="F4">
        <v>0.29399844144503384</v>
      </c>
      <c r="G4">
        <v>0.28444178566088574</v>
      </c>
      <c r="H4">
        <v>0.29012451265127426</v>
      </c>
      <c r="I4">
        <v>0.30554154459139254</v>
      </c>
      <c r="J4">
        <v>0.31251929205668355</v>
      </c>
      <c r="K4">
        <v>0.31885615608788881</v>
      </c>
      <c r="L4">
        <v>0.33189732669493838</v>
      </c>
      <c r="M4">
        <v>0.3357580395009539</v>
      </c>
      <c r="N4">
        <v>0.33156455709034854</v>
      </c>
      <c r="O4">
        <v>0.332930162858046</v>
      </c>
      <c r="P4">
        <v>0.33347129974178685</v>
      </c>
      <c r="Q4">
        <v>0.3284715917488335</v>
      </c>
      <c r="R4">
        <v>0.32994931084700413</v>
      </c>
      <c r="S4">
        <v>0.33004048182167045</v>
      </c>
      <c r="T4">
        <v>0.31606237419833233</v>
      </c>
      <c r="U4">
        <v>0.3157742449799138</v>
      </c>
    </row>
    <row r="5" spans="1:24">
      <c r="A5" t="s">
        <v>2</v>
      </c>
      <c r="B5">
        <v>0.20682544989275065</v>
      </c>
      <c r="C5">
        <v>0.14901300251377961</v>
      </c>
      <c r="D5">
        <v>0.11260042921198085</v>
      </c>
      <c r="E5">
        <v>9.599543924351564E-2</v>
      </c>
      <c r="F5">
        <v>8.7358243846056435E-2</v>
      </c>
      <c r="G5">
        <v>8.3111889900442659E-2</v>
      </c>
      <c r="H5">
        <v>7.7843038225946001E-2</v>
      </c>
      <c r="I5">
        <v>7.02677711911638E-2</v>
      </c>
      <c r="J5">
        <v>6.6358100580162574E-2</v>
      </c>
      <c r="K5">
        <v>6.7051053967765506E-2</v>
      </c>
      <c r="L5">
        <v>6.7856974770985443E-2</v>
      </c>
      <c r="M5">
        <v>6.567609160935807E-2</v>
      </c>
      <c r="N5">
        <v>6.5452471271829862E-2</v>
      </c>
      <c r="O5">
        <v>6.335928342417059E-2</v>
      </c>
      <c r="P5">
        <v>6.3669610786847339E-2</v>
      </c>
      <c r="Q5">
        <v>5.8227223717119719E-2</v>
      </c>
      <c r="R5">
        <v>5.886734898925397E-2</v>
      </c>
      <c r="S5">
        <v>5.817140048850776E-2</v>
      </c>
      <c r="T5">
        <v>5.8025427214978019E-2</v>
      </c>
      <c r="U5">
        <v>5.7946202534679053E-2</v>
      </c>
    </row>
    <row r="6" spans="1:24">
      <c r="A6" t="s">
        <v>3</v>
      </c>
      <c r="B6">
        <v>0.30800692298102655</v>
      </c>
      <c r="C6">
        <v>0.18869085599593988</v>
      </c>
      <c r="D6">
        <v>0.16461309712843347</v>
      </c>
      <c r="E6">
        <v>0.14112995206912057</v>
      </c>
      <c r="F6">
        <v>0.12535347591864182</v>
      </c>
      <c r="G6">
        <v>0.1073345477545857</v>
      </c>
      <c r="H6">
        <v>9.5959093072730983E-2</v>
      </c>
      <c r="I6">
        <v>9.0694456102290599E-2</v>
      </c>
      <c r="J6">
        <v>8.5557943532084638E-2</v>
      </c>
      <c r="K6">
        <v>8.2386596855180308E-2</v>
      </c>
      <c r="L6">
        <v>7.7178383635525927E-2</v>
      </c>
      <c r="M6">
        <v>6.8311761677369326E-2</v>
      </c>
      <c r="N6">
        <v>7.0315329387669365E-2</v>
      </c>
      <c r="O6">
        <v>6.3861887713973178E-2</v>
      </c>
      <c r="P6">
        <v>5.7981926051908626E-2</v>
      </c>
      <c r="Q6">
        <v>5.9124959563578001E-2</v>
      </c>
      <c r="R6">
        <v>5.7872944546178758E-2</v>
      </c>
      <c r="S6">
        <v>5.7228600456450986E-2</v>
      </c>
      <c r="T6">
        <v>5.2465451283530411E-2</v>
      </c>
      <c r="U6">
        <v>5.0255193956636482E-2</v>
      </c>
    </row>
    <row r="7" spans="1:24">
      <c r="A7" t="s">
        <v>4</v>
      </c>
      <c r="B7">
        <v>0.27653806559545896</v>
      </c>
      <c r="C7">
        <v>0.17667906628372704</v>
      </c>
      <c r="D7">
        <v>0.14283074479147798</v>
      </c>
      <c r="E7">
        <v>0.11763119340204534</v>
      </c>
      <c r="F7">
        <v>9.1579714063199855E-2</v>
      </c>
      <c r="G7">
        <v>8.1726285410117769E-2</v>
      </c>
      <c r="H7">
        <v>7.2825399895068393E-2</v>
      </c>
      <c r="I7">
        <v>6.6165792927223882E-2</v>
      </c>
      <c r="J7">
        <v>6.4804348827998973E-2</v>
      </c>
      <c r="K7">
        <v>5.8337491690632327E-2</v>
      </c>
      <c r="L7">
        <v>5.3374967514313386E-2</v>
      </c>
      <c r="M7">
        <v>4.6235287291019125E-2</v>
      </c>
      <c r="N7">
        <v>4.2863872856455557E-2</v>
      </c>
      <c r="O7">
        <v>4.3633494637771365E-2</v>
      </c>
      <c r="P7">
        <v>4.7492358424305853E-2</v>
      </c>
      <c r="Q7">
        <v>4.6712686971914691E-2</v>
      </c>
      <c r="R7">
        <v>4.5699997898850667E-2</v>
      </c>
      <c r="S7">
        <v>4.5040416313988384E-2</v>
      </c>
      <c r="T7">
        <v>4.6803037005222092E-2</v>
      </c>
      <c r="U7">
        <v>4.8217650727013131E-2</v>
      </c>
    </row>
    <row r="8" spans="1:24">
      <c r="A8" t="s">
        <v>5</v>
      </c>
      <c r="B8">
        <v>0.27064195574936667</v>
      </c>
      <c r="C8">
        <v>0.17110806692138666</v>
      </c>
      <c r="D8">
        <v>0.13030723122856594</v>
      </c>
      <c r="E8">
        <v>0.10028557325779143</v>
      </c>
      <c r="F8">
        <v>8.6712899739666116E-2</v>
      </c>
      <c r="G8">
        <v>7.3686359227454881E-2</v>
      </c>
      <c r="H8">
        <v>6.7211048429246523E-2</v>
      </c>
      <c r="I8">
        <v>6.1113590814606301E-2</v>
      </c>
      <c r="J8">
        <v>5.5518433712734586E-2</v>
      </c>
      <c r="K8">
        <v>5.3590586849357337E-2</v>
      </c>
      <c r="L8">
        <v>4.3106615159143553E-2</v>
      </c>
      <c r="M8">
        <v>4.3586179813787297E-2</v>
      </c>
      <c r="N8">
        <v>4.460097957533992E-2</v>
      </c>
      <c r="O8">
        <v>4.2633593215052758E-2</v>
      </c>
      <c r="P8">
        <v>4.2904832931461148E-2</v>
      </c>
      <c r="Q8">
        <v>3.2258459565315173E-2</v>
      </c>
      <c r="R8">
        <v>3.3897272221756716E-2</v>
      </c>
      <c r="S8">
        <v>3.6266311797693296E-2</v>
      </c>
      <c r="T8">
        <v>3.8196755658928785E-2</v>
      </c>
      <c r="U8">
        <v>3.9878986471927169E-2</v>
      </c>
    </row>
    <row r="9" spans="1:24">
      <c r="A9" t="s">
        <v>6</v>
      </c>
      <c r="B9">
        <v>0.27194964449338604</v>
      </c>
      <c r="C9">
        <v>0.17093515761123232</v>
      </c>
      <c r="D9">
        <v>0.13007041624496099</v>
      </c>
      <c r="E9">
        <v>0.10474521838982283</v>
      </c>
      <c r="F9">
        <v>9.3023255813953501E-2</v>
      </c>
      <c r="G9">
        <v>8.1677793580976779E-2</v>
      </c>
      <c r="H9">
        <v>6.9797199894964801E-2</v>
      </c>
      <c r="I9">
        <v>6.5187593964638843E-2</v>
      </c>
      <c r="J9">
        <v>6.4654222023928856E-2</v>
      </c>
      <c r="K9">
        <v>6.273577082347688E-2</v>
      </c>
      <c r="L9">
        <v>5.7684594133667028E-2</v>
      </c>
      <c r="M9">
        <v>5.5722274739005033E-2</v>
      </c>
      <c r="N9">
        <v>5.7274269170420375E-2</v>
      </c>
      <c r="O9">
        <v>6.1119893156716606E-2</v>
      </c>
      <c r="P9">
        <v>5.8566810651121466E-2</v>
      </c>
      <c r="Q9">
        <v>5.5910132741978702E-2</v>
      </c>
      <c r="R9">
        <v>5.2719899145592823E-2</v>
      </c>
      <c r="S9">
        <v>5.1954271928019831E-2</v>
      </c>
      <c r="T9">
        <v>5.1152151812944767E-2</v>
      </c>
      <c r="U9">
        <v>5.3048047253378888E-2</v>
      </c>
    </row>
    <row r="10" spans="1:24">
      <c r="A10" t="s">
        <v>7</v>
      </c>
      <c r="B10">
        <v>0.3205837656488601</v>
      </c>
      <c r="C10">
        <v>0.20924032230393744</v>
      </c>
      <c r="D10">
        <v>0.17363763905673552</v>
      </c>
      <c r="E10">
        <v>0.1375344334198069</v>
      </c>
      <c r="F10">
        <v>0.12058931375285904</v>
      </c>
      <c r="G10">
        <v>0.10614481353715025</v>
      </c>
      <c r="H10">
        <v>0.10017961536539761</v>
      </c>
      <c r="I10">
        <v>9.2419812221748776E-2</v>
      </c>
      <c r="J10">
        <v>8.5971158241788692E-2</v>
      </c>
      <c r="K10">
        <v>8.2709137729030574E-2</v>
      </c>
      <c r="L10">
        <v>8.1491822930118848E-2</v>
      </c>
      <c r="M10">
        <v>7.8307497118892594E-2</v>
      </c>
      <c r="N10">
        <v>7.5592493988532974E-2</v>
      </c>
      <c r="O10">
        <v>7.4963028284297142E-2</v>
      </c>
      <c r="P10">
        <v>7.1495065348658515E-2</v>
      </c>
      <c r="Q10">
        <v>6.6040478734381305E-2</v>
      </c>
      <c r="R10">
        <v>6.3407431469285708E-2</v>
      </c>
      <c r="S10">
        <v>5.3142288548218224E-2</v>
      </c>
      <c r="T10">
        <v>5.6079508147794423E-2</v>
      </c>
      <c r="U10">
        <v>4.9129675290043827E-2</v>
      </c>
    </row>
    <row r="11" spans="1:24">
      <c r="A11" t="s">
        <v>8</v>
      </c>
      <c r="B11">
        <v>0.32760514408456798</v>
      </c>
      <c r="C11">
        <v>0.21291613797794551</v>
      </c>
      <c r="D11">
        <v>0.17199424558780119</v>
      </c>
      <c r="E11">
        <v>0.1437704620137196</v>
      </c>
      <c r="F11">
        <v>0.12476936983667831</v>
      </c>
      <c r="G11">
        <v>0.10793106761247408</v>
      </c>
      <c r="H11">
        <v>9.6081331182020682E-2</v>
      </c>
      <c r="I11">
        <v>8.110175006919601E-2</v>
      </c>
      <c r="J11">
        <v>7.0829001208239914E-2</v>
      </c>
      <c r="K11">
        <v>7.0326534008329569E-2</v>
      </c>
      <c r="L11">
        <v>4.3227076506083914E-2</v>
      </c>
      <c r="M11">
        <v>3.4923669099865488E-2</v>
      </c>
      <c r="N11">
        <v>3.3585601481295316E-2</v>
      </c>
      <c r="O11">
        <v>2.5803886023024664E-2</v>
      </c>
      <c r="P11">
        <v>2.7354511877735008E-2</v>
      </c>
      <c r="Q11">
        <v>2.655324346592338E-2</v>
      </c>
      <c r="R11">
        <v>2.4737768905725734E-2</v>
      </c>
      <c r="S11">
        <v>2.2717969391698855E-2</v>
      </c>
      <c r="T11">
        <v>2.0417233565458534E-2</v>
      </c>
      <c r="U11">
        <v>2.1067600261305462E-2</v>
      </c>
    </row>
    <row r="12" spans="1:24">
      <c r="A12" t="s">
        <v>9</v>
      </c>
      <c r="B12">
        <v>0.20197061958023246</v>
      </c>
      <c r="C12">
        <v>0.14816294427826313</v>
      </c>
      <c r="D12">
        <v>0.11795073060780986</v>
      </c>
      <c r="E12">
        <v>0.10343094331206826</v>
      </c>
      <c r="F12">
        <v>0.10216194984149404</v>
      </c>
      <c r="G12">
        <v>9.3620473889154732E-2</v>
      </c>
      <c r="H12">
        <v>8.8079053609422336E-2</v>
      </c>
      <c r="I12">
        <v>9.0944055497446108E-2</v>
      </c>
      <c r="J12">
        <v>9.5485015886681332E-2</v>
      </c>
      <c r="K12">
        <v>9.516953138745364E-2</v>
      </c>
      <c r="L12">
        <v>9.1840717989456713E-2</v>
      </c>
      <c r="M12">
        <v>8.1748077143476996E-2</v>
      </c>
      <c r="N12">
        <v>8.4175551252449507E-2</v>
      </c>
      <c r="O12">
        <v>8.5656703928007866E-2</v>
      </c>
      <c r="P12">
        <v>8.4272392571116753E-2</v>
      </c>
      <c r="Q12">
        <v>8.3104959732586969E-2</v>
      </c>
      <c r="R12">
        <v>8.7078097788094444E-2</v>
      </c>
      <c r="S12">
        <v>7.9901507372989705E-2</v>
      </c>
      <c r="T12">
        <v>8.0907550047661106E-2</v>
      </c>
      <c r="U12">
        <v>7.2625828405680118E-2</v>
      </c>
    </row>
    <row r="13" spans="1:24">
      <c r="A13" t="s">
        <v>10</v>
      </c>
      <c r="B13">
        <v>0.21267429381644348</v>
      </c>
      <c r="C13">
        <v>0.13859829216549899</v>
      </c>
      <c r="D13">
        <v>0.12262908742907697</v>
      </c>
      <c r="E13">
        <v>0.10256835909614415</v>
      </c>
      <c r="F13">
        <v>9.5282334065696778E-2</v>
      </c>
      <c r="G13">
        <v>9.700473568238055E-2</v>
      </c>
      <c r="H13">
        <v>8.9640550679716616E-2</v>
      </c>
      <c r="I13">
        <v>8.8055847730731357E-2</v>
      </c>
      <c r="J13">
        <v>8.6562312751172585E-2</v>
      </c>
      <c r="K13">
        <v>8.7222121045999856E-2</v>
      </c>
      <c r="L13">
        <v>8.8679017050989919E-2</v>
      </c>
      <c r="M13">
        <v>9.1970531316556345E-2</v>
      </c>
      <c r="N13">
        <v>9.0089276633742915E-2</v>
      </c>
      <c r="O13">
        <v>8.1624110836261102E-2</v>
      </c>
      <c r="P13">
        <v>8.9267968730342331E-2</v>
      </c>
      <c r="Q13">
        <v>9.0410918518053066E-2</v>
      </c>
      <c r="R13">
        <v>9.3246924943760842E-2</v>
      </c>
      <c r="S13">
        <v>9.032478959507205E-2</v>
      </c>
      <c r="T13">
        <v>8.7939788973315586E-2</v>
      </c>
      <c r="U13">
        <v>9.1690167324685087E-2</v>
      </c>
    </row>
    <row r="14" spans="1:24">
      <c r="A14" t="s">
        <v>11</v>
      </c>
      <c r="B14">
        <v>0.18661785874875891</v>
      </c>
      <c r="C14">
        <v>0.12412844421536716</v>
      </c>
      <c r="D14">
        <v>9.7085094536414743E-2</v>
      </c>
      <c r="E14">
        <v>8.1944589739658055E-2</v>
      </c>
      <c r="F14">
        <v>7.0530796165613072E-2</v>
      </c>
      <c r="G14">
        <v>7.023933402705515E-2</v>
      </c>
      <c r="H14">
        <v>6.9002518150587139E-2</v>
      </c>
      <c r="I14">
        <v>6.8767962563342069E-2</v>
      </c>
      <c r="J14">
        <v>6.8913078214572737E-2</v>
      </c>
      <c r="K14">
        <v>6.7127602952118851E-2</v>
      </c>
      <c r="L14">
        <v>6.1501124713498112E-2</v>
      </c>
      <c r="M14">
        <v>4.8650385250255529E-2</v>
      </c>
      <c r="N14">
        <v>4.9565568013174077E-2</v>
      </c>
      <c r="O14">
        <v>5.0719999439397687E-2</v>
      </c>
      <c r="P14">
        <v>4.884356904177118E-2</v>
      </c>
      <c r="Q14">
        <v>4.8482508622323756E-2</v>
      </c>
      <c r="R14">
        <v>4.8524899919264869E-2</v>
      </c>
      <c r="S14">
        <v>5.2384776531232087E-2</v>
      </c>
      <c r="T14">
        <v>5.5296487912840302E-2</v>
      </c>
      <c r="U14">
        <v>5.2795367931675094E-2</v>
      </c>
    </row>
    <row r="15" spans="1:24">
      <c r="A15" t="s">
        <v>12</v>
      </c>
      <c r="B15">
        <v>0.15265168662553555</v>
      </c>
      <c r="C15">
        <v>0.13159127053157221</v>
      </c>
      <c r="D15">
        <v>0.10996084542413016</v>
      </c>
      <c r="E15">
        <v>0.1041534376262772</v>
      </c>
      <c r="F15">
        <v>0.10056597905089397</v>
      </c>
      <c r="G15">
        <v>0.10141480881475677</v>
      </c>
      <c r="H15">
        <v>0.10020693477489957</v>
      </c>
      <c r="I15">
        <v>9.9910088637092734E-2</v>
      </c>
      <c r="J15">
        <v>9.5697801551406683E-2</v>
      </c>
      <c r="K15">
        <v>0.10130876570925423</v>
      </c>
      <c r="L15">
        <v>9.6644398254541658E-2</v>
      </c>
      <c r="M15">
        <v>9.5935967639180886E-2</v>
      </c>
      <c r="N15">
        <v>9.2635846734812136E-2</v>
      </c>
      <c r="O15">
        <v>9.2216665201268172E-2</v>
      </c>
      <c r="P15">
        <v>8.7549127340045343E-2</v>
      </c>
      <c r="Q15">
        <v>8.4153660098291672E-2</v>
      </c>
      <c r="R15">
        <v>8.6180291775324089E-2</v>
      </c>
      <c r="S15">
        <v>8.6445964591795085E-2</v>
      </c>
      <c r="T15">
        <v>8.8749869121004021E-2</v>
      </c>
      <c r="U15">
        <v>9.1256365603662057E-2</v>
      </c>
    </row>
    <row r="16" spans="1:24">
      <c r="A16" t="s">
        <v>13</v>
      </c>
      <c r="B16">
        <v>0.36444462448869508</v>
      </c>
      <c r="C16">
        <v>0.22187562394496577</v>
      </c>
      <c r="D16">
        <v>0.14264295599304874</v>
      </c>
      <c r="E16">
        <v>0.11525165199524472</v>
      </c>
      <c r="F16">
        <v>0.10117593939019627</v>
      </c>
      <c r="G16">
        <v>8.9954707263080733E-2</v>
      </c>
      <c r="H16">
        <v>8.1375791893255597E-2</v>
      </c>
      <c r="I16">
        <v>7.8186200110351961E-2</v>
      </c>
      <c r="J16">
        <v>7.7605704307939338E-2</v>
      </c>
      <c r="K16">
        <v>7.3854462801334397E-2</v>
      </c>
      <c r="L16">
        <v>7.0375323990759589E-2</v>
      </c>
      <c r="M16">
        <v>6.2741949476868078E-2</v>
      </c>
      <c r="N16">
        <v>6.1110991057482238E-2</v>
      </c>
      <c r="O16">
        <v>5.9170358802912361E-2</v>
      </c>
      <c r="P16">
        <v>5.8323222274219259E-2</v>
      </c>
      <c r="Q16">
        <v>5.3924086228286976E-2</v>
      </c>
      <c r="R16">
        <v>5.3976090455520487E-2</v>
      </c>
      <c r="S16">
        <v>5.5410976652177965E-2</v>
      </c>
      <c r="T16">
        <v>5.3968576241446443E-2</v>
      </c>
      <c r="U16">
        <v>5.2132620026963665E-2</v>
      </c>
    </row>
    <row r="17" spans="1:21">
      <c r="A17" t="s">
        <v>14</v>
      </c>
      <c r="B17">
        <v>0.37538102013520902</v>
      </c>
      <c r="C17">
        <v>0.22401056324453525</v>
      </c>
      <c r="D17">
        <v>0.14393316797732261</v>
      </c>
      <c r="E17">
        <v>0.11507630777285628</v>
      </c>
      <c r="F17">
        <v>9.8325860969183485E-2</v>
      </c>
      <c r="G17">
        <v>9.0846712714826847E-2</v>
      </c>
      <c r="H17">
        <v>8.8343206632355342E-2</v>
      </c>
      <c r="I17">
        <v>8.6310353724229058E-2</v>
      </c>
      <c r="J17">
        <v>7.9100441167583246E-2</v>
      </c>
      <c r="K17">
        <v>8.0576660397403632E-2</v>
      </c>
      <c r="L17">
        <v>7.9492872840731379E-2</v>
      </c>
      <c r="M17">
        <v>6.7514341536415029E-2</v>
      </c>
      <c r="N17">
        <v>6.5587156982557487E-2</v>
      </c>
      <c r="O17">
        <v>6.7769951405360324E-2</v>
      </c>
      <c r="P17">
        <v>6.1834330678376258E-2</v>
      </c>
      <c r="Q17">
        <v>6.4650403359563291E-2</v>
      </c>
      <c r="R17">
        <v>6.7015172914969542E-2</v>
      </c>
      <c r="S17">
        <v>6.3597985379201777E-2</v>
      </c>
      <c r="T17">
        <v>6.4921677582015863E-2</v>
      </c>
      <c r="U17">
        <v>6.62714836718509E-2</v>
      </c>
    </row>
    <row r="18" spans="1:21">
      <c r="A18" t="s">
        <v>15</v>
      </c>
      <c r="B18">
        <v>0.39032947271994073</v>
      </c>
      <c r="C18">
        <v>0.24836710592406724</v>
      </c>
      <c r="D18">
        <v>0.16344965589716157</v>
      </c>
      <c r="E18">
        <v>0.13145710737334995</v>
      </c>
      <c r="F18">
        <v>0.12177807704598972</v>
      </c>
      <c r="G18">
        <v>0.11297997016508668</v>
      </c>
      <c r="H18">
        <v>0.1053432146270718</v>
      </c>
      <c r="I18">
        <v>9.7000978619821154E-2</v>
      </c>
      <c r="J18">
        <v>0.10354095546983111</v>
      </c>
      <c r="K18">
        <v>0.10503828480041072</v>
      </c>
      <c r="L18">
        <v>0.10080115233850512</v>
      </c>
      <c r="M18">
        <v>9.6621565534987949E-2</v>
      </c>
      <c r="N18">
        <v>9.3545390443999246E-2</v>
      </c>
      <c r="O18">
        <v>8.8252382488127556E-2</v>
      </c>
      <c r="P18">
        <v>8.7503145081093178E-2</v>
      </c>
      <c r="Q18">
        <v>7.898485498529241E-2</v>
      </c>
      <c r="R18">
        <v>8.2326280034961188E-2</v>
      </c>
      <c r="S18">
        <v>8.1678309703728844E-2</v>
      </c>
      <c r="T18">
        <v>8.3209231982840526E-2</v>
      </c>
      <c r="U18">
        <v>8.1331749975450132E-2</v>
      </c>
    </row>
    <row r="19" spans="1:21">
      <c r="A19" t="s">
        <v>16</v>
      </c>
      <c r="B19">
        <v>0.244392599760902</v>
      </c>
      <c r="C19">
        <v>0.17651670640789593</v>
      </c>
      <c r="D19">
        <v>0.1164994116057497</v>
      </c>
      <c r="E19">
        <v>9.4823285640427676E-2</v>
      </c>
      <c r="F19">
        <v>8.1772733816207352E-2</v>
      </c>
      <c r="G19">
        <v>7.2454172494568897E-2</v>
      </c>
      <c r="H19">
        <v>6.7008239868757105E-2</v>
      </c>
      <c r="I19">
        <v>6.4947547800610766E-2</v>
      </c>
      <c r="J19">
        <v>6.0159633168868215E-2</v>
      </c>
      <c r="K19">
        <v>5.9397024403124117E-2</v>
      </c>
      <c r="L19">
        <v>5.6344682517278748E-2</v>
      </c>
      <c r="M19">
        <v>5.4686840907941965E-2</v>
      </c>
      <c r="N19">
        <v>5.283834358124509E-2</v>
      </c>
      <c r="O19">
        <v>4.869896339143602E-2</v>
      </c>
      <c r="P19">
        <v>4.7171569446439104E-2</v>
      </c>
      <c r="Q19">
        <v>4.2977465944325791E-2</v>
      </c>
      <c r="R19">
        <v>4.4020297983555584E-2</v>
      </c>
      <c r="S19">
        <v>4.3318104852880096E-2</v>
      </c>
      <c r="T19">
        <v>4.1395373168672721E-2</v>
      </c>
      <c r="U19">
        <v>4.1916417328232078E-2</v>
      </c>
    </row>
    <row r="20" spans="1:21">
      <c r="A20" t="s">
        <v>17</v>
      </c>
      <c r="B20">
        <v>0.23752199249678357</v>
      </c>
      <c r="C20">
        <v>0.17185432004600826</v>
      </c>
      <c r="D20">
        <v>0.10269541760612391</v>
      </c>
      <c r="E20">
        <v>7.8012726328918203E-2</v>
      </c>
      <c r="F20">
        <v>6.5448401973834586E-2</v>
      </c>
      <c r="G20">
        <v>5.2510699304502716E-2</v>
      </c>
      <c r="H20">
        <v>5.2477674309470881E-2</v>
      </c>
      <c r="I20">
        <v>5.1061145714038733E-2</v>
      </c>
      <c r="J20">
        <v>4.7560231971559987E-2</v>
      </c>
      <c r="K20">
        <v>4.6152758255846284E-2</v>
      </c>
      <c r="L20">
        <v>4.6636073904519917E-2</v>
      </c>
      <c r="M20">
        <v>4.46414407400028E-2</v>
      </c>
      <c r="N20">
        <v>4.6414956927412529E-2</v>
      </c>
      <c r="O20">
        <v>4.4568798837621701E-2</v>
      </c>
      <c r="P20">
        <v>4.4887922178984276E-2</v>
      </c>
      <c r="Q20">
        <v>4.4583458532501147E-2</v>
      </c>
      <c r="R20">
        <v>3.8680038894682973E-2</v>
      </c>
      <c r="S20">
        <v>3.8838409718663688E-2</v>
      </c>
      <c r="T20">
        <v>3.9736810215449683E-2</v>
      </c>
      <c r="U20">
        <v>3.8816668207697747E-2</v>
      </c>
    </row>
    <row r="21" spans="1:21">
      <c r="A21" t="s">
        <v>18</v>
      </c>
      <c r="B21">
        <v>0.2395062445591796</v>
      </c>
      <c r="C21">
        <v>0.17405626106982308</v>
      </c>
      <c r="D21">
        <v>0.10518558727746824</v>
      </c>
      <c r="E21">
        <v>7.8830760820921303E-2</v>
      </c>
      <c r="F21">
        <v>6.5465394951230493E-2</v>
      </c>
      <c r="G21">
        <v>5.6129043481507691E-2</v>
      </c>
      <c r="H21">
        <v>5.2101684769111589E-2</v>
      </c>
      <c r="I21">
        <v>5.1623838177763552E-2</v>
      </c>
      <c r="J21">
        <v>4.8906791143135411E-2</v>
      </c>
      <c r="K21">
        <v>4.9564802628616567E-2</v>
      </c>
      <c r="L21">
        <v>4.9046002313039114E-2</v>
      </c>
      <c r="M21">
        <v>4.8422540578252356E-2</v>
      </c>
      <c r="N21">
        <v>4.6265922156565296E-2</v>
      </c>
      <c r="O21">
        <v>4.4771791035841821E-2</v>
      </c>
      <c r="P21">
        <v>4.3695265260451609E-2</v>
      </c>
      <c r="Q21">
        <v>4.1492941197899008E-2</v>
      </c>
      <c r="R21">
        <v>4.1370421969631047E-2</v>
      </c>
      <c r="S21">
        <v>3.9258528527001131E-2</v>
      </c>
      <c r="T21">
        <v>3.9123967056057668E-2</v>
      </c>
      <c r="U21">
        <v>3.9598388375704639E-2</v>
      </c>
    </row>
    <row r="22" spans="1:21">
      <c r="A22" t="s">
        <v>19</v>
      </c>
      <c r="B22">
        <v>0.23205090577469334</v>
      </c>
      <c r="C22">
        <v>0.16549900324970243</v>
      </c>
      <c r="D22">
        <v>0.10180492892685994</v>
      </c>
      <c r="E22">
        <v>7.9620691341221128E-2</v>
      </c>
      <c r="F22">
        <v>6.6024347916944351E-2</v>
      </c>
      <c r="G22">
        <v>5.7183510837439666E-2</v>
      </c>
      <c r="H22">
        <v>5.1939279753786656E-2</v>
      </c>
      <c r="I22">
        <v>4.8701410089911912E-2</v>
      </c>
      <c r="J22">
        <v>4.4531444223804249E-2</v>
      </c>
      <c r="K22">
        <v>4.5127535791584947E-2</v>
      </c>
      <c r="L22">
        <v>4.61702010025219E-2</v>
      </c>
      <c r="M22">
        <v>4.6699509853456292E-2</v>
      </c>
      <c r="N22">
        <v>4.7417230765174637E-2</v>
      </c>
      <c r="O22">
        <v>4.928220864765058E-2</v>
      </c>
      <c r="P22">
        <v>4.6078581730319937E-2</v>
      </c>
      <c r="Q22">
        <v>4.3782235706724439E-2</v>
      </c>
      <c r="R22">
        <v>4.4349447611005552E-2</v>
      </c>
      <c r="S22">
        <v>4.2660398149194076E-2</v>
      </c>
      <c r="T22">
        <v>4.273961843697463E-2</v>
      </c>
      <c r="U22">
        <v>4.4201530648558772E-2</v>
      </c>
    </row>
    <row r="23" spans="1:21">
      <c r="A23" t="s">
        <v>20</v>
      </c>
      <c r="B23">
        <v>0.23456081154355904</v>
      </c>
      <c r="C23">
        <v>0.17015020982147905</v>
      </c>
      <c r="D23">
        <v>0.10205376892684193</v>
      </c>
      <c r="E23">
        <v>7.6776145203111504E-2</v>
      </c>
      <c r="F23">
        <v>6.2230774374749227E-2</v>
      </c>
      <c r="G23">
        <v>5.3606431249602814E-2</v>
      </c>
      <c r="H23">
        <v>5.2042637709657801E-2</v>
      </c>
      <c r="I23">
        <v>4.8014694987610011E-2</v>
      </c>
      <c r="J23">
        <v>4.6080914353354825E-2</v>
      </c>
      <c r="K23">
        <v>4.4119254781447022E-2</v>
      </c>
      <c r="L23">
        <v>4.6124494916073601E-2</v>
      </c>
      <c r="M23">
        <v>4.5480487148378504E-2</v>
      </c>
      <c r="N23">
        <v>4.4672139500502188E-2</v>
      </c>
      <c r="O23">
        <v>4.6489602413015842E-2</v>
      </c>
      <c r="P23">
        <v>4.690262880982158E-2</v>
      </c>
      <c r="Q23">
        <v>4.1600323431922839E-2</v>
      </c>
      <c r="R23">
        <v>4.03622792585639E-2</v>
      </c>
      <c r="S23">
        <v>4.0330667602597202E-2</v>
      </c>
      <c r="T23">
        <v>3.9906704460433193E-2</v>
      </c>
      <c r="U23">
        <v>3.823628806644578E-2</v>
      </c>
    </row>
    <row r="24" spans="1:21">
      <c r="A24" t="s">
        <v>21</v>
      </c>
      <c r="B24">
        <v>0.23945654008339398</v>
      </c>
      <c r="C24">
        <v>0.17351565095833493</v>
      </c>
      <c r="D24">
        <v>0.10779396785387498</v>
      </c>
      <c r="E24">
        <v>8.7060784842222946E-2</v>
      </c>
      <c r="F24">
        <v>7.2579917003815053E-2</v>
      </c>
      <c r="G24">
        <v>6.4173484242772125E-2</v>
      </c>
      <c r="H24">
        <v>5.8687656490365586E-2</v>
      </c>
      <c r="I24">
        <v>5.6003377773115703E-2</v>
      </c>
      <c r="J24">
        <v>5.2267483054775153E-2</v>
      </c>
      <c r="K24">
        <v>5.1031622131949061E-2</v>
      </c>
      <c r="L24">
        <v>4.9021920685723093E-2</v>
      </c>
      <c r="M24">
        <v>4.8775248014017857E-2</v>
      </c>
      <c r="N24">
        <v>4.6857869240509047E-2</v>
      </c>
      <c r="O24">
        <v>4.570961142691448E-2</v>
      </c>
      <c r="P24">
        <v>4.5484973637850049E-2</v>
      </c>
      <c r="Q24">
        <v>4.459594514907126E-2</v>
      </c>
      <c r="R24">
        <v>4.4381230439171034E-2</v>
      </c>
      <c r="S24">
        <v>4.561843167211968E-2</v>
      </c>
      <c r="T24">
        <v>4.521672107660233E-2</v>
      </c>
      <c r="U24">
        <v>4.4066465635311233E-2</v>
      </c>
    </row>
    <row r="25" spans="1:21">
      <c r="A25" t="s">
        <v>34</v>
      </c>
      <c r="B25">
        <v>0.24377016315435421</v>
      </c>
      <c r="C25">
        <v>0.18005448033402879</v>
      </c>
      <c r="D25">
        <v>0.11167401618031049</v>
      </c>
      <c r="E25">
        <v>8.5418074935263752E-2</v>
      </c>
      <c r="F25">
        <v>7.2492146082528533E-2</v>
      </c>
      <c r="G25">
        <v>6.3936739617807201E-2</v>
      </c>
      <c r="H25">
        <v>5.8533693098175694E-2</v>
      </c>
      <c r="I25">
        <v>5.6528014779061032E-2</v>
      </c>
      <c r="J25">
        <v>5.2776917666021619E-2</v>
      </c>
      <c r="K25">
        <v>5.0642883809305102E-2</v>
      </c>
      <c r="L25">
        <v>4.637937199365353E-2</v>
      </c>
      <c r="M25">
        <v>4.6875946827957399E-2</v>
      </c>
      <c r="N25">
        <v>4.2739704292811598E-2</v>
      </c>
      <c r="O25">
        <v>4.2075996006392245E-2</v>
      </c>
      <c r="P25">
        <v>3.9925771370991264E-2</v>
      </c>
      <c r="Q25">
        <v>4.1472439889237635E-2</v>
      </c>
      <c r="R25">
        <v>4.2209704723701405E-2</v>
      </c>
      <c r="S25">
        <v>4.0260618065544859E-2</v>
      </c>
      <c r="T25">
        <v>4.0593339252986201E-2</v>
      </c>
      <c r="U25">
        <v>3.7478892142252807E-2</v>
      </c>
    </row>
    <row r="26" spans="1:21">
      <c r="A26" t="s">
        <v>22</v>
      </c>
      <c r="B26">
        <v>0.37332173742182251</v>
      </c>
      <c r="C26">
        <v>0.21430989278300883</v>
      </c>
      <c r="D26">
        <v>0.11789811993580604</v>
      </c>
      <c r="E26">
        <v>9.1147491848761628E-2</v>
      </c>
      <c r="F26">
        <v>6.9770046942492794E-2</v>
      </c>
      <c r="G26">
        <v>6.0292618355466607E-2</v>
      </c>
      <c r="H26">
        <v>5.3749555659100584E-2</v>
      </c>
      <c r="I26">
        <v>4.5617836328863008E-2</v>
      </c>
      <c r="J26">
        <v>4.8259945999727355E-2</v>
      </c>
      <c r="K26">
        <v>4.4228273623436731E-2</v>
      </c>
      <c r="L26">
        <v>4.4067393178127544E-2</v>
      </c>
      <c r="M26">
        <v>4.2410615339538993E-2</v>
      </c>
      <c r="N26">
        <v>3.6414271784512613E-2</v>
      </c>
      <c r="O26">
        <v>3.8251431954618054E-2</v>
      </c>
      <c r="P26">
        <v>3.5713216155624089E-2</v>
      </c>
      <c r="Q26">
        <v>3.7345491195565336E-2</v>
      </c>
      <c r="R26">
        <v>3.9150632933338828E-2</v>
      </c>
      <c r="S26">
        <v>3.9260248750982094E-2</v>
      </c>
      <c r="T26">
        <v>3.8668422695844147E-2</v>
      </c>
      <c r="U26">
        <v>3.7696331301414067E-2</v>
      </c>
    </row>
    <row r="27" spans="1:21">
      <c r="A27" t="s">
        <v>23</v>
      </c>
      <c r="B27">
        <v>0.24877131785313258</v>
      </c>
      <c r="C27">
        <v>0.17920908682245471</v>
      </c>
      <c r="D27">
        <v>0.11069119339063452</v>
      </c>
      <c r="E27">
        <v>8.8851631435836742E-2</v>
      </c>
      <c r="F27">
        <v>7.3211049939972572E-2</v>
      </c>
      <c r="G27">
        <v>6.4421472188030779E-2</v>
      </c>
      <c r="H27">
        <v>5.9813941247626227E-2</v>
      </c>
      <c r="I27">
        <v>5.6166918903323926E-2</v>
      </c>
      <c r="J27">
        <v>5.7981589681685347E-2</v>
      </c>
      <c r="K27">
        <v>5.2492301412516734E-2</v>
      </c>
      <c r="L27">
        <v>5.170918797546907E-2</v>
      </c>
      <c r="M27">
        <v>4.9440374561464197E-2</v>
      </c>
      <c r="N27">
        <v>4.8956287613769474E-2</v>
      </c>
      <c r="O27">
        <v>4.7811992464731931E-2</v>
      </c>
      <c r="P27">
        <v>4.7220256406991068E-2</v>
      </c>
      <c r="Q27">
        <v>4.7044248746841613E-2</v>
      </c>
      <c r="R27">
        <v>4.7787716911134807E-2</v>
      </c>
      <c r="S27">
        <v>4.4219752410851347E-2</v>
      </c>
      <c r="T27">
        <v>4.5109297030440379E-2</v>
      </c>
      <c r="U27">
        <v>4.3657642473474312E-2</v>
      </c>
    </row>
    <row r="28" spans="1:21">
      <c r="A28" t="s">
        <v>24</v>
      </c>
      <c r="B28">
        <v>0.23963044318119103</v>
      </c>
      <c r="C28">
        <v>0.17621126377098029</v>
      </c>
      <c r="D28">
        <v>0.10859134582595344</v>
      </c>
      <c r="E28">
        <v>8.697796790625105E-2</v>
      </c>
      <c r="F28">
        <v>7.2277978592852912E-2</v>
      </c>
      <c r="G28">
        <v>6.3986952132631808E-2</v>
      </c>
      <c r="H28">
        <v>5.8404078303239244E-2</v>
      </c>
      <c r="I28">
        <v>5.5617643823830928E-2</v>
      </c>
      <c r="J28">
        <v>5.5244630968051545E-2</v>
      </c>
      <c r="K28">
        <v>4.9512369701791362E-2</v>
      </c>
      <c r="L28">
        <v>4.8123890185286768E-2</v>
      </c>
      <c r="M28">
        <v>4.6311080497038311E-2</v>
      </c>
      <c r="N28">
        <v>4.5253894189373707E-2</v>
      </c>
      <c r="O28">
        <v>4.2985037992050439E-2</v>
      </c>
      <c r="P28">
        <v>4.1570443935596835E-2</v>
      </c>
      <c r="Q28">
        <v>4.2094753187721858E-2</v>
      </c>
      <c r="R28">
        <v>4.1265934654054502E-2</v>
      </c>
      <c r="S28">
        <v>4.1481031047508728E-2</v>
      </c>
      <c r="T28">
        <v>4.2964261292371547E-2</v>
      </c>
      <c r="U28">
        <v>4.2061126988541211E-2</v>
      </c>
    </row>
    <row r="29" spans="1:21">
      <c r="A29" t="s">
        <v>25</v>
      </c>
      <c r="B29">
        <v>0.24805689704151618</v>
      </c>
      <c r="C29">
        <v>0.18784152358556463</v>
      </c>
      <c r="D29">
        <v>0.11928563618765754</v>
      </c>
      <c r="E29">
        <v>9.4194251196763973E-2</v>
      </c>
      <c r="F29">
        <v>7.5401945524601249E-2</v>
      </c>
      <c r="G29">
        <v>6.7465621241225779E-2</v>
      </c>
      <c r="H29">
        <v>6.2160647821783266E-2</v>
      </c>
      <c r="I29">
        <v>5.5373800196598211E-2</v>
      </c>
      <c r="J29">
        <v>5.2131866299592447E-2</v>
      </c>
      <c r="K29">
        <v>4.5894992285275146E-2</v>
      </c>
      <c r="L29">
        <v>4.3850876611605957E-2</v>
      </c>
      <c r="M29">
        <v>3.9745172049994573E-2</v>
      </c>
      <c r="N29">
        <v>3.8540162592752163E-2</v>
      </c>
      <c r="O29">
        <v>3.7377129077633013E-2</v>
      </c>
      <c r="P29">
        <v>3.8345989727782845E-2</v>
      </c>
      <c r="Q29">
        <v>3.8110716355481647E-2</v>
      </c>
      <c r="R29">
        <v>3.4299403590507191E-2</v>
      </c>
      <c r="S29">
        <v>3.2823512123915863E-2</v>
      </c>
      <c r="T29">
        <v>3.3520044981143714E-2</v>
      </c>
      <c r="U29">
        <v>3.1609054250708105E-2</v>
      </c>
    </row>
    <row r="30" spans="1:21">
      <c r="A30" t="s">
        <v>26</v>
      </c>
      <c r="B30">
        <v>0.24057127419721594</v>
      </c>
      <c r="C30">
        <v>0.16504398161063069</v>
      </c>
      <c r="D30">
        <v>9.0931596491565805E-2</v>
      </c>
      <c r="E30">
        <v>7.5743420116775872E-2</v>
      </c>
      <c r="F30">
        <v>6.77175558183261E-2</v>
      </c>
      <c r="G30">
        <v>5.6139635367470096E-2</v>
      </c>
      <c r="H30">
        <v>4.8073656683166661E-2</v>
      </c>
      <c r="I30">
        <v>4.3366565311230246E-2</v>
      </c>
      <c r="J30">
        <v>4.3186813039730591E-2</v>
      </c>
      <c r="K30">
        <v>4.0655041835646742E-2</v>
      </c>
      <c r="L30">
        <v>3.8571498761242953E-2</v>
      </c>
      <c r="M30">
        <v>3.6112379737099534E-2</v>
      </c>
      <c r="N30">
        <v>3.6212039570764964E-2</v>
      </c>
      <c r="O30">
        <v>3.4714176906249741E-2</v>
      </c>
      <c r="P30">
        <v>3.4976640437986491E-2</v>
      </c>
      <c r="Q30">
        <v>3.4784055804891766E-2</v>
      </c>
      <c r="R30">
        <v>3.6498032170868638E-2</v>
      </c>
      <c r="S30">
        <v>3.7275570780856422E-2</v>
      </c>
      <c r="T30">
        <v>3.5138619290081149E-2</v>
      </c>
      <c r="U30">
        <v>3.6136101982197036E-2</v>
      </c>
    </row>
    <row r="31" spans="1:21">
      <c r="A31" t="s">
        <v>27</v>
      </c>
      <c r="B31">
        <v>0.29664396401057519</v>
      </c>
      <c r="C31">
        <v>0.24770590022876146</v>
      </c>
      <c r="D31">
        <v>0.22324627342936854</v>
      </c>
      <c r="E31">
        <v>0.21088080000243459</v>
      </c>
      <c r="F31">
        <v>0.19740290792618687</v>
      </c>
      <c r="G31">
        <v>0.1869263468406771</v>
      </c>
      <c r="H31">
        <v>0.18184535675596483</v>
      </c>
      <c r="I31">
        <v>0.18406310822602884</v>
      </c>
      <c r="J31">
        <v>0.18334962637030922</v>
      </c>
      <c r="K31">
        <v>0.18005797228138212</v>
      </c>
      <c r="L31">
        <v>0.17582845318220694</v>
      </c>
      <c r="M31">
        <v>0.1761449689909525</v>
      </c>
      <c r="N31">
        <v>0.18311860467026941</v>
      </c>
      <c r="O31">
        <v>0.18438582155264005</v>
      </c>
      <c r="P31">
        <v>0.18802044674424453</v>
      </c>
      <c r="Q31">
        <v>0.18067102367466795</v>
      </c>
      <c r="R31">
        <v>0.1774616287206652</v>
      </c>
      <c r="S31">
        <v>0.17698585135886735</v>
      </c>
      <c r="T31">
        <v>0.17299657081507239</v>
      </c>
      <c r="U31">
        <v>0.1719011525217306</v>
      </c>
    </row>
    <row r="32" spans="1:21">
      <c r="A32" t="s">
        <v>28</v>
      </c>
      <c r="B32">
        <v>0.32549240658274786</v>
      </c>
      <c r="C32">
        <v>0.18056366642090388</v>
      </c>
      <c r="D32">
        <v>9.3199998297805342E-2</v>
      </c>
      <c r="E32">
        <v>6.5655742429114969E-2</v>
      </c>
      <c r="F32">
        <v>5.3137189837497781E-2</v>
      </c>
      <c r="G32">
        <v>4.6981938951882546E-2</v>
      </c>
      <c r="H32">
        <v>3.9407456810538907E-2</v>
      </c>
      <c r="I32">
        <v>3.490806007967296E-2</v>
      </c>
      <c r="J32">
        <v>3.3707554052167875E-2</v>
      </c>
      <c r="K32">
        <v>2.977335953996909E-2</v>
      </c>
      <c r="L32">
        <v>2.5686452088398447E-2</v>
      </c>
      <c r="M32">
        <v>2.1797295264880952E-2</v>
      </c>
      <c r="N32">
        <v>2.0624565691918454E-2</v>
      </c>
      <c r="O32">
        <v>1.8734250245664285E-2</v>
      </c>
      <c r="P32">
        <v>1.4259780167301365E-2</v>
      </c>
      <c r="Q32">
        <v>1.3966707267559888E-2</v>
      </c>
      <c r="R32">
        <v>1.0507958061456655E-2</v>
      </c>
      <c r="S32">
        <v>1.1402115060651646E-2</v>
      </c>
      <c r="T32">
        <v>1.2205768601546114E-2</v>
      </c>
      <c r="U32">
        <v>1.1224614310453922E-2</v>
      </c>
    </row>
    <row r="33" spans="1:21">
      <c r="A33" t="s">
        <v>29</v>
      </c>
      <c r="B33">
        <v>0.29783911328713941</v>
      </c>
      <c r="C33">
        <v>0.15884185765291034</v>
      </c>
      <c r="D33">
        <v>9.5208041623392678E-2</v>
      </c>
      <c r="E33">
        <v>6.6752793144215242E-2</v>
      </c>
      <c r="F33">
        <v>5.9944456729892667E-2</v>
      </c>
      <c r="G33">
        <v>5.2129273459112398E-2</v>
      </c>
      <c r="H33">
        <v>4.2497245605072634E-2</v>
      </c>
      <c r="I33">
        <v>3.3598249093109947E-2</v>
      </c>
      <c r="J33">
        <v>3.0451765504380775E-2</v>
      </c>
      <c r="K33">
        <v>2.5714131482021112E-2</v>
      </c>
      <c r="L33">
        <v>2.3955624300402975E-2</v>
      </c>
      <c r="M33">
        <v>2.2223179517968948E-2</v>
      </c>
      <c r="N33">
        <v>2.096565303656071E-2</v>
      </c>
      <c r="O33">
        <v>1.8418674264262674E-2</v>
      </c>
      <c r="P33">
        <v>1.7648956671113786E-2</v>
      </c>
      <c r="Q33">
        <v>1.6035198667671915E-2</v>
      </c>
      <c r="R33">
        <v>1.5696014008372106E-2</v>
      </c>
      <c r="S33">
        <v>1.6918527534830762E-2</v>
      </c>
      <c r="T33">
        <v>1.8062929567787669E-2</v>
      </c>
      <c r="U33">
        <v>1.9168865076110216E-2</v>
      </c>
    </row>
    <row r="34" spans="1:21">
      <c r="A34" t="s">
        <v>30</v>
      </c>
      <c r="B34">
        <v>0.30077572541835546</v>
      </c>
      <c r="C34">
        <v>0.1567001527687821</v>
      </c>
      <c r="D34">
        <v>9.1832354377397979E-2</v>
      </c>
      <c r="E34">
        <v>6.7444902436735218E-2</v>
      </c>
      <c r="F34">
        <v>5.6069097372967946E-2</v>
      </c>
      <c r="G34">
        <v>4.7637470574550381E-2</v>
      </c>
      <c r="H34">
        <v>4.182809211115452E-2</v>
      </c>
      <c r="I34">
        <v>3.3914487418649282E-2</v>
      </c>
      <c r="J34">
        <v>2.9077807938648066E-2</v>
      </c>
      <c r="K34">
        <v>2.3576368492160327E-2</v>
      </c>
      <c r="L34">
        <v>1.8926114587366333E-2</v>
      </c>
      <c r="M34">
        <v>1.8305216343918681E-2</v>
      </c>
      <c r="N34">
        <v>1.558380113819291E-2</v>
      </c>
      <c r="O34">
        <v>1.3450846495475339E-2</v>
      </c>
      <c r="P34">
        <v>1.4478500638260101E-2</v>
      </c>
      <c r="Q34">
        <v>1.4287332776047743E-2</v>
      </c>
      <c r="R34">
        <v>1.4008933116530006E-2</v>
      </c>
      <c r="S34">
        <v>1.3381835307225833E-2</v>
      </c>
      <c r="T34">
        <v>1.250676843637823E-2</v>
      </c>
      <c r="U34">
        <v>1.3215491825898642E-2</v>
      </c>
    </row>
    <row r="35" spans="1:21">
      <c r="A35" t="s">
        <v>31</v>
      </c>
      <c r="B35">
        <v>0.25558393409398633</v>
      </c>
      <c r="C35">
        <v>0.22594533353605606</v>
      </c>
      <c r="D35">
        <v>0.20532749714295248</v>
      </c>
      <c r="E35">
        <v>0.19456021496088544</v>
      </c>
      <c r="F35">
        <v>0.18715053700803913</v>
      </c>
      <c r="G35">
        <v>0.1833982309813818</v>
      </c>
      <c r="H35">
        <v>0.17270375070181315</v>
      </c>
      <c r="I35">
        <v>0.16507564170441399</v>
      </c>
      <c r="J35">
        <v>0.15973777242045067</v>
      </c>
      <c r="K35">
        <v>0.15089961086279685</v>
      </c>
      <c r="L35">
        <v>0.14766046658166945</v>
      </c>
      <c r="M35">
        <v>0.14809198720853739</v>
      </c>
      <c r="N35">
        <v>0.14677698956834079</v>
      </c>
      <c r="O35">
        <v>0.15012941905179544</v>
      </c>
      <c r="P35">
        <v>0.14584616681374502</v>
      </c>
      <c r="Q35">
        <v>0.14767201705992761</v>
      </c>
      <c r="R35">
        <v>0.15057984005706881</v>
      </c>
      <c r="S35">
        <v>0.15048132533387115</v>
      </c>
      <c r="T35">
        <v>0.15209367100066384</v>
      </c>
      <c r="U35">
        <v>0.14553149771384744</v>
      </c>
    </row>
    <row r="36" spans="1:21">
      <c r="A36" t="s">
        <v>32</v>
      </c>
      <c r="B36">
        <v>0.2623471181703923</v>
      </c>
      <c r="C36">
        <v>0.23521029563505208</v>
      </c>
      <c r="D36">
        <v>0.20945838345164078</v>
      </c>
      <c r="E36">
        <v>0.19966348667967171</v>
      </c>
      <c r="F36">
        <v>0.18863609295543871</v>
      </c>
      <c r="G36">
        <v>0.18113821722888146</v>
      </c>
      <c r="H36">
        <v>0.17980762715000495</v>
      </c>
      <c r="I36">
        <v>0.1744236183724846</v>
      </c>
      <c r="J36">
        <v>0.169367773789323</v>
      </c>
      <c r="K36">
        <v>0.16180261165256379</v>
      </c>
      <c r="L36">
        <v>0.15608972362242332</v>
      </c>
      <c r="M36">
        <v>0.15284712485316379</v>
      </c>
      <c r="N36">
        <v>0.14776578353212222</v>
      </c>
      <c r="O36">
        <v>0.14825774886111839</v>
      </c>
      <c r="P36">
        <v>0.14528494448969376</v>
      </c>
      <c r="Q36">
        <v>0.14409542223925059</v>
      </c>
      <c r="R36">
        <v>0.14287963714609153</v>
      </c>
      <c r="S36">
        <v>0.13767198434975866</v>
      </c>
      <c r="T36">
        <v>0.13518417802057456</v>
      </c>
      <c r="U36">
        <v>0.13666645092184965</v>
      </c>
    </row>
    <row r="37" spans="1:21">
      <c r="A37" t="s">
        <v>33</v>
      </c>
      <c r="B37">
        <v>0.24196185188927655</v>
      </c>
      <c r="C37">
        <v>0.22393501044737121</v>
      </c>
      <c r="D37">
        <v>0.20792750560355008</v>
      </c>
      <c r="E37">
        <v>0.20852735522281252</v>
      </c>
      <c r="F37">
        <v>0.20584038074154576</v>
      </c>
      <c r="G37">
        <v>0.20577012782885579</v>
      </c>
      <c r="H37">
        <v>0.20124752771098053</v>
      </c>
      <c r="I37">
        <v>0.20306131308402006</v>
      </c>
      <c r="J37">
        <v>0.20077352245981522</v>
      </c>
      <c r="K37">
        <v>0.19757910586038338</v>
      </c>
      <c r="L37">
        <v>0.19650084012654406</v>
      </c>
      <c r="M37">
        <v>0.19336773914242025</v>
      </c>
      <c r="N37">
        <v>0.19398347499517327</v>
      </c>
      <c r="O37">
        <v>0.19317899092015223</v>
      </c>
      <c r="P37">
        <v>0.19148246162176366</v>
      </c>
      <c r="Q37">
        <v>0.18951461205310044</v>
      </c>
      <c r="R37">
        <v>0.19426849885731565</v>
      </c>
      <c r="S37">
        <v>0.19738724255963069</v>
      </c>
      <c r="T37">
        <v>0.18657805534420843</v>
      </c>
      <c r="U37">
        <v>0.18612097256818236</v>
      </c>
    </row>
  </sheetData>
  <phoneticPr fontId="0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7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"Chg_T_pos_1.4A"</f>
        <v>Chg_T_pos_1.4A</v>
      </c>
      <c r="C1" s="1" t="str">
        <f>"Chg_T_pos_2A"</f>
        <v>Chg_T_pos_2A</v>
      </c>
      <c r="D1" s="1" t="str">
        <f>"Chg_T_pos_3A"</f>
        <v>Chg_T_pos_3A</v>
      </c>
      <c r="E1" s="1" t="str">
        <f>"Chg_T_pos_4A"</f>
        <v>Chg_T_pos_4A</v>
      </c>
      <c r="F1" s="1" t="str">
        <f>"Chg_T_pos_5A"</f>
        <v>Chg_T_pos_5A</v>
      </c>
      <c r="G1" s="1" t="str">
        <f>"Chg_T_pos_6A"</f>
        <v>Chg_T_pos_6A</v>
      </c>
      <c r="H1" s="1" t="str">
        <f>"Chg_T_pos_7A"</f>
        <v>Chg_T_pos_7A</v>
      </c>
      <c r="I1" s="1" t="str">
        <f>"Chg_T_pos_8A"</f>
        <v>Chg_T_pos_8A</v>
      </c>
      <c r="J1" s="1" t="str">
        <f>"Chg_T_pos_9A"</f>
        <v>Chg_T_pos_9A</v>
      </c>
      <c r="K1" s="1" t="str">
        <f>"Chg_T_pos_10A"</f>
        <v>Chg_T_pos_10A</v>
      </c>
      <c r="L1" s="1" t="str">
        <f>"Chg_T_pos_11A"</f>
        <v>Chg_T_pos_11A</v>
      </c>
      <c r="M1" s="1" t="str">
        <f>"Chg_T_pos_12A"</f>
        <v>Chg_T_pos_12A</v>
      </c>
      <c r="N1" s="1" t="str">
        <f>"Chg_T_pos_13A"</f>
        <v>Chg_T_pos_13A</v>
      </c>
      <c r="O1" s="1" t="str">
        <f>"Chg_T_pos_14A"</f>
        <v>Chg_T_pos_14A</v>
      </c>
      <c r="P1" s="1" t="str">
        <f>"Chg_T_pos_15A"</f>
        <v>Chg_T_pos_15A</v>
      </c>
      <c r="Q1" s="1" t="str">
        <f>"Chg_T_pos_16A"</f>
        <v>Chg_T_pos_16A</v>
      </c>
      <c r="R1" s="1" t="str">
        <f>"Chg_T_pos_17A"</f>
        <v>Chg_T_pos_17A</v>
      </c>
      <c r="S1" s="1" t="str">
        <f>"Chg_T_pos_18A"</f>
        <v>Chg_T_pos_18A</v>
      </c>
      <c r="T1" s="1" t="str">
        <f>"Chg_T_pos_19A"</f>
        <v>Chg_T_pos_19A</v>
      </c>
      <c r="U1" s="1" t="str">
        <f>"Chg_T_pos_20A"</f>
        <v>Chg_T_pos_20A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4.6228069999999999</v>
      </c>
      <c r="C3">
        <v>3.590455</v>
      </c>
      <c r="D3">
        <v>2.6224509999999999</v>
      </c>
      <c r="E3">
        <v>2.107329</v>
      </c>
      <c r="F3">
        <v>1.638147</v>
      </c>
      <c r="G3">
        <v>1.3769039999999999</v>
      </c>
      <c r="H3">
        <v>1.2251700000000001</v>
      </c>
      <c r="I3">
        <v>1.0901369999999999</v>
      </c>
      <c r="J3">
        <v>0.97165040000000003</v>
      </c>
      <c r="K3">
        <v>0.8715444</v>
      </c>
      <c r="L3">
        <v>0.75236990000000004</v>
      </c>
      <c r="M3">
        <v>0.68818279999999998</v>
      </c>
      <c r="N3">
        <v>0.6527423</v>
      </c>
      <c r="O3">
        <v>0.61848119999999995</v>
      </c>
      <c r="P3">
        <v>0.57167539999999994</v>
      </c>
      <c r="Q3">
        <v>0.52913359999999998</v>
      </c>
      <c r="R3">
        <v>0.49879259999999997</v>
      </c>
      <c r="S3">
        <v>0.49436289999999999</v>
      </c>
      <c r="T3">
        <v>0.47379900000000003</v>
      </c>
      <c r="U3">
        <v>0.47298869999999998</v>
      </c>
    </row>
    <row r="4" spans="1:24">
      <c r="A4" t="s">
        <v>1</v>
      </c>
      <c r="B4">
        <v>5.4265679999999996</v>
      </c>
      <c r="C4">
        <v>4.2849510000000004</v>
      </c>
      <c r="D4">
        <v>3.1124160000000001</v>
      </c>
      <c r="E4">
        <v>2.4379439999999999</v>
      </c>
      <c r="F4">
        <v>1.933878</v>
      </c>
      <c r="G4">
        <v>1.599281</v>
      </c>
      <c r="H4">
        <v>1.35463</v>
      </c>
      <c r="I4">
        <v>1.207989</v>
      </c>
      <c r="J4">
        <v>1.0607089999999999</v>
      </c>
      <c r="K4">
        <v>0.96030340000000003</v>
      </c>
      <c r="L4">
        <v>0.82505949999999995</v>
      </c>
      <c r="M4">
        <v>0.7499323</v>
      </c>
      <c r="N4">
        <v>0.68324949999999995</v>
      </c>
      <c r="O4">
        <v>0.64581869999999997</v>
      </c>
      <c r="P4">
        <v>0.60577130000000001</v>
      </c>
      <c r="Q4">
        <v>0.568523</v>
      </c>
      <c r="R4">
        <v>0.53592620000000002</v>
      </c>
      <c r="S4">
        <v>0.50406110000000004</v>
      </c>
      <c r="T4">
        <v>0.49610369999999998</v>
      </c>
      <c r="U4">
        <v>0.48011690000000001</v>
      </c>
    </row>
    <row r="5" spans="1:24">
      <c r="A5" t="s">
        <v>2</v>
      </c>
      <c r="B5">
        <v>9.3429730000000006</v>
      </c>
      <c r="C5">
        <v>7.267252</v>
      </c>
      <c r="D5">
        <v>5.40489</v>
      </c>
      <c r="E5">
        <v>4.3488619999999996</v>
      </c>
      <c r="F5">
        <v>3.522411</v>
      </c>
      <c r="G5">
        <v>3.0506790000000001</v>
      </c>
      <c r="H5">
        <v>2.722607</v>
      </c>
      <c r="I5">
        <v>2.4775269999999998</v>
      </c>
      <c r="J5">
        <v>2.222261</v>
      </c>
      <c r="K5">
        <v>2.0384980000000001</v>
      </c>
      <c r="L5">
        <v>1.8907560000000001</v>
      </c>
      <c r="M5">
        <v>1.75789</v>
      </c>
      <c r="N5">
        <v>1.6433150000000001</v>
      </c>
      <c r="O5">
        <v>1.5831200000000001</v>
      </c>
      <c r="P5">
        <v>1.489301</v>
      </c>
      <c r="Q5">
        <v>1.417562</v>
      </c>
      <c r="R5">
        <v>1.3589899999999999</v>
      </c>
      <c r="S5">
        <v>1.287698</v>
      </c>
      <c r="T5">
        <v>1.2539819999999999</v>
      </c>
      <c r="U5">
        <v>1.234696</v>
      </c>
    </row>
    <row r="6" spans="1:24">
      <c r="A6" t="s">
        <v>3</v>
      </c>
      <c r="B6">
        <v>2.7093289999999999</v>
      </c>
      <c r="C6">
        <v>1.9823230000000001</v>
      </c>
      <c r="D6">
        <v>1.3309949999999999</v>
      </c>
      <c r="E6">
        <v>0.96611769999999997</v>
      </c>
      <c r="F6">
        <v>0.78070130000000004</v>
      </c>
      <c r="G6">
        <v>0.66561809999999999</v>
      </c>
      <c r="H6">
        <v>0.56989449999999997</v>
      </c>
      <c r="I6">
        <v>0.50417820000000002</v>
      </c>
      <c r="J6">
        <v>0.44538280000000002</v>
      </c>
      <c r="K6">
        <v>0.40321249999999997</v>
      </c>
      <c r="L6">
        <v>0.35672930000000003</v>
      </c>
      <c r="M6">
        <v>0.33012970000000003</v>
      </c>
      <c r="N6">
        <v>0.30292999999999998</v>
      </c>
      <c r="O6">
        <v>0.26982810000000002</v>
      </c>
      <c r="P6">
        <v>0.25606319999999999</v>
      </c>
      <c r="Q6">
        <v>0.24555080000000001</v>
      </c>
      <c r="R6">
        <v>0.23353370000000001</v>
      </c>
      <c r="S6">
        <v>0.22653699999999999</v>
      </c>
      <c r="T6">
        <v>0.22375880000000001</v>
      </c>
      <c r="U6">
        <v>0.20712449999999999</v>
      </c>
    </row>
    <row r="7" spans="1:24">
      <c r="A7" t="s">
        <v>4</v>
      </c>
      <c r="B7">
        <v>2.830943</v>
      </c>
      <c r="C7">
        <v>1.978092</v>
      </c>
      <c r="D7">
        <v>1.343283</v>
      </c>
      <c r="E7">
        <v>1.0569299999999999</v>
      </c>
      <c r="F7">
        <v>0.85070520000000005</v>
      </c>
      <c r="G7">
        <v>0.69170929999999997</v>
      </c>
      <c r="H7">
        <v>0.59271779999999996</v>
      </c>
      <c r="I7">
        <v>0.54029210000000005</v>
      </c>
      <c r="J7">
        <v>0.48871360000000003</v>
      </c>
      <c r="K7">
        <v>0.42140899999999998</v>
      </c>
      <c r="L7">
        <v>0.39241589999999998</v>
      </c>
      <c r="M7">
        <v>0.34889809999999999</v>
      </c>
      <c r="N7">
        <v>0.32385589999999997</v>
      </c>
      <c r="O7">
        <v>0.29099510000000001</v>
      </c>
      <c r="P7">
        <v>0.26997460000000001</v>
      </c>
      <c r="Q7">
        <v>0.24041419999999999</v>
      </c>
      <c r="R7">
        <v>0.22456380000000001</v>
      </c>
      <c r="S7">
        <v>0.22262270000000001</v>
      </c>
      <c r="T7">
        <v>0.2161283</v>
      </c>
      <c r="U7">
        <v>0.21347659999999999</v>
      </c>
    </row>
    <row r="8" spans="1:24">
      <c r="A8" t="s">
        <v>5</v>
      </c>
      <c r="B8">
        <v>2.6812839999999998</v>
      </c>
      <c r="C8">
        <v>1.830595</v>
      </c>
      <c r="D8">
        <v>1.213058</v>
      </c>
      <c r="E8">
        <v>0.92400000000000004</v>
      </c>
      <c r="F8">
        <v>0.7167521</v>
      </c>
      <c r="G8">
        <v>0.59347899999999998</v>
      </c>
      <c r="H8">
        <v>0.51661809999999997</v>
      </c>
      <c r="I8">
        <v>0.43734299999999998</v>
      </c>
      <c r="J8">
        <v>0.390963</v>
      </c>
      <c r="K8">
        <v>0.34279949999999998</v>
      </c>
      <c r="L8">
        <v>0.30520269999999999</v>
      </c>
      <c r="M8">
        <v>0.2753987</v>
      </c>
      <c r="N8">
        <v>0.26487139999999998</v>
      </c>
      <c r="O8">
        <v>0.24146670000000001</v>
      </c>
      <c r="P8">
        <v>0.23073940000000001</v>
      </c>
      <c r="Q8">
        <v>0.21274689999999999</v>
      </c>
      <c r="R8">
        <v>0.20725289999999999</v>
      </c>
      <c r="S8">
        <v>0.19266610000000001</v>
      </c>
      <c r="T8">
        <v>0.18611159999999999</v>
      </c>
      <c r="U8">
        <v>0.18147089999999999</v>
      </c>
    </row>
    <row r="9" spans="1:24">
      <c r="A9" t="s">
        <v>6</v>
      </c>
      <c r="B9">
        <v>2.9634269999999998</v>
      </c>
      <c r="C9">
        <v>2.0988799999999999</v>
      </c>
      <c r="D9">
        <v>1.418094</v>
      </c>
      <c r="E9">
        <v>1.095758</v>
      </c>
      <c r="F9">
        <v>0.8796659</v>
      </c>
      <c r="G9">
        <v>0.70641719999999997</v>
      </c>
      <c r="H9">
        <v>0.59596559999999998</v>
      </c>
      <c r="I9">
        <v>0.5331245</v>
      </c>
      <c r="J9">
        <v>0.47134239999999999</v>
      </c>
      <c r="K9">
        <v>0.40752500000000003</v>
      </c>
      <c r="L9">
        <v>0.36860989999999999</v>
      </c>
      <c r="M9">
        <v>0.34422439999999999</v>
      </c>
      <c r="N9">
        <v>0.31719150000000002</v>
      </c>
      <c r="O9">
        <v>0.29897030000000002</v>
      </c>
      <c r="P9">
        <v>0.28499720000000001</v>
      </c>
      <c r="Q9">
        <v>0.26592769999999999</v>
      </c>
      <c r="R9">
        <v>0.25119760000000002</v>
      </c>
      <c r="S9">
        <v>0.24393039999999999</v>
      </c>
      <c r="T9">
        <v>0.23394680000000001</v>
      </c>
      <c r="U9">
        <v>0.2175974</v>
      </c>
    </row>
    <row r="10" spans="1:24">
      <c r="A10" t="s">
        <v>7</v>
      </c>
      <c r="B10">
        <v>4.2893080000000001</v>
      </c>
      <c r="C10">
        <v>3.0900620000000001</v>
      </c>
      <c r="D10">
        <v>2.0935229999999998</v>
      </c>
      <c r="E10">
        <v>1.591893</v>
      </c>
      <c r="F10">
        <v>1.266643</v>
      </c>
      <c r="G10">
        <v>1.05671</v>
      </c>
      <c r="H10">
        <v>0.91186449999999997</v>
      </c>
      <c r="I10">
        <v>0.81748849999999995</v>
      </c>
      <c r="J10">
        <v>0.73244359999999997</v>
      </c>
      <c r="K10">
        <v>0.65890029999999999</v>
      </c>
      <c r="L10">
        <v>0.58975789999999995</v>
      </c>
      <c r="M10">
        <v>0.52887740000000005</v>
      </c>
      <c r="N10">
        <v>0.49569439999999998</v>
      </c>
      <c r="O10">
        <v>0.44503749999999997</v>
      </c>
      <c r="P10">
        <v>0.41249770000000002</v>
      </c>
      <c r="Q10">
        <v>0.38563140000000001</v>
      </c>
      <c r="R10">
        <v>0.36319879999999999</v>
      </c>
      <c r="S10">
        <v>0.35781669999999999</v>
      </c>
      <c r="T10">
        <v>0.32853199999999999</v>
      </c>
      <c r="U10">
        <v>0.30811820000000001</v>
      </c>
    </row>
    <row r="11" spans="1:24">
      <c r="A11" t="s">
        <v>8</v>
      </c>
      <c r="B11">
        <v>4.164021</v>
      </c>
      <c r="C11">
        <v>3.08596</v>
      </c>
      <c r="D11">
        <v>2.1143619999999999</v>
      </c>
      <c r="E11">
        <v>1.6583619999999999</v>
      </c>
      <c r="F11">
        <v>1.3756630000000001</v>
      </c>
      <c r="G11">
        <v>1.1864269999999999</v>
      </c>
      <c r="H11">
        <v>1.0194350000000001</v>
      </c>
      <c r="I11">
        <v>0.93096239999999997</v>
      </c>
      <c r="J11">
        <v>0.81047460000000004</v>
      </c>
      <c r="K11">
        <v>0.72714069999999997</v>
      </c>
      <c r="L11">
        <v>0.65196759999999998</v>
      </c>
      <c r="M11">
        <v>0.60055820000000004</v>
      </c>
      <c r="N11">
        <v>0.57329960000000002</v>
      </c>
      <c r="O11">
        <v>0.53264330000000004</v>
      </c>
      <c r="P11">
        <v>0.50482369999999999</v>
      </c>
      <c r="Q11">
        <v>0.47487010000000002</v>
      </c>
      <c r="R11">
        <v>0.4587193</v>
      </c>
      <c r="S11">
        <v>0.44156000000000001</v>
      </c>
      <c r="T11">
        <v>0.43713790000000002</v>
      </c>
      <c r="U11">
        <v>0.41510350000000001</v>
      </c>
    </row>
    <row r="12" spans="1:24">
      <c r="A12" t="s">
        <v>9</v>
      </c>
      <c r="B12">
        <v>2.8996390000000001</v>
      </c>
      <c r="C12">
        <v>2.0423680000000002</v>
      </c>
      <c r="D12">
        <v>1.3943589999999999</v>
      </c>
      <c r="E12">
        <v>0.95016849999999997</v>
      </c>
      <c r="F12">
        <v>0.71027280000000004</v>
      </c>
      <c r="G12">
        <v>0.55657489999999998</v>
      </c>
      <c r="H12">
        <v>0.46946700000000002</v>
      </c>
      <c r="I12">
        <v>0.41008430000000001</v>
      </c>
      <c r="J12">
        <v>0.3445627</v>
      </c>
      <c r="K12">
        <v>0.32048700000000002</v>
      </c>
      <c r="L12">
        <v>0.27502480000000001</v>
      </c>
      <c r="M12">
        <v>0.260878</v>
      </c>
      <c r="N12">
        <v>0.21811700000000001</v>
      </c>
      <c r="O12">
        <v>0.19985149999999999</v>
      </c>
      <c r="P12">
        <v>0.1814877</v>
      </c>
      <c r="Q12">
        <v>0.1664899</v>
      </c>
      <c r="R12">
        <v>0.15035129999999999</v>
      </c>
      <c r="S12">
        <v>0.1499308</v>
      </c>
      <c r="T12">
        <v>0.1454114</v>
      </c>
      <c r="U12">
        <v>0.1247211</v>
      </c>
    </row>
    <row r="13" spans="1:24">
      <c r="A13" t="s">
        <v>10</v>
      </c>
      <c r="B13">
        <v>2.3217590000000001</v>
      </c>
      <c r="C13">
        <v>1.5588010000000001</v>
      </c>
      <c r="D13">
        <v>1.060681</v>
      </c>
      <c r="E13">
        <v>0.78640129999999997</v>
      </c>
      <c r="F13">
        <v>0.63519199999999998</v>
      </c>
      <c r="G13">
        <v>0.52016289999999998</v>
      </c>
      <c r="H13">
        <v>0.46405390000000002</v>
      </c>
      <c r="I13">
        <v>0.41447149999999999</v>
      </c>
      <c r="J13">
        <v>0.34502480000000002</v>
      </c>
      <c r="K13">
        <v>0.30213679999999998</v>
      </c>
      <c r="L13">
        <v>0.26790979999999998</v>
      </c>
      <c r="M13">
        <v>0.23881569999999999</v>
      </c>
      <c r="N13">
        <v>0.2284437</v>
      </c>
      <c r="O13">
        <v>0.2060535</v>
      </c>
      <c r="P13">
        <v>0.1990519</v>
      </c>
      <c r="Q13">
        <v>0.1904766</v>
      </c>
      <c r="R13">
        <v>0.17527580000000001</v>
      </c>
      <c r="S13">
        <v>0.17264360000000001</v>
      </c>
      <c r="T13">
        <v>0.1645703</v>
      </c>
      <c r="U13">
        <v>0.16353110000000001</v>
      </c>
    </row>
    <row r="14" spans="1:24">
      <c r="A14" t="s">
        <v>11</v>
      </c>
      <c r="B14">
        <v>3.078649</v>
      </c>
      <c r="C14">
        <v>2.3828839999999998</v>
      </c>
      <c r="D14">
        <v>1.698545</v>
      </c>
      <c r="E14">
        <v>1.3355509999999999</v>
      </c>
      <c r="F14">
        <v>1.028993</v>
      </c>
      <c r="G14">
        <v>0.86717520000000003</v>
      </c>
      <c r="H14">
        <v>0.75319159999999996</v>
      </c>
      <c r="I14">
        <v>0.66261490000000001</v>
      </c>
      <c r="J14">
        <v>0.59454050000000003</v>
      </c>
      <c r="K14">
        <v>0.51281279999999996</v>
      </c>
      <c r="L14">
        <v>0.47356389999999998</v>
      </c>
      <c r="M14">
        <v>0.4435771</v>
      </c>
      <c r="N14">
        <v>0.42092560000000001</v>
      </c>
      <c r="O14">
        <v>0.39775500000000003</v>
      </c>
      <c r="P14">
        <v>0.38823340000000001</v>
      </c>
      <c r="Q14">
        <v>0.35743419999999998</v>
      </c>
      <c r="R14">
        <v>0.334698</v>
      </c>
      <c r="S14">
        <v>0.29931210000000003</v>
      </c>
      <c r="T14">
        <v>0.27259359999999999</v>
      </c>
      <c r="U14">
        <v>0.2722444</v>
      </c>
    </row>
    <row r="15" spans="1:24">
      <c r="A15" t="s">
        <v>12</v>
      </c>
      <c r="B15">
        <v>8.3280580000000004</v>
      </c>
      <c r="C15">
        <v>6.7840790000000002</v>
      </c>
      <c r="D15">
        <v>5.0225270000000002</v>
      </c>
      <c r="E15">
        <v>3.8138770000000002</v>
      </c>
      <c r="F15">
        <v>3.002135</v>
      </c>
      <c r="G15">
        <v>2.4469020000000001</v>
      </c>
      <c r="H15">
        <v>2.065674</v>
      </c>
      <c r="I15">
        <v>1.797939</v>
      </c>
      <c r="J15">
        <v>1.5929139999999999</v>
      </c>
      <c r="K15">
        <v>1.4245969999999999</v>
      </c>
      <c r="L15">
        <v>1.3354569999999999</v>
      </c>
      <c r="M15">
        <v>1.2752239999999999</v>
      </c>
      <c r="N15">
        <v>1.182984</v>
      </c>
      <c r="O15">
        <v>1.0416129999999999</v>
      </c>
      <c r="P15">
        <v>1.010459</v>
      </c>
      <c r="Q15">
        <v>0.92156899999999997</v>
      </c>
      <c r="R15">
        <v>0.87624579999999996</v>
      </c>
      <c r="S15">
        <v>0.83526699999999998</v>
      </c>
      <c r="T15">
        <v>0.79806120000000003</v>
      </c>
      <c r="U15">
        <v>0.77446729999999997</v>
      </c>
    </row>
    <row r="16" spans="1:24">
      <c r="A16" t="s">
        <v>13</v>
      </c>
      <c r="B16">
        <v>6.5916430000000004</v>
      </c>
      <c r="C16">
        <v>4.8346210000000003</v>
      </c>
      <c r="D16">
        <v>3.5699450000000001</v>
      </c>
      <c r="E16">
        <v>2.8544330000000002</v>
      </c>
      <c r="F16">
        <v>2.277879</v>
      </c>
      <c r="G16">
        <v>1.895095</v>
      </c>
      <c r="H16">
        <v>1.6466959999999999</v>
      </c>
      <c r="I16">
        <v>1.4742090000000001</v>
      </c>
      <c r="J16">
        <v>1.347763</v>
      </c>
      <c r="K16">
        <v>1.205775</v>
      </c>
      <c r="L16">
        <v>1.1058429999999999</v>
      </c>
      <c r="M16">
        <v>1.052335</v>
      </c>
      <c r="N16">
        <v>0.97997319999999999</v>
      </c>
      <c r="O16">
        <v>0.89301249999999999</v>
      </c>
      <c r="P16">
        <v>0.81191659999999999</v>
      </c>
      <c r="Q16">
        <v>0.78737190000000001</v>
      </c>
      <c r="R16">
        <v>0.76093690000000003</v>
      </c>
      <c r="S16">
        <v>0.70604769999999994</v>
      </c>
      <c r="T16">
        <v>0.67338100000000001</v>
      </c>
      <c r="U16">
        <v>0.62636959999999997</v>
      </c>
    </row>
    <row r="17" spans="1:21">
      <c r="A17" t="s">
        <v>14</v>
      </c>
      <c r="B17">
        <v>6.9356879999999999</v>
      </c>
      <c r="C17">
        <v>5.0945939999999998</v>
      </c>
      <c r="D17">
        <v>3.649098</v>
      </c>
      <c r="E17">
        <v>2.7572899999999998</v>
      </c>
      <c r="F17">
        <v>2.2711700000000001</v>
      </c>
      <c r="G17">
        <v>1.8946050000000001</v>
      </c>
      <c r="H17">
        <v>1.5643579999999999</v>
      </c>
      <c r="I17">
        <v>1.394601</v>
      </c>
      <c r="J17">
        <v>1.2099120000000001</v>
      </c>
      <c r="K17">
        <v>1.103048</v>
      </c>
      <c r="L17">
        <v>0.97969759999999995</v>
      </c>
      <c r="M17">
        <v>0.88480210000000004</v>
      </c>
      <c r="N17">
        <v>0.84461620000000004</v>
      </c>
      <c r="O17">
        <v>0.81427360000000004</v>
      </c>
      <c r="P17">
        <v>0.74915290000000001</v>
      </c>
      <c r="Q17">
        <v>0.70392299999999997</v>
      </c>
      <c r="R17">
        <v>0.67830360000000001</v>
      </c>
      <c r="S17">
        <v>0.62470840000000005</v>
      </c>
      <c r="T17">
        <v>0.59067610000000004</v>
      </c>
      <c r="U17">
        <v>0.55732429999999999</v>
      </c>
    </row>
    <row r="18" spans="1:21">
      <c r="A18" t="s">
        <v>15</v>
      </c>
      <c r="B18">
        <v>7.5435730000000003</v>
      </c>
      <c r="C18">
        <v>5.7297669999999998</v>
      </c>
      <c r="D18">
        <v>4.1110309999999997</v>
      </c>
      <c r="E18">
        <v>3.1667100000000001</v>
      </c>
      <c r="F18">
        <v>2.4911310000000002</v>
      </c>
      <c r="G18">
        <v>2.0265919999999999</v>
      </c>
      <c r="H18">
        <v>1.759152</v>
      </c>
      <c r="I18">
        <v>1.500847</v>
      </c>
      <c r="J18">
        <v>1.3096000000000001</v>
      </c>
      <c r="K18">
        <v>1.1913260000000001</v>
      </c>
      <c r="L18">
        <v>1.0794950000000001</v>
      </c>
      <c r="M18">
        <v>1.000958</v>
      </c>
      <c r="N18">
        <v>0.97313260000000001</v>
      </c>
      <c r="O18">
        <v>0.87624009999999997</v>
      </c>
      <c r="P18">
        <v>0.78400000000000003</v>
      </c>
      <c r="Q18">
        <v>0.74541690000000005</v>
      </c>
      <c r="R18">
        <v>0.70529679999999995</v>
      </c>
      <c r="S18">
        <v>0.66178440000000005</v>
      </c>
      <c r="T18">
        <v>0.63328260000000003</v>
      </c>
      <c r="U18">
        <v>0.5976998</v>
      </c>
    </row>
    <row r="19" spans="1:21">
      <c r="A19" t="s">
        <v>16</v>
      </c>
      <c r="B19">
        <v>17.29636</v>
      </c>
      <c r="C19">
        <v>13.042059999999999</v>
      </c>
      <c r="D19">
        <v>9.1805029999999999</v>
      </c>
      <c r="E19">
        <v>6.8388289999999996</v>
      </c>
      <c r="F19">
        <v>5.2885999999999997</v>
      </c>
      <c r="G19">
        <v>4.4107789999999998</v>
      </c>
      <c r="H19">
        <v>3.6717230000000001</v>
      </c>
      <c r="I19">
        <v>3.170277</v>
      </c>
      <c r="J19">
        <v>2.7610890000000001</v>
      </c>
      <c r="K19">
        <v>2.4156420000000001</v>
      </c>
      <c r="L19">
        <v>2.2168100000000002</v>
      </c>
      <c r="M19">
        <v>2.022996</v>
      </c>
      <c r="N19">
        <v>1.836929</v>
      </c>
      <c r="O19">
        <v>1.701535</v>
      </c>
      <c r="P19">
        <v>1.5780369999999999</v>
      </c>
      <c r="Q19">
        <v>1.5159480000000001</v>
      </c>
      <c r="R19">
        <v>1.390574</v>
      </c>
      <c r="S19">
        <v>1.315321</v>
      </c>
      <c r="T19">
        <v>1.2091240000000001</v>
      </c>
      <c r="U19">
        <v>1.1630229999999999</v>
      </c>
    </row>
    <row r="20" spans="1:21">
      <c r="A20" t="s">
        <v>17</v>
      </c>
      <c r="B20">
        <v>18.274100000000001</v>
      </c>
      <c r="C20">
        <v>14.29973</v>
      </c>
      <c r="D20">
        <v>10.0176</v>
      </c>
      <c r="E20">
        <v>7.2162369999999996</v>
      </c>
      <c r="F20">
        <v>5.6652899999999997</v>
      </c>
      <c r="G20">
        <v>4.6527250000000002</v>
      </c>
      <c r="H20">
        <v>3.9013390000000001</v>
      </c>
      <c r="I20">
        <v>3.4391449999999999</v>
      </c>
      <c r="J20">
        <v>3.0543619999999998</v>
      </c>
      <c r="K20">
        <v>2.7177470000000001</v>
      </c>
      <c r="L20">
        <v>2.4193989999999999</v>
      </c>
      <c r="M20">
        <v>2.224221</v>
      </c>
      <c r="N20">
        <v>2.045185</v>
      </c>
      <c r="O20">
        <v>1.887864</v>
      </c>
      <c r="P20">
        <v>1.761261</v>
      </c>
      <c r="Q20">
        <v>1.6462600000000001</v>
      </c>
      <c r="R20">
        <v>1.5617209999999999</v>
      </c>
      <c r="S20">
        <v>1.48146</v>
      </c>
      <c r="T20">
        <v>1.4123060000000001</v>
      </c>
      <c r="U20">
        <v>1.3508420000000001</v>
      </c>
    </row>
    <row r="21" spans="1:21">
      <c r="A21" t="s">
        <v>18</v>
      </c>
      <c r="B21">
        <v>18.243500000000001</v>
      </c>
      <c r="C21">
        <v>14.261710000000001</v>
      </c>
      <c r="D21">
        <v>10.010809999999999</v>
      </c>
      <c r="E21">
        <v>7.1754819999999997</v>
      </c>
      <c r="F21">
        <v>5.5950030000000002</v>
      </c>
      <c r="G21">
        <v>4.6474489999999999</v>
      </c>
      <c r="H21">
        <v>3.8292480000000002</v>
      </c>
      <c r="I21">
        <v>3.3509669999999998</v>
      </c>
      <c r="J21">
        <v>2.9507829999999999</v>
      </c>
      <c r="K21">
        <v>2.6708349999999998</v>
      </c>
      <c r="L21">
        <v>2.430415</v>
      </c>
      <c r="M21">
        <v>2.2126749999999999</v>
      </c>
      <c r="N21">
        <v>2.0168200000000001</v>
      </c>
      <c r="O21">
        <v>1.906102</v>
      </c>
      <c r="P21">
        <v>1.8053330000000001</v>
      </c>
      <c r="Q21">
        <v>1.68943</v>
      </c>
      <c r="R21">
        <v>1.599356</v>
      </c>
      <c r="S21">
        <v>1.5169710000000001</v>
      </c>
      <c r="T21">
        <v>1.42418</v>
      </c>
      <c r="U21">
        <v>1.3735379999999999</v>
      </c>
    </row>
    <row r="22" spans="1:21">
      <c r="A22" t="s">
        <v>19</v>
      </c>
      <c r="B22">
        <v>16.53237</v>
      </c>
      <c r="C22">
        <v>12.655799999999999</v>
      </c>
      <c r="D22">
        <v>8.7920010000000008</v>
      </c>
      <c r="E22">
        <v>6.2241869999999997</v>
      </c>
      <c r="F22">
        <v>4.8235099999999997</v>
      </c>
      <c r="G22">
        <v>4.0114939999999999</v>
      </c>
      <c r="H22">
        <v>3.4190640000000001</v>
      </c>
      <c r="I22">
        <v>2.935333</v>
      </c>
      <c r="J22">
        <v>2.6078359999999998</v>
      </c>
      <c r="K22">
        <v>2.286816</v>
      </c>
      <c r="L22">
        <v>2.0972789999999999</v>
      </c>
      <c r="M22">
        <v>1.894312</v>
      </c>
      <c r="N22">
        <v>1.7337389999999999</v>
      </c>
      <c r="O22">
        <v>1.638701</v>
      </c>
      <c r="P22">
        <v>1.564727</v>
      </c>
      <c r="Q22">
        <v>1.487986</v>
      </c>
      <c r="R22">
        <v>1.420013</v>
      </c>
      <c r="S22">
        <v>1.3380259999999999</v>
      </c>
      <c r="T22">
        <v>1.2865549999999999</v>
      </c>
      <c r="U22">
        <v>1.21591</v>
      </c>
    </row>
    <row r="23" spans="1:21">
      <c r="A23" t="s">
        <v>20</v>
      </c>
      <c r="B23">
        <v>18.204149999999998</v>
      </c>
      <c r="C23">
        <v>14.33039</v>
      </c>
      <c r="D23">
        <v>9.9924909999999993</v>
      </c>
      <c r="E23">
        <v>7.1220509999999999</v>
      </c>
      <c r="F23">
        <v>5.5671010000000001</v>
      </c>
      <c r="G23">
        <v>4.6191560000000003</v>
      </c>
      <c r="H23">
        <v>3.8642020000000001</v>
      </c>
      <c r="I23">
        <v>3.400461</v>
      </c>
      <c r="J23">
        <v>3.0406580000000001</v>
      </c>
      <c r="K23">
        <v>2.6787830000000001</v>
      </c>
      <c r="L23">
        <v>2.4101460000000001</v>
      </c>
      <c r="M23">
        <v>2.2089940000000001</v>
      </c>
      <c r="N23">
        <v>2.0286029999999999</v>
      </c>
      <c r="O23">
        <v>1.9082220000000001</v>
      </c>
      <c r="P23">
        <v>1.813299</v>
      </c>
      <c r="Q23">
        <v>1.676887</v>
      </c>
      <c r="R23">
        <v>1.546133</v>
      </c>
      <c r="S23">
        <v>1.459211</v>
      </c>
      <c r="T23">
        <v>1.417144</v>
      </c>
      <c r="U23">
        <v>1.3660289999999999</v>
      </c>
    </row>
    <row r="24" spans="1:21">
      <c r="A24" t="s">
        <v>21</v>
      </c>
      <c r="B24">
        <v>16.936969999999999</v>
      </c>
      <c r="C24">
        <v>12.883279999999999</v>
      </c>
      <c r="D24">
        <v>8.8712619999999998</v>
      </c>
      <c r="E24">
        <v>6.3744959999999997</v>
      </c>
      <c r="F24">
        <v>4.9660359999999999</v>
      </c>
      <c r="G24">
        <v>4.1683490000000001</v>
      </c>
      <c r="H24">
        <v>3.4443000000000001</v>
      </c>
      <c r="I24">
        <v>3.1099969999999999</v>
      </c>
      <c r="J24">
        <v>2.6971579999999999</v>
      </c>
      <c r="K24">
        <v>2.382104</v>
      </c>
      <c r="L24">
        <v>2.1553719999999998</v>
      </c>
      <c r="M24">
        <v>1.9781500000000001</v>
      </c>
      <c r="N24">
        <v>1.8027029999999999</v>
      </c>
      <c r="O24">
        <v>1.680213</v>
      </c>
      <c r="P24">
        <v>1.562073</v>
      </c>
      <c r="Q24">
        <v>1.4863919999999999</v>
      </c>
      <c r="R24">
        <v>1.3857010000000001</v>
      </c>
      <c r="S24">
        <v>1.3199369999999999</v>
      </c>
      <c r="T24">
        <v>1.241055</v>
      </c>
      <c r="U24">
        <v>1.187133</v>
      </c>
    </row>
    <row r="25" spans="1:21">
      <c r="A25" t="s">
        <v>34</v>
      </c>
      <c r="B25">
        <v>18.145849999999999</v>
      </c>
      <c r="C25">
        <v>14.162229999999999</v>
      </c>
      <c r="D25">
        <v>9.9198590000000006</v>
      </c>
      <c r="E25">
        <v>7.1504799999999999</v>
      </c>
      <c r="F25">
        <v>5.6495040000000003</v>
      </c>
      <c r="G25">
        <v>4.6120380000000001</v>
      </c>
      <c r="H25">
        <v>3.817399</v>
      </c>
      <c r="I25">
        <v>3.312897</v>
      </c>
      <c r="J25">
        <v>2.9762369999999998</v>
      </c>
      <c r="K25">
        <v>2.6986789999999998</v>
      </c>
      <c r="L25">
        <v>2.4612479999999999</v>
      </c>
      <c r="M25">
        <v>2.2591939999999999</v>
      </c>
      <c r="N25">
        <v>2.0905740000000002</v>
      </c>
      <c r="O25">
        <v>1.96261</v>
      </c>
      <c r="P25">
        <v>1.779666</v>
      </c>
      <c r="Q25">
        <v>1.6333610000000001</v>
      </c>
      <c r="R25">
        <v>1.5676810000000001</v>
      </c>
      <c r="S25">
        <v>1.451676</v>
      </c>
      <c r="T25">
        <v>1.3879509999999999</v>
      </c>
      <c r="U25">
        <v>1.344832</v>
      </c>
    </row>
    <row r="26" spans="1:21">
      <c r="A26" t="s">
        <v>22</v>
      </c>
      <c r="B26">
        <v>13.57255</v>
      </c>
      <c r="C26">
        <v>10.376329999999999</v>
      </c>
      <c r="D26">
        <v>7.7091269999999996</v>
      </c>
      <c r="E26">
        <v>5.770988</v>
      </c>
      <c r="F26">
        <v>4.5868679999999999</v>
      </c>
      <c r="G26">
        <v>3.8447680000000002</v>
      </c>
      <c r="H26">
        <v>3.2611279999999998</v>
      </c>
      <c r="I26">
        <v>2.8140879999999999</v>
      </c>
      <c r="J26">
        <v>2.5290520000000001</v>
      </c>
      <c r="K26">
        <v>2.2672599999999998</v>
      </c>
      <c r="L26">
        <v>2.0260379999999998</v>
      </c>
      <c r="M26">
        <v>1.897349</v>
      </c>
      <c r="N26">
        <v>1.7538069999999999</v>
      </c>
      <c r="O26">
        <v>1.6022369999999999</v>
      </c>
      <c r="P26">
        <v>1.5138799999999999</v>
      </c>
      <c r="Q26">
        <v>1.4162440000000001</v>
      </c>
      <c r="R26">
        <v>1.3194060000000001</v>
      </c>
      <c r="S26">
        <v>1.252904</v>
      </c>
      <c r="T26">
        <v>1.179613</v>
      </c>
      <c r="U26">
        <v>1.1150059999999999</v>
      </c>
    </row>
    <row r="27" spans="1:21">
      <c r="A27" t="s">
        <v>23</v>
      </c>
      <c r="B27">
        <v>17.076029999999999</v>
      </c>
      <c r="C27">
        <v>13.02605</v>
      </c>
      <c r="D27">
        <v>8.6801150000000007</v>
      </c>
      <c r="E27">
        <v>6.0663629999999999</v>
      </c>
      <c r="F27">
        <v>4.6855869999999999</v>
      </c>
      <c r="G27">
        <v>3.8339500000000002</v>
      </c>
      <c r="H27">
        <v>3.301183</v>
      </c>
      <c r="I27">
        <v>2.8337180000000002</v>
      </c>
      <c r="J27">
        <v>2.4861369999999998</v>
      </c>
      <c r="K27">
        <v>2.2005180000000002</v>
      </c>
      <c r="L27">
        <v>2.0276209999999999</v>
      </c>
      <c r="M27">
        <v>1.848735</v>
      </c>
      <c r="N27">
        <v>1.7291570000000001</v>
      </c>
      <c r="O27">
        <v>1.6070549999999999</v>
      </c>
      <c r="P27">
        <v>1.475754</v>
      </c>
      <c r="Q27">
        <v>1.385999</v>
      </c>
      <c r="R27">
        <v>1.3041640000000001</v>
      </c>
      <c r="S27">
        <v>1.2119439999999999</v>
      </c>
      <c r="T27">
        <v>1.156714</v>
      </c>
      <c r="U27">
        <v>1.127429</v>
      </c>
    </row>
    <row r="28" spans="1:21">
      <c r="A28" t="s">
        <v>24</v>
      </c>
      <c r="B28">
        <v>17.034870000000002</v>
      </c>
      <c r="C28">
        <v>13.17498</v>
      </c>
      <c r="D28">
        <v>9.2099899999999995</v>
      </c>
      <c r="E28">
        <v>6.675141</v>
      </c>
      <c r="F28">
        <v>5.2685310000000003</v>
      </c>
      <c r="G28">
        <v>4.3819629999999998</v>
      </c>
      <c r="H28">
        <v>3.699678</v>
      </c>
      <c r="I28">
        <v>3.200628</v>
      </c>
      <c r="J28">
        <v>2.9098109999999999</v>
      </c>
      <c r="K28">
        <v>2.6503040000000002</v>
      </c>
      <c r="L28">
        <v>2.401484</v>
      </c>
      <c r="M28">
        <v>2.1967660000000002</v>
      </c>
      <c r="N28">
        <v>2.028559</v>
      </c>
      <c r="O28">
        <v>1.893967</v>
      </c>
      <c r="P28">
        <v>1.7591619999999999</v>
      </c>
      <c r="Q28">
        <v>1.59924</v>
      </c>
      <c r="R28">
        <v>1.5212330000000001</v>
      </c>
      <c r="S28">
        <v>1.4363360000000001</v>
      </c>
      <c r="T28">
        <v>1.3651120000000001</v>
      </c>
      <c r="U28">
        <v>1.314111</v>
      </c>
    </row>
    <row r="29" spans="1:21">
      <c r="A29" t="s">
        <v>25</v>
      </c>
      <c r="B29">
        <v>19.042560000000002</v>
      </c>
      <c r="C29">
        <v>14.42371</v>
      </c>
      <c r="D29">
        <v>10.05278</v>
      </c>
      <c r="E29">
        <v>7.1647020000000001</v>
      </c>
      <c r="F29">
        <v>5.6373550000000003</v>
      </c>
      <c r="G29">
        <v>4.5788450000000003</v>
      </c>
      <c r="H29">
        <v>3.7812860000000001</v>
      </c>
      <c r="I29">
        <v>3.1982059999999999</v>
      </c>
      <c r="J29">
        <v>2.7869830000000002</v>
      </c>
      <c r="K29">
        <v>2.4716680000000002</v>
      </c>
      <c r="L29">
        <v>2.2329409999999998</v>
      </c>
      <c r="M29">
        <v>2.0438109999999998</v>
      </c>
      <c r="N29">
        <v>1.8292740000000001</v>
      </c>
      <c r="O29">
        <v>1.6471690000000001</v>
      </c>
      <c r="P29">
        <v>1.5084090000000001</v>
      </c>
      <c r="Q29">
        <v>1.420588</v>
      </c>
      <c r="R29">
        <v>1.3486119999999999</v>
      </c>
      <c r="S29">
        <v>1.2676460000000001</v>
      </c>
      <c r="T29">
        <v>1.2263379999999999</v>
      </c>
      <c r="U29">
        <v>1.180642</v>
      </c>
    </row>
    <row r="30" spans="1:21">
      <c r="A30" t="s">
        <v>26</v>
      </c>
      <c r="B30">
        <v>14.67642</v>
      </c>
      <c r="C30">
        <v>9.858625</v>
      </c>
      <c r="D30">
        <v>5.6152499999999996</v>
      </c>
      <c r="E30">
        <v>3.7091340000000002</v>
      </c>
      <c r="F30">
        <v>2.7291189999999999</v>
      </c>
      <c r="G30">
        <v>2.0514139999999998</v>
      </c>
      <c r="H30">
        <v>1.6859310000000001</v>
      </c>
      <c r="I30">
        <v>1.4192640000000001</v>
      </c>
      <c r="J30">
        <v>1.2030620000000001</v>
      </c>
      <c r="K30">
        <v>1.0849869999999999</v>
      </c>
      <c r="L30">
        <v>0.96187780000000001</v>
      </c>
      <c r="M30">
        <v>0.7980064</v>
      </c>
      <c r="N30">
        <v>0.7247671</v>
      </c>
      <c r="O30">
        <v>0.63314000000000004</v>
      </c>
      <c r="P30">
        <v>0.56384889999999999</v>
      </c>
      <c r="Q30">
        <v>0.51843470000000003</v>
      </c>
      <c r="R30">
        <v>0.48801650000000002</v>
      </c>
      <c r="S30">
        <v>0.45521470000000003</v>
      </c>
      <c r="T30">
        <v>0.43324829999999998</v>
      </c>
      <c r="U30">
        <v>0.41948360000000001</v>
      </c>
    </row>
    <row r="31" spans="1:21">
      <c r="A31" t="s">
        <v>27</v>
      </c>
      <c r="B31">
        <v>18.07047</v>
      </c>
      <c r="C31">
        <v>12.327220000000001</v>
      </c>
      <c r="D31">
        <v>7.9151499999999997</v>
      </c>
      <c r="E31">
        <v>5.6526820000000004</v>
      </c>
      <c r="F31">
        <v>4.4493819999999999</v>
      </c>
      <c r="G31">
        <v>3.6255480000000002</v>
      </c>
      <c r="H31">
        <v>3.1096309999999998</v>
      </c>
      <c r="I31">
        <v>2.7317330000000002</v>
      </c>
      <c r="J31">
        <v>2.373135</v>
      </c>
      <c r="K31">
        <v>2.1312220000000002</v>
      </c>
      <c r="L31">
        <v>1.9481740000000001</v>
      </c>
      <c r="M31">
        <v>1.8221240000000001</v>
      </c>
      <c r="N31">
        <v>1.6611860000000001</v>
      </c>
      <c r="O31">
        <v>1.5566120000000001</v>
      </c>
      <c r="P31">
        <v>1.432024</v>
      </c>
      <c r="Q31">
        <v>1.3005500000000001</v>
      </c>
      <c r="R31">
        <v>1.2446630000000001</v>
      </c>
      <c r="S31">
        <v>1.1406769999999999</v>
      </c>
      <c r="T31">
        <v>1.0879430000000001</v>
      </c>
      <c r="U31">
        <v>1.0329660000000001</v>
      </c>
    </row>
    <row r="32" spans="1:21">
      <c r="A32" t="s">
        <v>28</v>
      </c>
      <c r="B32">
        <v>14.99183</v>
      </c>
      <c r="C32">
        <v>10.65985</v>
      </c>
      <c r="D32">
        <v>6.936928</v>
      </c>
      <c r="E32">
        <v>5.0607119999999997</v>
      </c>
      <c r="F32">
        <v>4.1143159999999996</v>
      </c>
      <c r="G32">
        <v>3.2541579999999999</v>
      </c>
      <c r="H32">
        <v>2.7665709999999999</v>
      </c>
      <c r="I32">
        <v>2.3826960000000001</v>
      </c>
      <c r="J32">
        <v>2.024562</v>
      </c>
      <c r="K32">
        <v>1.781625</v>
      </c>
      <c r="L32">
        <v>1.631928</v>
      </c>
      <c r="M32">
        <v>1.513962</v>
      </c>
      <c r="N32">
        <v>1.391243</v>
      </c>
      <c r="O32">
        <v>1.3071269999999999</v>
      </c>
      <c r="P32">
        <v>1.18526</v>
      </c>
      <c r="Q32">
        <v>1.1556150000000001</v>
      </c>
      <c r="R32">
        <v>1.113653</v>
      </c>
      <c r="S32">
        <v>1.0154479999999999</v>
      </c>
      <c r="T32">
        <v>0.92837720000000001</v>
      </c>
      <c r="U32">
        <v>0.89309059999999996</v>
      </c>
    </row>
    <row r="33" spans="1:21">
      <c r="A33" t="s">
        <v>29</v>
      </c>
      <c r="B33">
        <v>15.17445</v>
      </c>
      <c r="C33">
        <v>10.541829999999999</v>
      </c>
      <c r="D33">
        <v>6.9547350000000003</v>
      </c>
      <c r="E33">
        <v>5.0611280000000001</v>
      </c>
      <c r="F33">
        <v>3.8757160000000002</v>
      </c>
      <c r="G33">
        <v>3.208037</v>
      </c>
      <c r="H33">
        <v>2.6843759999999999</v>
      </c>
      <c r="I33">
        <v>2.3329270000000002</v>
      </c>
      <c r="J33">
        <v>2.0419119999999999</v>
      </c>
      <c r="K33">
        <v>1.8257190000000001</v>
      </c>
      <c r="L33">
        <v>1.6560360000000001</v>
      </c>
      <c r="M33">
        <v>1.487887</v>
      </c>
      <c r="N33">
        <v>1.3964270000000001</v>
      </c>
      <c r="O33">
        <v>1.2871840000000001</v>
      </c>
      <c r="P33">
        <v>1.184053</v>
      </c>
      <c r="Q33">
        <v>1.091566</v>
      </c>
      <c r="R33">
        <v>1.0176890000000001</v>
      </c>
      <c r="S33">
        <v>0.95836370000000004</v>
      </c>
      <c r="T33">
        <v>0.90863419999999995</v>
      </c>
      <c r="U33">
        <v>0.87403580000000003</v>
      </c>
    </row>
    <row r="34" spans="1:21">
      <c r="A34" t="s">
        <v>30</v>
      </c>
      <c r="B34">
        <v>15.049300000000001</v>
      </c>
      <c r="C34">
        <v>10.50461</v>
      </c>
      <c r="D34">
        <v>6.829034</v>
      </c>
      <c r="E34">
        <v>5.0598879999999999</v>
      </c>
      <c r="F34">
        <v>3.899581</v>
      </c>
      <c r="G34">
        <v>3.165473</v>
      </c>
      <c r="H34">
        <v>2.6842109999999999</v>
      </c>
      <c r="I34">
        <v>2.272189</v>
      </c>
      <c r="J34">
        <v>1.9786250000000001</v>
      </c>
      <c r="K34">
        <v>1.801145</v>
      </c>
      <c r="L34">
        <v>1.6197889999999999</v>
      </c>
      <c r="M34">
        <v>1.434083</v>
      </c>
      <c r="N34">
        <v>1.346414</v>
      </c>
      <c r="O34">
        <v>1.2540610000000001</v>
      </c>
      <c r="P34">
        <v>1.1908019999999999</v>
      </c>
      <c r="Q34">
        <v>1.1107009999999999</v>
      </c>
      <c r="R34">
        <v>1.033757</v>
      </c>
      <c r="S34">
        <v>0.94695929999999995</v>
      </c>
      <c r="T34">
        <v>0.89761089999999999</v>
      </c>
      <c r="U34">
        <v>0.85796519999999998</v>
      </c>
    </row>
    <row r="35" spans="1:21">
      <c r="A35" t="s">
        <v>31</v>
      </c>
      <c r="B35">
        <v>33.821869999999997</v>
      </c>
      <c r="C35">
        <v>24.946870000000001</v>
      </c>
      <c r="D35">
        <v>17.114940000000001</v>
      </c>
      <c r="E35">
        <v>12.587350000000001</v>
      </c>
      <c r="F35">
        <v>9.8032749999999993</v>
      </c>
      <c r="G35">
        <v>7.81616</v>
      </c>
      <c r="H35">
        <v>6.6517270000000002</v>
      </c>
      <c r="I35">
        <v>5.6005330000000004</v>
      </c>
      <c r="J35">
        <v>4.7726379999999997</v>
      </c>
      <c r="K35">
        <v>4.1167660000000001</v>
      </c>
      <c r="L35">
        <v>3.630995</v>
      </c>
      <c r="M35">
        <v>3.2071749999999999</v>
      </c>
      <c r="N35">
        <v>2.847404</v>
      </c>
      <c r="O35">
        <v>2.5712109999999999</v>
      </c>
      <c r="P35">
        <v>2.3645779999999998</v>
      </c>
      <c r="Q35">
        <v>2.2006260000000002</v>
      </c>
      <c r="R35">
        <v>2.0192920000000001</v>
      </c>
      <c r="S35">
        <v>1.939025</v>
      </c>
      <c r="T35">
        <v>1.8188310000000001</v>
      </c>
      <c r="U35">
        <v>1.738777</v>
      </c>
    </row>
    <row r="36" spans="1:21">
      <c r="A36" t="s">
        <v>32</v>
      </c>
      <c r="B36">
        <v>35.815600000000003</v>
      </c>
      <c r="C36">
        <v>26.73629</v>
      </c>
      <c r="D36">
        <v>18.803879999999999</v>
      </c>
      <c r="E36">
        <v>14.02361</v>
      </c>
      <c r="F36">
        <v>11.13794</v>
      </c>
      <c r="G36">
        <v>9.1294219999999999</v>
      </c>
      <c r="H36">
        <v>7.693676</v>
      </c>
      <c r="I36">
        <v>6.5723779999999996</v>
      </c>
      <c r="J36">
        <v>5.5890339999999998</v>
      </c>
      <c r="K36">
        <v>4.9913650000000001</v>
      </c>
      <c r="L36">
        <v>4.4234429999999998</v>
      </c>
      <c r="M36">
        <v>3.963959</v>
      </c>
      <c r="N36">
        <v>3.6446260000000001</v>
      </c>
      <c r="O36">
        <v>3.2726510000000002</v>
      </c>
      <c r="P36">
        <v>2.9632360000000002</v>
      </c>
      <c r="Q36">
        <v>2.764087</v>
      </c>
      <c r="R36">
        <v>2.5226259999999998</v>
      </c>
      <c r="S36">
        <v>2.3671259999999998</v>
      </c>
      <c r="T36">
        <v>2.2096309999999999</v>
      </c>
      <c r="U36">
        <v>2.0593279999999998</v>
      </c>
    </row>
    <row r="37" spans="1:21">
      <c r="A37" t="s">
        <v>33</v>
      </c>
      <c r="B37">
        <v>41.994790000000002</v>
      </c>
      <c r="C37">
        <v>32.39817</v>
      </c>
      <c r="D37">
        <v>23.76915</v>
      </c>
      <c r="E37">
        <v>18.345009999999998</v>
      </c>
      <c r="F37">
        <v>14.86261</v>
      </c>
      <c r="G37">
        <v>12.42074</v>
      </c>
      <c r="H37">
        <v>10.41771</v>
      </c>
      <c r="I37">
        <v>8.9425570000000008</v>
      </c>
      <c r="J37">
        <v>7.660628</v>
      </c>
      <c r="K37">
        <v>6.6941800000000002</v>
      </c>
      <c r="L37">
        <v>5.9719470000000001</v>
      </c>
      <c r="M37">
        <v>5.2457019999999996</v>
      </c>
      <c r="N37">
        <v>4.702172</v>
      </c>
      <c r="O37">
        <v>4.2403880000000003</v>
      </c>
      <c r="P37">
        <v>3.932976</v>
      </c>
      <c r="Q37">
        <v>3.5886140000000002</v>
      </c>
      <c r="R37">
        <v>3.2799809999999998</v>
      </c>
      <c r="S37">
        <v>3.0751469999999999</v>
      </c>
      <c r="T37">
        <v>3.0305309999999999</v>
      </c>
      <c r="U37">
        <v>2.8749180000000001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X37"/>
  <sheetViews>
    <sheetView zoomScale="75" zoomScaleNormal="75" workbookViewId="0">
      <selection activeCell="I6" sqref="I6"/>
    </sheetView>
  </sheetViews>
  <sheetFormatPr defaultRowHeight="15"/>
  <sheetData>
    <row r="1" spans="1:24">
      <c r="A1" s="1"/>
      <c r="B1" s="1" t="str">
        <f>"AA_T_pho_ty_1.4A"</f>
        <v>AA_T_pho_ty_1.4A</v>
      </c>
      <c r="C1" s="1" t="str">
        <f>"AA_T_pho_ty_2A"</f>
        <v>AA_T_pho_ty_2A</v>
      </c>
      <c r="D1" s="1" t="str">
        <f>"AA_T_pho_ty_3A"</f>
        <v>AA_T_pho_ty_3A</v>
      </c>
      <c r="E1" s="1" t="str">
        <f>"AA_T_pho_ty_4A"</f>
        <v>AA_T_pho_ty_4A</v>
      </c>
      <c r="F1" s="1" t="str">
        <f>"AA_T_pho_ty_5A"</f>
        <v>AA_T_pho_ty_5A</v>
      </c>
      <c r="G1" s="1" t="str">
        <f>"AA_T_pho_ty_6A"</f>
        <v>AA_T_pho_ty_6A</v>
      </c>
      <c r="H1" s="1" t="str">
        <f>"AA_T_pho_ty_7A"</f>
        <v>AA_T_pho_ty_7A</v>
      </c>
      <c r="I1" s="1" t="str">
        <f>"AA_T_pho_ty_8A"</f>
        <v>AA_T_pho_ty_8A</v>
      </c>
      <c r="J1" s="1" t="str">
        <f>"AA_T_pho_ty_9A"</f>
        <v>AA_T_pho_ty_9A</v>
      </c>
      <c r="K1" s="1" t="str">
        <f>"AA_T_pho_ty_10A"</f>
        <v>AA_T_pho_ty_10A</v>
      </c>
      <c r="L1" s="1" t="str">
        <f>"AA_T_pho_ty_11A"</f>
        <v>AA_T_pho_ty_11A</v>
      </c>
      <c r="M1" s="1" t="str">
        <f>"AA_T_pho_ty_12A"</f>
        <v>AA_T_pho_ty_12A</v>
      </c>
      <c r="N1" s="1" t="str">
        <f>"AA_T_pho_ty_13A"</f>
        <v>AA_T_pho_ty_13A</v>
      </c>
      <c r="O1" s="1" t="str">
        <f>"AA_T_pho_ty_14A"</f>
        <v>AA_T_pho_ty_14A</v>
      </c>
      <c r="P1" s="1" t="str">
        <f>"AA_T_pho_ty_15A"</f>
        <v>AA_T_pho_ty_15A</v>
      </c>
      <c r="Q1" s="1" t="str">
        <f>"AA_T_pho_ty_16A"</f>
        <v>AA_T_pho_ty_16A</v>
      </c>
      <c r="R1" s="1" t="str">
        <f>"AA_T_pho_ty_17A"</f>
        <v>AA_T_pho_ty_17A</v>
      </c>
      <c r="S1" s="1" t="str">
        <f>"AA_T_pho_ty_18A"</f>
        <v>AA_T_pho_ty_18A</v>
      </c>
      <c r="T1" s="1" t="str">
        <f>"AA_T_pho_ty_19A"</f>
        <v>AA_T_pho_ty_19A</v>
      </c>
      <c r="U1" s="1" t="str">
        <f>"AA_T_pho_ty_20A"</f>
        <v>AA_T_pho_ty_20A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-7.6740740000000001</v>
      </c>
      <c r="C3">
        <v>-4.970173</v>
      </c>
      <c r="D3">
        <v>-2.8388909999999998</v>
      </c>
      <c r="E3">
        <v>-1.900722</v>
      </c>
      <c r="F3">
        <v>-1.386231</v>
      </c>
      <c r="G3">
        <v>-0.992228</v>
      </c>
      <c r="H3">
        <v>-0.85507069999999996</v>
      </c>
      <c r="I3">
        <v>-0.67695190000000005</v>
      </c>
      <c r="J3">
        <v>-0.57853659999999996</v>
      </c>
      <c r="K3">
        <v>-0.51239259999999998</v>
      </c>
      <c r="L3">
        <v>-0.46351979999999998</v>
      </c>
      <c r="M3">
        <v>-0.42377480000000001</v>
      </c>
      <c r="N3">
        <v>-0.39338420000000002</v>
      </c>
      <c r="O3">
        <v>-0.3375978</v>
      </c>
      <c r="P3">
        <v>-0.3109132</v>
      </c>
      <c r="Q3">
        <v>-0.26566669999999998</v>
      </c>
      <c r="R3">
        <v>-0.2401867</v>
      </c>
      <c r="S3">
        <v>-0.21613650000000001</v>
      </c>
      <c r="T3">
        <v>-0.21406739999999999</v>
      </c>
      <c r="U3">
        <v>-0.19960749999999999</v>
      </c>
    </row>
    <row r="4" spans="1:24">
      <c r="A4" t="s">
        <v>1</v>
      </c>
      <c r="B4">
        <v>-8.5542409999999993</v>
      </c>
      <c r="C4">
        <v>-5.2688740000000003</v>
      </c>
      <c r="D4">
        <v>-2.7413180000000001</v>
      </c>
      <c r="E4">
        <v>-1.77464</v>
      </c>
      <c r="F4">
        <v>-1.3732610000000001</v>
      </c>
      <c r="G4">
        <v>-1.0216339999999999</v>
      </c>
      <c r="H4">
        <v>-0.8954723</v>
      </c>
      <c r="I4">
        <v>-0.80309439999999999</v>
      </c>
      <c r="J4">
        <v>-0.70069680000000001</v>
      </c>
      <c r="K4">
        <v>-0.62498330000000002</v>
      </c>
      <c r="L4">
        <v>-0.60668619999999995</v>
      </c>
      <c r="M4">
        <v>-0.55656969999999995</v>
      </c>
      <c r="N4">
        <v>-0.49908819999999998</v>
      </c>
      <c r="O4">
        <v>-0.473686</v>
      </c>
      <c r="P4">
        <v>-0.434083</v>
      </c>
      <c r="Q4">
        <v>-0.40134399999999998</v>
      </c>
      <c r="R4">
        <v>-0.3700331</v>
      </c>
      <c r="S4">
        <v>-0.35842170000000001</v>
      </c>
      <c r="T4">
        <v>-0.33513140000000002</v>
      </c>
      <c r="U4">
        <v>-0.32138539999999999</v>
      </c>
    </row>
    <row r="5" spans="1:24">
      <c r="A5" t="s">
        <v>2</v>
      </c>
      <c r="B5">
        <v>-10.229570000000001</v>
      </c>
      <c r="C5">
        <v>-5.2769440000000003</v>
      </c>
      <c r="D5">
        <v>-2.6482459999999999</v>
      </c>
      <c r="E5">
        <v>-1.592374</v>
      </c>
      <c r="F5">
        <v>-1.1451</v>
      </c>
      <c r="G5">
        <v>-0.86367799999999995</v>
      </c>
      <c r="H5">
        <v>-0.68605559999999999</v>
      </c>
      <c r="I5">
        <v>-0.55242829999999998</v>
      </c>
      <c r="J5">
        <v>-0.4681633</v>
      </c>
      <c r="K5">
        <v>-0.41558820000000002</v>
      </c>
      <c r="L5">
        <v>-0.39231909999999998</v>
      </c>
      <c r="M5">
        <v>-0.36191590000000001</v>
      </c>
      <c r="N5">
        <v>-0.333119</v>
      </c>
      <c r="O5">
        <v>-0.3008342</v>
      </c>
      <c r="P5">
        <v>-0.27093739999999999</v>
      </c>
      <c r="Q5">
        <v>-0.2280047</v>
      </c>
      <c r="R5">
        <v>-0.21357000000000001</v>
      </c>
      <c r="S5">
        <v>-0.1997524</v>
      </c>
      <c r="T5">
        <v>-0.1909517</v>
      </c>
      <c r="U5">
        <v>-0.18305189999999999</v>
      </c>
    </row>
    <row r="6" spans="1:24">
      <c r="A6" t="s">
        <v>3</v>
      </c>
      <c r="B6">
        <v>-4.8081459999999998</v>
      </c>
      <c r="C6">
        <v>-1.8264400000000001</v>
      </c>
      <c r="D6">
        <v>-0.96390589999999998</v>
      </c>
      <c r="E6">
        <v>-0.54927210000000004</v>
      </c>
      <c r="F6">
        <v>-0.35114269999999997</v>
      </c>
      <c r="G6">
        <v>-0.25365110000000002</v>
      </c>
      <c r="H6">
        <v>-0.1987083</v>
      </c>
      <c r="I6">
        <v>-0.15541769999999999</v>
      </c>
      <c r="J6">
        <v>-0.13152710000000001</v>
      </c>
      <c r="K6">
        <v>-0.113992</v>
      </c>
      <c r="L6">
        <v>-9.3808152000000006E-2</v>
      </c>
      <c r="M6">
        <v>-7.5790233999999998E-2</v>
      </c>
      <c r="N6">
        <v>-7.5444676000000002E-2</v>
      </c>
      <c r="O6">
        <v>-6.4806558E-2</v>
      </c>
      <c r="P6">
        <v>-5.1837902999999998E-2</v>
      </c>
      <c r="Q6">
        <v>-4.8350964000000003E-2</v>
      </c>
      <c r="R6">
        <v>-4.350118E-2</v>
      </c>
      <c r="S6">
        <v>-4.0495370000000003E-2</v>
      </c>
      <c r="T6">
        <v>-3.2801878E-2</v>
      </c>
      <c r="U6">
        <v>-2.8781919E-2</v>
      </c>
    </row>
    <row r="7" spans="1:24">
      <c r="A7" t="s">
        <v>4</v>
      </c>
      <c r="B7">
        <v>-4.2371280000000002</v>
      </c>
      <c r="C7">
        <v>-1.6627350000000001</v>
      </c>
      <c r="D7">
        <v>-0.81483680000000003</v>
      </c>
      <c r="E7">
        <v>-0.45486919999999997</v>
      </c>
      <c r="F7">
        <v>-0.26992280000000002</v>
      </c>
      <c r="G7">
        <v>-0.18733549999999999</v>
      </c>
      <c r="H7">
        <v>-0.1451945</v>
      </c>
      <c r="I7">
        <v>-0.1105265</v>
      </c>
      <c r="J7">
        <v>-9.6769616000000003E-2</v>
      </c>
      <c r="K7">
        <v>-7.0003904000000006E-2</v>
      </c>
      <c r="L7">
        <v>-6.1026148000000002E-2</v>
      </c>
      <c r="M7">
        <v>-5.0675176000000002E-2</v>
      </c>
      <c r="N7">
        <v>-3.8665987999999998E-2</v>
      </c>
      <c r="O7">
        <v>-3.6754921000000003E-2</v>
      </c>
      <c r="P7">
        <v>-3.6077960999999999E-2</v>
      </c>
      <c r="Q7">
        <v>-3.2710577999999997E-2</v>
      </c>
      <c r="R7">
        <v>-3.0337419000000001E-2</v>
      </c>
      <c r="S7">
        <v>-2.7135352000000001E-2</v>
      </c>
      <c r="T7">
        <v>-2.7462535999999999E-2</v>
      </c>
      <c r="U7">
        <v>-2.7423484000000001E-2</v>
      </c>
    </row>
    <row r="8" spans="1:24">
      <c r="A8" t="s">
        <v>5</v>
      </c>
      <c r="B8">
        <v>-4.3697280000000003</v>
      </c>
      <c r="C8">
        <v>-1.7678640000000001</v>
      </c>
      <c r="D8">
        <v>-0.80517649999999996</v>
      </c>
      <c r="E8">
        <v>-0.4229193</v>
      </c>
      <c r="F8">
        <v>-0.28028039999999999</v>
      </c>
      <c r="G8">
        <v>-0.1920693</v>
      </c>
      <c r="H8">
        <v>-0.15964929999999999</v>
      </c>
      <c r="I8">
        <v>-0.1178077</v>
      </c>
      <c r="J8">
        <v>-9.8152265000000002E-2</v>
      </c>
      <c r="K8">
        <v>-8.4456310000000007E-2</v>
      </c>
      <c r="L8">
        <v>-5.9275776000000002E-2</v>
      </c>
      <c r="M8">
        <v>-5.6604030999999999E-2</v>
      </c>
      <c r="N8">
        <v>-5.2549839000000001E-2</v>
      </c>
      <c r="O8">
        <v>-4.5226033999999998E-2</v>
      </c>
      <c r="P8">
        <v>-3.9741806999999997E-2</v>
      </c>
      <c r="Q8">
        <v>-2.6509075999999999E-2</v>
      </c>
      <c r="R8">
        <v>-2.6069920999999999E-2</v>
      </c>
      <c r="S8">
        <v>-2.6638829999999999E-2</v>
      </c>
      <c r="T8">
        <v>-2.7341673E-2</v>
      </c>
      <c r="U8">
        <v>-2.7304225000000001E-2</v>
      </c>
    </row>
    <row r="9" spans="1:24">
      <c r="A9" t="s">
        <v>6</v>
      </c>
      <c r="B9">
        <v>-4.2247300000000001</v>
      </c>
      <c r="C9">
        <v>-1.6720269999999999</v>
      </c>
      <c r="D9">
        <v>-0.75593129999999997</v>
      </c>
      <c r="E9">
        <v>-0.42099019999999998</v>
      </c>
      <c r="F9">
        <v>-0.28154210000000002</v>
      </c>
      <c r="G9">
        <v>-0.19968040000000001</v>
      </c>
      <c r="H9">
        <v>-0.14312800000000001</v>
      </c>
      <c r="I9">
        <v>-0.1147991</v>
      </c>
      <c r="J9">
        <v>-0.1023911</v>
      </c>
      <c r="K9">
        <v>-8.1088513000000001E-2</v>
      </c>
      <c r="L9">
        <v>-6.6690288E-2</v>
      </c>
      <c r="M9">
        <v>-6.2474735000000003E-2</v>
      </c>
      <c r="N9">
        <v>-6.1158706E-2</v>
      </c>
      <c r="O9">
        <v>-6.0661472000000001E-2</v>
      </c>
      <c r="P9">
        <v>-5.6179660999999999E-2</v>
      </c>
      <c r="Q9">
        <v>-5.1092822000000003E-2</v>
      </c>
      <c r="R9">
        <v>-4.4640061000000002E-2</v>
      </c>
      <c r="S9">
        <v>-4.1196878999999999E-2</v>
      </c>
      <c r="T9">
        <v>-3.7538394000000003E-2</v>
      </c>
      <c r="U9">
        <v>-3.7512891E-2</v>
      </c>
    </row>
    <row r="10" spans="1:24">
      <c r="A10" t="s">
        <v>7</v>
      </c>
      <c r="B10">
        <v>-6.3687019999999999</v>
      </c>
      <c r="C10">
        <v>-2.482459</v>
      </c>
      <c r="D10">
        <v>-1.157335</v>
      </c>
      <c r="E10">
        <v>-0.59183529999999995</v>
      </c>
      <c r="F10">
        <v>-0.3900979</v>
      </c>
      <c r="G10">
        <v>-0.25607249999999998</v>
      </c>
      <c r="H10">
        <v>-0.2028469</v>
      </c>
      <c r="I10">
        <v>-0.1582605</v>
      </c>
      <c r="J10">
        <v>-0.13253039999999999</v>
      </c>
      <c r="K10">
        <v>-0.10712140000000001</v>
      </c>
      <c r="L10">
        <v>-0.1001537</v>
      </c>
      <c r="M10">
        <v>-8.7078817000000003E-2</v>
      </c>
      <c r="N10">
        <v>-8.0620490000000003E-2</v>
      </c>
      <c r="O10">
        <v>-7.2751649000000002E-2</v>
      </c>
      <c r="P10">
        <v>-6.4011319999999997E-2</v>
      </c>
      <c r="Q10">
        <v>-5.9253659E-2</v>
      </c>
      <c r="R10">
        <v>-5.1828645E-2</v>
      </c>
      <c r="S10">
        <v>-4.4779344999999998E-2</v>
      </c>
      <c r="T10">
        <v>-4.5122097999999999E-2</v>
      </c>
      <c r="U10">
        <v>-3.3604889999999998E-2</v>
      </c>
    </row>
    <row r="11" spans="1:24">
      <c r="A11" t="s">
        <v>8</v>
      </c>
      <c r="B11">
        <v>-6.7161759999999999</v>
      </c>
      <c r="C11">
        <v>-2.6682079999999999</v>
      </c>
      <c r="D11">
        <v>-1.246896</v>
      </c>
      <c r="E11">
        <v>-0.67973859999999997</v>
      </c>
      <c r="F11">
        <v>-0.45962779999999998</v>
      </c>
      <c r="G11">
        <v>-0.29934719999999998</v>
      </c>
      <c r="H11">
        <v>-0.22526189999999999</v>
      </c>
      <c r="I11">
        <v>-0.16228380000000001</v>
      </c>
      <c r="J11">
        <v>-0.1233979</v>
      </c>
      <c r="K11">
        <v>-0.1040845</v>
      </c>
      <c r="L11">
        <v>-5.6271516000000001E-2</v>
      </c>
      <c r="M11">
        <v>-4.2067654000000003E-2</v>
      </c>
      <c r="N11">
        <v>-3.4524783000000003E-2</v>
      </c>
      <c r="O11">
        <v>-2.3188866999999998E-2</v>
      </c>
      <c r="P11">
        <v>-2.2896446000000001E-2</v>
      </c>
      <c r="Q11">
        <v>-2.1526475E-2</v>
      </c>
      <c r="R11">
        <v>-1.9429021000000001E-2</v>
      </c>
      <c r="S11">
        <v>-1.8059023E-2</v>
      </c>
      <c r="T11">
        <v>-1.6655447E-2</v>
      </c>
      <c r="U11">
        <v>-1.6647181E-2</v>
      </c>
    </row>
    <row r="12" spans="1:24">
      <c r="A12" t="s">
        <v>9</v>
      </c>
      <c r="B12">
        <v>-2.2170999999999998</v>
      </c>
      <c r="C12">
        <v>-0.95872659999999998</v>
      </c>
      <c r="D12">
        <v>-0.447459</v>
      </c>
      <c r="E12">
        <v>-0.25815579999999999</v>
      </c>
      <c r="F12">
        <v>-0.1934939</v>
      </c>
      <c r="G12">
        <v>-0.1331784</v>
      </c>
      <c r="H12">
        <v>-0.1061691</v>
      </c>
      <c r="I12">
        <v>-9.4717896999999995E-2</v>
      </c>
      <c r="J12">
        <v>-8.6322173000000002E-2</v>
      </c>
      <c r="K12">
        <v>-7.7830664999999993E-2</v>
      </c>
      <c r="L12">
        <v>-7.2704672999999997E-2</v>
      </c>
      <c r="M12">
        <v>-5.8527390999999998E-2</v>
      </c>
      <c r="N12">
        <v>-5.3180973999999999E-2</v>
      </c>
      <c r="O12">
        <v>-4.8963792999999999E-2</v>
      </c>
      <c r="P12">
        <v>-4.3779492000000003E-2</v>
      </c>
      <c r="Q12">
        <v>-4.1233829999999999E-2</v>
      </c>
      <c r="R12">
        <v>-4.1097890999999998E-2</v>
      </c>
      <c r="S12">
        <v>-3.6488552E-2</v>
      </c>
      <c r="T12">
        <v>-3.4345346999999998E-2</v>
      </c>
      <c r="U12">
        <v>-2.9625815999999999E-2</v>
      </c>
    </row>
    <row r="13" spans="1:24">
      <c r="A13" t="s">
        <v>10</v>
      </c>
      <c r="B13">
        <v>-2.2611910000000002</v>
      </c>
      <c r="C13">
        <v>-0.87989309999999998</v>
      </c>
      <c r="D13">
        <v>-0.4534376</v>
      </c>
      <c r="E13">
        <v>-0.2556966</v>
      </c>
      <c r="F13">
        <v>-0.18746889999999999</v>
      </c>
      <c r="G13">
        <v>-0.14431040000000001</v>
      </c>
      <c r="H13">
        <v>-0.1138974</v>
      </c>
      <c r="I13">
        <v>-9.3059212000000002E-2</v>
      </c>
      <c r="J13">
        <v>-7.9765274999999997E-2</v>
      </c>
      <c r="K13">
        <v>-6.7721068999999995E-2</v>
      </c>
      <c r="L13">
        <v>-6.5139725999999995E-2</v>
      </c>
      <c r="M13">
        <v>-6.1873797000000001E-2</v>
      </c>
      <c r="N13">
        <v>-5.48224E-2</v>
      </c>
      <c r="O13">
        <v>-4.5866061E-2</v>
      </c>
      <c r="P13">
        <v>-4.5511000000000003E-2</v>
      </c>
      <c r="Q13">
        <v>-4.4656675E-2</v>
      </c>
      <c r="R13">
        <v>-4.2797897000000001E-2</v>
      </c>
      <c r="S13">
        <v>-3.7930618999999999E-2</v>
      </c>
      <c r="T13">
        <v>-3.4517605E-2</v>
      </c>
      <c r="U13">
        <v>-3.4470167000000003E-2</v>
      </c>
    </row>
    <row r="14" spans="1:24">
      <c r="A14" t="s">
        <v>11</v>
      </c>
      <c r="B14">
        <v>-2.0819480000000001</v>
      </c>
      <c r="C14">
        <v>-0.82046479999999999</v>
      </c>
      <c r="D14">
        <v>-0.38299929999999999</v>
      </c>
      <c r="E14">
        <v>-0.21660869999999999</v>
      </c>
      <c r="F14">
        <v>-0.1465216</v>
      </c>
      <c r="G14">
        <v>-0.1137326</v>
      </c>
      <c r="H14">
        <v>-9.2556894000000001E-2</v>
      </c>
      <c r="I14">
        <v>-7.4829958000000002E-2</v>
      </c>
      <c r="J14">
        <v>-6.6747113999999996E-2</v>
      </c>
      <c r="K14">
        <v>-5.7241671000000001E-2</v>
      </c>
      <c r="L14">
        <v>-4.9662378E-2</v>
      </c>
      <c r="M14">
        <v>-3.5898499E-2</v>
      </c>
      <c r="N14">
        <v>-3.3373814000000002E-2</v>
      </c>
      <c r="O14">
        <v>-3.1201047999999999E-2</v>
      </c>
      <c r="P14">
        <v>-2.7681774999999999E-2</v>
      </c>
      <c r="Q14">
        <v>-2.6512902000000001E-2</v>
      </c>
      <c r="R14">
        <v>-2.4746614E-2</v>
      </c>
      <c r="S14">
        <v>-2.4904417000000002E-2</v>
      </c>
      <c r="T14">
        <v>-2.4524280999999998E-2</v>
      </c>
      <c r="U14">
        <v>-2.2938462E-2</v>
      </c>
    </row>
    <row r="15" spans="1:24">
      <c r="A15" t="s">
        <v>12</v>
      </c>
      <c r="B15">
        <v>-4.2261920000000002</v>
      </c>
      <c r="C15">
        <v>-2.6298940000000002</v>
      </c>
      <c r="D15">
        <v>-1.402355</v>
      </c>
      <c r="E15">
        <v>-0.91109569999999995</v>
      </c>
      <c r="F15">
        <v>-0.68636299999999995</v>
      </c>
      <c r="G15">
        <v>-0.53562180000000004</v>
      </c>
      <c r="H15">
        <v>-0.45710709999999999</v>
      </c>
      <c r="I15">
        <v>-0.38882889999999998</v>
      </c>
      <c r="J15">
        <v>-0.32668459999999999</v>
      </c>
      <c r="K15">
        <v>-0.29667670000000002</v>
      </c>
      <c r="L15">
        <v>-0.27304929999999999</v>
      </c>
      <c r="M15">
        <v>-0.25190560000000001</v>
      </c>
      <c r="N15">
        <v>-0.22185299999999999</v>
      </c>
      <c r="O15">
        <v>-0.20219970000000001</v>
      </c>
      <c r="P15">
        <v>-0.1740372</v>
      </c>
      <c r="Q15">
        <v>-0.15765979999999999</v>
      </c>
      <c r="R15">
        <v>-0.14634759999999999</v>
      </c>
      <c r="S15">
        <v>-0.1405689</v>
      </c>
      <c r="T15">
        <v>-0.1369291</v>
      </c>
      <c r="U15">
        <v>-0.135245</v>
      </c>
    </row>
    <row r="16" spans="1:24">
      <c r="A16" t="s">
        <v>13</v>
      </c>
      <c r="B16">
        <v>-12.938040000000001</v>
      </c>
      <c r="C16">
        <v>-4.8412680000000003</v>
      </c>
      <c r="D16">
        <v>-1.745547</v>
      </c>
      <c r="E16">
        <v>-0.9252068</v>
      </c>
      <c r="F16">
        <v>-0.58630199999999999</v>
      </c>
      <c r="G16">
        <v>-0.39914719999999998</v>
      </c>
      <c r="H16">
        <v>-0.30762840000000002</v>
      </c>
      <c r="I16">
        <v>-0.2440861</v>
      </c>
      <c r="J16">
        <v>-0.2137858</v>
      </c>
      <c r="K16">
        <v>-0.17817479999999999</v>
      </c>
      <c r="L16">
        <v>-0.1556767</v>
      </c>
      <c r="M16">
        <v>-0.1354156</v>
      </c>
      <c r="N16">
        <v>-0.1237283</v>
      </c>
      <c r="O16">
        <v>-0.1110963</v>
      </c>
      <c r="P16">
        <v>-9.7784087000000006E-2</v>
      </c>
      <c r="Q16">
        <v>-8.1674530999999995E-2</v>
      </c>
      <c r="R16">
        <v>-7.2001167000000005E-2</v>
      </c>
      <c r="S16">
        <v>-7.1627422999999996E-2</v>
      </c>
      <c r="T16">
        <v>-6.9506362000000002E-2</v>
      </c>
      <c r="U16">
        <v>-6.5899968000000003E-2</v>
      </c>
    </row>
    <row r="17" spans="1:21">
      <c r="A17" t="s">
        <v>14</v>
      </c>
      <c r="B17">
        <v>-13.858169999999999</v>
      </c>
      <c r="C17">
        <v>-5.0495279999999996</v>
      </c>
      <c r="D17">
        <v>-1.747884</v>
      </c>
      <c r="E17">
        <v>-0.91775720000000005</v>
      </c>
      <c r="F17">
        <v>-0.60884459999999996</v>
      </c>
      <c r="G17">
        <v>-0.40855439999999998</v>
      </c>
      <c r="H17">
        <v>-0.3279512</v>
      </c>
      <c r="I17">
        <v>-0.27687899999999999</v>
      </c>
      <c r="J17">
        <v>-0.21962770000000001</v>
      </c>
      <c r="K17">
        <v>-0.20271549999999999</v>
      </c>
      <c r="L17">
        <v>-0.1825601</v>
      </c>
      <c r="M17">
        <v>-0.13792380000000001</v>
      </c>
      <c r="N17">
        <v>-0.12424540000000001</v>
      </c>
      <c r="O17">
        <v>-0.11786729999999999</v>
      </c>
      <c r="P17">
        <v>-9.9303238000000002E-2</v>
      </c>
      <c r="Q17">
        <v>-9.8356320999999997E-2</v>
      </c>
      <c r="R17">
        <v>-9.4864993999999994E-2</v>
      </c>
      <c r="S17">
        <v>-8.9696138999999994E-2</v>
      </c>
      <c r="T17">
        <v>-8.9246906000000001E-2</v>
      </c>
      <c r="U17">
        <v>-8.7254070000000003E-2</v>
      </c>
    </row>
    <row r="18" spans="1:21">
      <c r="A18" t="s">
        <v>15</v>
      </c>
      <c r="B18">
        <v>-14.733000000000001</v>
      </c>
      <c r="C18">
        <v>-5.7985449999999998</v>
      </c>
      <c r="D18">
        <v>-2.1543730000000001</v>
      </c>
      <c r="E18">
        <v>-1.1480649999999999</v>
      </c>
      <c r="F18">
        <v>-0.79161150000000002</v>
      </c>
      <c r="G18">
        <v>-0.56460869999999996</v>
      </c>
      <c r="H18">
        <v>-0.44756479999999998</v>
      </c>
      <c r="I18">
        <v>-0.35949589999999998</v>
      </c>
      <c r="J18">
        <v>-0.33419700000000002</v>
      </c>
      <c r="K18">
        <v>-0.29434650000000001</v>
      </c>
      <c r="L18">
        <v>-0.25646219999999997</v>
      </c>
      <c r="M18">
        <v>-0.22900209999999999</v>
      </c>
      <c r="N18">
        <v>-0.20468720000000001</v>
      </c>
      <c r="O18">
        <v>-0.17379610000000001</v>
      </c>
      <c r="P18">
        <v>-0.15285609999999999</v>
      </c>
      <c r="Q18">
        <v>-0.12952759999999999</v>
      </c>
      <c r="R18">
        <v>-0.12536749999999999</v>
      </c>
      <c r="S18">
        <v>-0.1227298</v>
      </c>
      <c r="T18">
        <v>-0.1236305</v>
      </c>
      <c r="U18">
        <v>-0.1130896</v>
      </c>
    </row>
    <row r="19" spans="1:21">
      <c r="A19" t="s">
        <v>16</v>
      </c>
      <c r="B19">
        <v>-21.255700000000001</v>
      </c>
      <c r="C19">
        <v>-10.32929</v>
      </c>
      <c r="D19">
        <v>-3.9006859999999999</v>
      </c>
      <c r="E19">
        <v>-2.036778</v>
      </c>
      <c r="F19">
        <v>-1.265301</v>
      </c>
      <c r="G19">
        <v>-0.82239379999999995</v>
      </c>
      <c r="H19">
        <v>-0.6337931</v>
      </c>
      <c r="I19">
        <v>-0.4917299</v>
      </c>
      <c r="J19">
        <v>-0.38937129999999998</v>
      </c>
      <c r="K19">
        <v>-0.32047690000000001</v>
      </c>
      <c r="L19">
        <v>-0.28671869999999999</v>
      </c>
      <c r="M19">
        <v>-0.25547239999999999</v>
      </c>
      <c r="N19">
        <v>-0.20713799999999999</v>
      </c>
      <c r="O19">
        <v>-0.18286469999999999</v>
      </c>
      <c r="P19">
        <v>-0.16522690000000001</v>
      </c>
      <c r="Q19">
        <v>-0.14557709999999999</v>
      </c>
      <c r="R19">
        <v>-0.13587920000000001</v>
      </c>
      <c r="S19">
        <v>-0.1255674</v>
      </c>
      <c r="T19">
        <v>-0.1170833</v>
      </c>
      <c r="U19">
        <v>-0.11522110000000001</v>
      </c>
    </row>
    <row r="20" spans="1:21">
      <c r="A20" t="s">
        <v>17</v>
      </c>
      <c r="B20">
        <v>-20.455390000000001</v>
      </c>
      <c r="C20">
        <v>-10.10633</v>
      </c>
      <c r="D20">
        <v>-3.4618890000000002</v>
      </c>
      <c r="E20">
        <v>-1.6866890000000001</v>
      </c>
      <c r="F20">
        <v>-1.0435110000000001</v>
      </c>
      <c r="G20">
        <v>-0.6055739</v>
      </c>
      <c r="H20">
        <v>-0.49883119999999997</v>
      </c>
      <c r="I20">
        <v>-0.40799839999999998</v>
      </c>
      <c r="J20">
        <v>-0.31368869999999999</v>
      </c>
      <c r="K20">
        <v>-0.26087660000000001</v>
      </c>
      <c r="L20">
        <v>-0.25289030000000001</v>
      </c>
      <c r="M20">
        <v>-0.2232297</v>
      </c>
      <c r="N20">
        <v>-0.19980490000000001</v>
      </c>
      <c r="O20">
        <v>-0.18044879999999999</v>
      </c>
      <c r="P20">
        <v>-0.16676450000000001</v>
      </c>
      <c r="Q20">
        <v>-0.15539819999999999</v>
      </c>
      <c r="R20">
        <v>-0.12570290000000001</v>
      </c>
      <c r="S20">
        <v>-0.1234431</v>
      </c>
      <c r="T20">
        <v>-0.1210084</v>
      </c>
      <c r="U20">
        <v>-0.1154448</v>
      </c>
    </row>
    <row r="21" spans="1:21">
      <c r="A21" t="s">
        <v>18</v>
      </c>
      <c r="B21">
        <v>-20.759740000000001</v>
      </c>
      <c r="C21">
        <v>-10.28342</v>
      </c>
      <c r="D21">
        <v>-3.5688710000000001</v>
      </c>
      <c r="E21">
        <v>-1.6877610000000001</v>
      </c>
      <c r="F21">
        <v>-1.029563</v>
      </c>
      <c r="G21">
        <v>-0.65205040000000003</v>
      </c>
      <c r="H21">
        <v>-0.50719879999999995</v>
      </c>
      <c r="I21">
        <v>-0.40766669999999999</v>
      </c>
      <c r="J21">
        <v>-0.33774579999999998</v>
      </c>
      <c r="K21">
        <v>-0.28397810000000001</v>
      </c>
      <c r="L21">
        <v>-0.26904040000000001</v>
      </c>
      <c r="M21">
        <v>-0.24157219999999999</v>
      </c>
      <c r="N21">
        <v>-0.2016163</v>
      </c>
      <c r="O21">
        <v>-0.18185770000000001</v>
      </c>
      <c r="P21">
        <v>-0.17026849999999999</v>
      </c>
      <c r="Q21">
        <v>-0.15314030000000001</v>
      </c>
      <c r="R21">
        <v>-0.13851459999999999</v>
      </c>
      <c r="S21">
        <v>-0.1269412</v>
      </c>
      <c r="T21">
        <v>-0.1183269</v>
      </c>
      <c r="U21">
        <v>-0.11463379999999999</v>
      </c>
    </row>
    <row r="22" spans="1:21">
      <c r="A22" t="s">
        <v>19</v>
      </c>
      <c r="B22">
        <v>-19.66555</v>
      </c>
      <c r="C22">
        <v>-9.5884129999999992</v>
      </c>
      <c r="D22">
        <v>-3.3747159999999998</v>
      </c>
      <c r="E22">
        <v>-1.672437</v>
      </c>
      <c r="F22">
        <v>-1.0245740000000001</v>
      </c>
      <c r="G22">
        <v>-0.65184059999999999</v>
      </c>
      <c r="H22">
        <v>-0.48954760000000003</v>
      </c>
      <c r="I22">
        <v>-0.37926779999999999</v>
      </c>
      <c r="J22">
        <v>-0.29458079999999998</v>
      </c>
      <c r="K22">
        <v>-0.2506543</v>
      </c>
      <c r="L22">
        <v>-0.24718290000000001</v>
      </c>
      <c r="M22">
        <v>-0.2296233</v>
      </c>
      <c r="N22">
        <v>-0.2020391</v>
      </c>
      <c r="O22">
        <v>-0.19195110000000001</v>
      </c>
      <c r="P22">
        <v>-0.16952020000000001</v>
      </c>
      <c r="Q22">
        <v>-0.1506247</v>
      </c>
      <c r="R22">
        <v>-0.1371945</v>
      </c>
      <c r="S22">
        <v>-0.13053989999999999</v>
      </c>
      <c r="T22">
        <v>-0.1286014</v>
      </c>
      <c r="U22">
        <v>-0.1267441</v>
      </c>
    </row>
    <row r="23" spans="1:21">
      <c r="A23" t="s">
        <v>20</v>
      </c>
      <c r="B23">
        <v>-20.332830000000001</v>
      </c>
      <c r="C23">
        <v>-10.10697</v>
      </c>
      <c r="D23">
        <v>-3.462799</v>
      </c>
      <c r="E23">
        <v>-1.6737379999999999</v>
      </c>
      <c r="F23">
        <v>-0.99541610000000003</v>
      </c>
      <c r="G23">
        <v>-0.62036049999999998</v>
      </c>
      <c r="H23">
        <v>-0.50241440000000004</v>
      </c>
      <c r="I23">
        <v>-0.3822816</v>
      </c>
      <c r="J23">
        <v>-0.31148759999999998</v>
      </c>
      <c r="K23">
        <v>-0.25236019999999998</v>
      </c>
      <c r="L23">
        <v>-0.25221830000000001</v>
      </c>
      <c r="M23">
        <v>-0.22490109999999999</v>
      </c>
      <c r="N23">
        <v>-0.19447629999999999</v>
      </c>
      <c r="O23">
        <v>-0.180344</v>
      </c>
      <c r="P23">
        <v>-0.1704386</v>
      </c>
      <c r="Q23">
        <v>-0.1502455</v>
      </c>
      <c r="R23">
        <v>-0.1332535</v>
      </c>
      <c r="S23">
        <v>-0.13119990000000001</v>
      </c>
      <c r="T23">
        <v>-0.1206851</v>
      </c>
      <c r="U23">
        <v>-0.111272</v>
      </c>
    </row>
    <row r="24" spans="1:21">
      <c r="A24" t="s">
        <v>21</v>
      </c>
      <c r="B24">
        <v>-20.03171</v>
      </c>
      <c r="C24">
        <v>-9.9358769999999996</v>
      </c>
      <c r="D24">
        <v>-3.4995699999999998</v>
      </c>
      <c r="E24">
        <v>-1.7884949999999999</v>
      </c>
      <c r="F24">
        <v>-1.1074980000000001</v>
      </c>
      <c r="G24">
        <v>-0.70822410000000002</v>
      </c>
      <c r="H24">
        <v>-0.52412590000000003</v>
      </c>
      <c r="I24">
        <v>-0.43174489999999999</v>
      </c>
      <c r="J24">
        <v>-0.3369238</v>
      </c>
      <c r="K24">
        <v>-0.28774660000000002</v>
      </c>
      <c r="L24">
        <v>-0.26663150000000002</v>
      </c>
      <c r="M24">
        <v>-0.2478245</v>
      </c>
      <c r="N24">
        <v>-0.2083402</v>
      </c>
      <c r="O24">
        <v>-0.1831219</v>
      </c>
      <c r="P24">
        <v>-0.16549159999999999</v>
      </c>
      <c r="Q24">
        <v>-0.156338</v>
      </c>
      <c r="R24">
        <v>-0.14062469999999999</v>
      </c>
      <c r="S24">
        <v>-0.1387516</v>
      </c>
      <c r="T24">
        <v>-0.1351879</v>
      </c>
      <c r="U24">
        <v>-0.12614069999999999</v>
      </c>
    </row>
    <row r="25" spans="1:21">
      <c r="A25" t="s">
        <v>34</v>
      </c>
      <c r="B25">
        <v>-20.698329999999999</v>
      </c>
      <c r="C25">
        <v>-10.4489</v>
      </c>
      <c r="D25">
        <v>-3.697276</v>
      </c>
      <c r="E25">
        <v>-1.777161</v>
      </c>
      <c r="F25">
        <v>-1.114781</v>
      </c>
      <c r="G25">
        <v>-0.71003019999999994</v>
      </c>
      <c r="H25">
        <v>-0.53981939999999995</v>
      </c>
      <c r="I25">
        <v>-0.43188799999999999</v>
      </c>
      <c r="J25">
        <v>-0.33931080000000002</v>
      </c>
      <c r="K25">
        <v>-0.27556920000000001</v>
      </c>
      <c r="L25">
        <v>-0.24249799999999999</v>
      </c>
      <c r="M25">
        <v>-0.22973150000000001</v>
      </c>
      <c r="N25">
        <v>-0.17803620000000001</v>
      </c>
      <c r="O25">
        <v>-0.16463559999999999</v>
      </c>
      <c r="P25">
        <v>-0.1459512</v>
      </c>
      <c r="Q25">
        <v>-0.14314789999999999</v>
      </c>
      <c r="R25">
        <v>-0.1343741</v>
      </c>
      <c r="S25">
        <v>-0.12673899999999999</v>
      </c>
      <c r="T25">
        <v>-0.122125</v>
      </c>
      <c r="U25">
        <v>-0.1070538</v>
      </c>
    </row>
    <row r="26" spans="1:21">
      <c r="A26" t="s">
        <v>22</v>
      </c>
      <c r="B26">
        <v>-25.643840000000001</v>
      </c>
      <c r="C26">
        <v>-9.0094550000000009</v>
      </c>
      <c r="D26">
        <v>-2.7350650000000001</v>
      </c>
      <c r="E26">
        <v>-1.3077209999999999</v>
      </c>
      <c r="F26">
        <v>-0.72225649999999997</v>
      </c>
      <c r="G26">
        <v>-0.44703730000000003</v>
      </c>
      <c r="H26">
        <v>-0.33534629999999999</v>
      </c>
      <c r="I26">
        <v>-0.22369639999999999</v>
      </c>
      <c r="J26">
        <v>-0.2003289</v>
      </c>
      <c r="K26">
        <v>-0.14907429999999999</v>
      </c>
      <c r="L26">
        <v>-0.13457569999999999</v>
      </c>
      <c r="M26">
        <v>-0.12143760000000001</v>
      </c>
      <c r="N26">
        <v>-9.4238952000000001E-2</v>
      </c>
      <c r="O26">
        <v>-8.7578959999999997E-2</v>
      </c>
      <c r="P26">
        <v>-7.1319289999999994E-2</v>
      </c>
      <c r="Q26">
        <v>-7.0098855000000002E-2</v>
      </c>
      <c r="R26">
        <v>-6.4513311000000004E-2</v>
      </c>
      <c r="S26">
        <v>-5.8299068000000002E-2</v>
      </c>
      <c r="T26">
        <v>-5.6542289000000003E-2</v>
      </c>
      <c r="U26">
        <v>-5.2964836000000001E-2</v>
      </c>
    </row>
    <row r="27" spans="1:21">
      <c r="A27" t="s">
        <v>23</v>
      </c>
      <c r="B27">
        <v>-21.17202</v>
      </c>
      <c r="C27">
        <v>-10.515000000000001</v>
      </c>
      <c r="D27">
        <v>-3.7633770000000002</v>
      </c>
      <c r="E27">
        <v>-1.9602390000000001</v>
      </c>
      <c r="F27">
        <v>-1.2064379999999999</v>
      </c>
      <c r="G27">
        <v>-0.79206259999999995</v>
      </c>
      <c r="H27">
        <v>-0.61461849999999996</v>
      </c>
      <c r="I27">
        <v>-0.47044530000000001</v>
      </c>
      <c r="J27">
        <v>-0.4155895</v>
      </c>
      <c r="K27">
        <v>-0.31841700000000001</v>
      </c>
      <c r="L27">
        <v>-0.29629949999999999</v>
      </c>
      <c r="M27">
        <v>-0.24769040000000001</v>
      </c>
      <c r="N27">
        <v>-0.2088894</v>
      </c>
      <c r="O27">
        <v>-0.1912962</v>
      </c>
      <c r="P27">
        <v>-0.17769460000000001</v>
      </c>
      <c r="Q27">
        <v>-0.16986609999999999</v>
      </c>
      <c r="R27">
        <v>-0.15991910000000001</v>
      </c>
      <c r="S27">
        <v>-0.1347043</v>
      </c>
      <c r="T27">
        <v>-0.13264780000000001</v>
      </c>
      <c r="U27">
        <v>-0.1233496</v>
      </c>
    </row>
    <row r="28" spans="1:21">
      <c r="A28" t="s">
        <v>24</v>
      </c>
      <c r="B28">
        <v>-20.699950000000001</v>
      </c>
      <c r="C28">
        <v>-10.47645</v>
      </c>
      <c r="D28">
        <v>-3.7582230000000001</v>
      </c>
      <c r="E28">
        <v>-1.9340980000000001</v>
      </c>
      <c r="F28">
        <v>-1.1966300000000001</v>
      </c>
      <c r="G28">
        <v>-0.7883945</v>
      </c>
      <c r="H28">
        <v>-0.58440080000000005</v>
      </c>
      <c r="I28">
        <v>-0.47616190000000003</v>
      </c>
      <c r="J28">
        <v>-0.40568959999999998</v>
      </c>
      <c r="K28">
        <v>-0.29828379999999999</v>
      </c>
      <c r="L28">
        <v>-0.26290210000000003</v>
      </c>
      <c r="M28">
        <v>-0.2264137</v>
      </c>
      <c r="N28">
        <v>-0.1911052</v>
      </c>
      <c r="O28">
        <v>-0.16636699999999999</v>
      </c>
      <c r="P28">
        <v>-0.1491265</v>
      </c>
      <c r="Q28">
        <v>-0.1409107</v>
      </c>
      <c r="R28">
        <v>-0.12996269999999999</v>
      </c>
      <c r="S28">
        <v>-0.12558659999999999</v>
      </c>
      <c r="T28">
        <v>-0.1271658</v>
      </c>
      <c r="U28">
        <v>-0.1179572</v>
      </c>
    </row>
    <row r="29" spans="1:21">
      <c r="A29" t="s">
        <v>25</v>
      </c>
      <c r="B29">
        <v>-23.04091</v>
      </c>
      <c r="C29">
        <v>-12.1236</v>
      </c>
      <c r="D29">
        <v>-4.823207</v>
      </c>
      <c r="E29">
        <v>-2.6499809999999999</v>
      </c>
      <c r="F29">
        <v>-1.667362</v>
      </c>
      <c r="G29">
        <v>-1.1907140000000001</v>
      </c>
      <c r="H29">
        <v>-0.96666909999999995</v>
      </c>
      <c r="I29">
        <v>-0.7515558</v>
      </c>
      <c r="J29">
        <v>-0.61800189999999999</v>
      </c>
      <c r="K29">
        <v>-0.51093599999999995</v>
      </c>
      <c r="L29">
        <v>-0.41195599999999999</v>
      </c>
      <c r="M29">
        <v>-0.34191250000000001</v>
      </c>
      <c r="N29">
        <v>-0.30765330000000002</v>
      </c>
      <c r="O29">
        <v>-0.27394869999999999</v>
      </c>
      <c r="P29">
        <v>-0.25338529999999998</v>
      </c>
      <c r="Q29">
        <v>-0.23527129999999999</v>
      </c>
      <c r="R29">
        <v>-0.19218650000000001</v>
      </c>
      <c r="S29">
        <v>-0.17428440000000001</v>
      </c>
      <c r="T29">
        <v>-0.1708018</v>
      </c>
      <c r="U29">
        <v>-0.15342059999999999</v>
      </c>
    </row>
    <row r="30" spans="1:21">
      <c r="A30" t="s">
        <v>26</v>
      </c>
      <c r="B30">
        <v>-18.44265</v>
      </c>
      <c r="C30">
        <v>-8.1259990000000002</v>
      </c>
      <c r="D30">
        <v>-2.3523520000000002</v>
      </c>
      <c r="E30">
        <v>-1.2567950000000001</v>
      </c>
      <c r="F30">
        <v>-0.80136019999999997</v>
      </c>
      <c r="G30">
        <v>-0.45993889999999998</v>
      </c>
      <c r="H30">
        <v>-0.30983280000000002</v>
      </c>
      <c r="I30">
        <v>-0.2315497</v>
      </c>
      <c r="J30">
        <v>-0.18902450000000001</v>
      </c>
      <c r="K30">
        <v>-0.14909430000000001</v>
      </c>
      <c r="L30">
        <v>-0.14097799999999999</v>
      </c>
      <c r="M30">
        <v>-0.12133679999999999</v>
      </c>
      <c r="N30">
        <v>-0.1007464</v>
      </c>
      <c r="O30">
        <v>-8.7398447000000004E-2</v>
      </c>
      <c r="P30">
        <v>-8.0251977000000002E-2</v>
      </c>
      <c r="Q30">
        <v>-7.5815506000000005E-2</v>
      </c>
      <c r="R30">
        <v>-7.3423944000000005E-2</v>
      </c>
      <c r="S30">
        <v>-7.2156585999999995E-2</v>
      </c>
      <c r="T30">
        <v>-6.7661412000000004E-2</v>
      </c>
      <c r="U30">
        <v>-6.5744042000000003E-2</v>
      </c>
    </row>
    <row r="31" spans="1:21">
      <c r="A31" t="s">
        <v>27</v>
      </c>
      <c r="B31">
        <v>-23.274640000000002</v>
      </c>
      <c r="C31">
        <v>-12.73963</v>
      </c>
      <c r="D31">
        <v>-6.7716649999999996</v>
      </c>
      <c r="E31">
        <v>-4.275328</v>
      </c>
      <c r="F31">
        <v>-2.987311</v>
      </c>
      <c r="G31">
        <v>-2.0787100000000001</v>
      </c>
      <c r="H31">
        <v>-1.6958169999999999</v>
      </c>
      <c r="I31">
        <v>-1.402549</v>
      </c>
      <c r="J31">
        <v>-1.1763440000000001</v>
      </c>
      <c r="K31">
        <v>-0.98809449999999999</v>
      </c>
      <c r="L31">
        <v>-0.86709700000000001</v>
      </c>
      <c r="M31">
        <v>-0.78114349999999999</v>
      </c>
      <c r="N31">
        <v>-0.71911040000000004</v>
      </c>
      <c r="O31">
        <v>-0.67821849999999995</v>
      </c>
      <c r="P31">
        <v>-0.6217087</v>
      </c>
      <c r="Q31">
        <v>-0.55986170000000002</v>
      </c>
      <c r="R31">
        <v>-0.49386950000000002</v>
      </c>
      <c r="S31">
        <v>-0.46493580000000001</v>
      </c>
      <c r="T31">
        <v>-0.43032700000000002</v>
      </c>
      <c r="U31">
        <v>-0.41793170000000002</v>
      </c>
    </row>
    <row r="32" spans="1:21">
      <c r="A32" t="s">
        <v>28</v>
      </c>
      <c r="B32">
        <v>-22.189640000000001</v>
      </c>
      <c r="C32">
        <v>-7.195735</v>
      </c>
      <c r="D32">
        <v>-1.7408410000000001</v>
      </c>
      <c r="E32">
        <v>-0.68001060000000002</v>
      </c>
      <c r="F32">
        <v>-0.38628309999999999</v>
      </c>
      <c r="G32">
        <v>-0.25147910000000001</v>
      </c>
      <c r="H32">
        <v>-0.1666291</v>
      </c>
      <c r="I32">
        <v>-0.1155957</v>
      </c>
      <c r="J32">
        <v>-8.8365159999999998E-2</v>
      </c>
      <c r="K32">
        <v>-5.9620474E-2</v>
      </c>
      <c r="L32">
        <v>-4.5467808999999998E-2</v>
      </c>
      <c r="M32">
        <v>-3.5808869E-2</v>
      </c>
      <c r="N32">
        <v>-2.695084E-2</v>
      </c>
      <c r="O32">
        <v>-2.4613607999999999E-2</v>
      </c>
      <c r="P32">
        <v>-1.6256350999999999E-2</v>
      </c>
      <c r="Q32">
        <v>-1.6384721000000001E-2</v>
      </c>
      <c r="R32">
        <v>-1.1407341999999999E-2</v>
      </c>
      <c r="S32">
        <v>-1.1811334999999999E-2</v>
      </c>
      <c r="T32">
        <v>-1.2367398E-2</v>
      </c>
      <c r="U32">
        <v>-1.0610448999999999E-2</v>
      </c>
    </row>
    <row r="33" spans="1:21">
      <c r="A33" t="s">
        <v>29</v>
      </c>
      <c r="B33">
        <v>-20.29515</v>
      </c>
      <c r="C33">
        <v>-5.9454190000000002</v>
      </c>
      <c r="D33">
        <v>-1.725482</v>
      </c>
      <c r="E33">
        <v>-0.72246600000000005</v>
      </c>
      <c r="F33">
        <v>-0.47888120000000001</v>
      </c>
      <c r="G33">
        <v>-0.3072954</v>
      </c>
      <c r="H33">
        <v>-0.2075631</v>
      </c>
      <c r="I33">
        <v>-0.13131380000000001</v>
      </c>
      <c r="J33">
        <v>-9.8971389000000007E-2</v>
      </c>
      <c r="K33">
        <v>-7.4098460000000005E-2</v>
      </c>
      <c r="L33">
        <v>-6.8162687E-2</v>
      </c>
      <c r="M33">
        <v>-5.4731204999999998E-2</v>
      </c>
      <c r="N33">
        <v>-4.5394570000000002E-2</v>
      </c>
      <c r="O33">
        <v>-3.8731056999999999E-2</v>
      </c>
      <c r="P33">
        <v>-3.4923590999999997E-2</v>
      </c>
      <c r="Q33">
        <v>-2.6909494999999999E-2</v>
      </c>
      <c r="R33">
        <v>-2.4659372999999998E-2</v>
      </c>
      <c r="S33">
        <v>-2.5261663E-2</v>
      </c>
      <c r="T33">
        <v>-2.5841837999999999E-2</v>
      </c>
      <c r="U33">
        <v>-2.5825547000000001E-2</v>
      </c>
    </row>
    <row r="34" spans="1:21">
      <c r="A34" t="s">
        <v>30</v>
      </c>
      <c r="B34">
        <v>-20.358419999999999</v>
      </c>
      <c r="C34">
        <v>-5.8181909999999997</v>
      </c>
      <c r="D34">
        <v>-1.6630149999999999</v>
      </c>
      <c r="E34">
        <v>-0.73423210000000005</v>
      </c>
      <c r="F34">
        <v>-0.4568065</v>
      </c>
      <c r="G34">
        <v>-0.28472920000000002</v>
      </c>
      <c r="H34">
        <v>-0.20499909999999999</v>
      </c>
      <c r="I34">
        <v>-0.13903270000000001</v>
      </c>
      <c r="J34">
        <v>-9.8178819000000001E-2</v>
      </c>
      <c r="K34">
        <v>-6.8842298999999996E-2</v>
      </c>
      <c r="L34">
        <v>-4.5935847000000002E-2</v>
      </c>
      <c r="M34">
        <v>-4.1416931999999997E-2</v>
      </c>
      <c r="N34">
        <v>-3.2519020000000003E-2</v>
      </c>
      <c r="O34">
        <v>-2.4891032E-2</v>
      </c>
      <c r="P34">
        <v>-2.4483437E-2</v>
      </c>
      <c r="Q34">
        <v>-2.3095712000000001E-2</v>
      </c>
      <c r="R34">
        <v>-2.1001611E-2</v>
      </c>
      <c r="S34">
        <v>-1.7818870000000001E-2</v>
      </c>
      <c r="T34">
        <v>-1.6575079E-2</v>
      </c>
      <c r="U34">
        <v>-1.6575079E-2</v>
      </c>
    </row>
    <row r="35" spans="1:21">
      <c r="A35" t="s">
        <v>31</v>
      </c>
      <c r="B35">
        <v>-40.18535</v>
      </c>
      <c r="C35">
        <v>-23.873850000000001</v>
      </c>
      <c r="D35">
        <v>-13.103529999999999</v>
      </c>
      <c r="E35">
        <v>-8.2629610000000007</v>
      </c>
      <c r="F35">
        <v>-5.8608969999999996</v>
      </c>
      <c r="G35">
        <v>-4.1936650000000002</v>
      </c>
      <c r="H35">
        <v>-3.1822789999999999</v>
      </c>
      <c r="I35">
        <v>-2.4663650000000001</v>
      </c>
      <c r="J35">
        <v>-1.9450639999999999</v>
      </c>
      <c r="K35">
        <v>-1.465117</v>
      </c>
      <c r="L35">
        <v>-1.315922</v>
      </c>
      <c r="M35">
        <v>-1.1692940000000001</v>
      </c>
      <c r="N35">
        <v>-0.98870159999999996</v>
      </c>
      <c r="O35">
        <v>-0.88058009999999998</v>
      </c>
      <c r="P35">
        <v>-0.76462319999999995</v>
      </c>
      <c r="Q35">
        <v>-0.71129799999999999</v>
      </c>
      <c r="R35">
        <v>-0.64494019999999996</v>
      </c>
      <c r="S35">
        <v>-0.59937419999999997</v>
      </c>
      <c r="T35">
        <v>-0.56092600000000004</v>
      </c>
      <c r="U35">
        <v>-0.50582490000000002</v>
      </c>
    </row>
    <row r="36" spans="1:21">
      <c r="A36" t="s">
        <v>32</v>
      </c>
      <c r="B36">
        <v>-47.170259999999999</v>
      </c>
      <c r="C36">
        <v>-29.077809999999999</v>
      </c>
      <c r="D36">
        <v>-15.98753</v>
      </c>
      <c r="E36">
        <v>-10.168799999999999</v>
      </c>
      <c r="F36">
        <v>-7.2367800000000004</v>
      </c>
      <c r="G36">
        <v>-5.1525350000000003</v>
      </c>
      <c r="H36">
        <v>-4.1572480000000001</v>
      </c>
      <c r="I36">
        <v>-3.2480980000000002</v>
      </c>
      <c r="J36">
        <v>-2.620174</v>
      </c>
      <c r="K36">
        <v>-2.0898210000000002</v>
      </c>
      <c r="L36">
        <v>-1.7950360000000001</v>
      </c>
      <c r="M36">
        <v>-1.5840749999999999</v>
      </c>
      <c r="N36">
        <v>-1.3646119999999999</v>
      </c>
      <c r="O36">
        <v>-1.222397</v>
      </c>
      <c r="P36">
        <v>-1.067879</v>
      </c>
      <c r="Q36">
        <v>-0.98377910000000002</v>
      </c>
      <c r="R36">
        <v>-0.87727999999999995</v>
      </c>
      <c r="S36">
        <v>-0.78802059999999996</v>
      </c>
      <c r="T36">
        <v>-0.72288490000000005</v>
      </c>
      <c r="U36">
        <v>-0.68354769999999998</v>
      </c>
    </row>
    <row r="37" spans="1:21">
      <c r="A37" t="s">
        <v>33</v>
      </c>
      <c r="B37">
        <v>-46.146610000000003</v>
      </c>
      <c r="C37">
        <v>-29.375530000000001</v>
      </c>
      <c r="D37">
        <v>-16.549399999999999</v>
      </c>
      <c r="E37">
        <v>-10.98043</v>
      </c>
      <c r="F37">
        <v>-8.1972679999999993</v>
      </c>
      <c r="G37">
        <v>-6.2326899999999998</v>
      </c>
      <c r="H37">
        <v>-5.2008770000000002</v>
      </c>
      <c r="I37">
        <v>-4.4127409999999996</v>
      </c>
      <c r="J37">
        <v>-3.787099</v>
      </c>
      <c r="K37">
        <v>-3.245539</v>
      </c>
      <c r="L37">
        <v>-2.8781330000000001</v>
      </c>
      <c r="M37">
        <v>-2.5640779999999999</v>
      </c>
      <c r="N37">
        <v>-2.3627440000000002</v>
      </c>
      <c r="O37">
        <v>-2.1366499999999999</v>
      </c>
      <c r="P37">
        <v>-1.905041</v>
      </c>
      <c r="Q37">
        <v>-1.758561</v>
      </c>
      <c r="R37">
        <v>-1.628007</v>
      </c>
      <c r="S37">
        <v>-1.5518730000000001</v>
      </c>
      <c r="T37">
        <v>-1.4460029999999999</v>
      </c>
      <c r="U37">
        <v>-1.3665179999999999</v>
      </c>
    </row>
  </sheetData>
  <phoneticPr fontId="0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8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"Chg_pos_A_1.4A"</f>
        <v>Chg_pos_A_1.4A</v>
      </c>
      <c r="C1" s="1" t="str">
        <f>"Chg_pos_A_2A"</f>
        <v>Chg_pos_A_2A</v>
      </c>
      <c r="D1" s="1" t="str">
        <f>"Chg_pos_A_3A"</f>
        <v>Chg_pos_A_3A</v>
      </c>
      <c r="E1" s="1" t="str">
        <f>"Chg_pos_A_4A"</f>
        <v>Chg_pos_A_4A</v>
      </c>
      <c r="F1" s="1" t="str">
        <f>"Chg_pos_A_5A"</f>
        <v>Chg_pos_A_5A</v>
      </c>
      <c r="G1" s="1" t="str">
        <f>"Chg_pos_A_6A"</f>
        <v>Chg_pos_A_6A</v>
      </c>
      <c r="H1" s="1" t="str">
        <f>"Chg_pos_A_7A"</f>
        <v>Chg_pos_A_7A</v>
      </c>
      <c r="I1" s="1" t="str">
        <f>"Chg_pos_A_8A"</f>
        <v>Chg_pos_A_8A</v>
      </c>
      <c r="J1" s="1" t="str">
        <f>"Chg_pos_A_9A"</f>
        <v>Chg_pos_A_9A</v>
      </c>
      <c r="K1" s="1" t="str">
        <f>"Chg_pos_A_10A"</f>
        <v>Chg_pos_A_10A</v>
      </c>
      <c r="L1" s="1" t="str">
        <f>"Chg_pos_A_11A"</f>
        <v>Chg_pos_A_11A</v>
      </c>
      <c r="M1" s="1" t="str">
        <f>"Chg_pos_A_12A"</f>
        <v>Chg_pos_A_12A</v>
      </c>
      <c r="N1" s="1" t="str">
        <f>"Chg_pos_A_13A"</f>
        <v>Chg_pos_A_13A</v>
      </c>
      <c r="O1" s="1" t="str">
        <f>"Chg_pos_A_14A"</f>
        <v>Chg_pos_A_14A</v>
      </c>
      <c r="P1" s="1" t="str">
        <f>"Chg_pos_A_15A"</f>
        <v>Chg_pos_A_15A</v>
      </c>
      <c r="Q1" s="1" t="str">
        <f>"Chg_pos_A_16A"</f>
        <v>Chg_pos_A_16A</v>
      </c>
      <c r="R1" s="1" t="str">
        <f>"Chg_pos_A_17A"</f>
        <v>Chg_pos_A_17A</v>
      </c>
      <c r="S1" s="1" t="str">
        <f>"Chg_pos_A_18A"</f>
        <v>Chg_pos_A_18A</v>
      </c>
      <c r="T1" s="1" t="str">
        <f>"Chg_pos_A_19A"</f>
        <v>Chg_pos_A_19A</v>
      </c>
      <c r="U1" s="1" t="str">
        <f>"Chg_pos_A_20A"</f>
        <v>Chg_pos_A_20A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385.27800000000002</v>
      </c>
      <c r="C3">
        <v>278.51080000000002</v>
      </c>
      <c r="D3">
        <v>195.49959999999999</v>
      </c>
      <c r="E3">
        <v>153.18620000000001</v>
      </c>
      <c r="F3">
        <v>120.358</v>
      </c>
      <c r="G3">
        <v>102.9888</v>
      </c>
      <c r="H3">
        <v>91.206980000000001</v>
      </c>
      <c r="I3">
        <v>81.315960000000004</v>
      </c>
      <c r="J3">
        <v>73.493930000000006</v>
      </c>
      <c r="K3">
        <v>67.629959999999997</v>
      </c>
      <c r="L3">
        <v>59.916989999999998</v>
      </c>
      <c r="M3">
        <v>55.334980000000002</v>
      </c>
      <c r="N3">
        <v>52.447989999999997</v>
      </c>
      <c r="O3">
        <v>50.302970000000002</v>
      </c>
      <c r="P3">
        <v>46.778970000000001</v>
      </c>
      <c r="Q3">
        <v>43.244979999999998</v>
      </c>
      <c r="R3">
        <v>40.86497</v>
      </c>
      <c r="S3">
        <v>39.678989999999999</v>
      </c>
      <c r="T3">
        <v>38.640979999999999</v>
      </c>
      <c r="U3">
        <v>40.067979999999999</v>
      </c>
    </row>
    <row r="4" spans="1:24">
      <c r="A4" t="s">
        <v>1</v>
      </c>
      <c r="B4">
        <v>564.8723</v>
      </c>
      <c r="C4">
        <v>384.2303</v>
      </c>
      <c r="D4">
        <v>246.05019999999999</v>
      </c>
      <c r="E4">
        <v>181.41909999999999</v>
      </c>
      <c r="F4">
        <v>137.56800000000001</v>
      </c>
      <c r="G4">
        <v>112.0977</v>
      </c>
      <c r="H4">
        <v>95.518979999999999</v>
      </c>
      <c r="I4">
        <v>82.324010000000001</v>
      </c>
      <c r="J4">
        <v>69.658990000000003</v>
      </c>
      <c r="K4">
        <v>61.488970000000002</v>
      </c>
      <c r="L4">
        <v>54.804000000000002</v>
      </c>
      <c r="M4">
        <v>48.612009999999998</v>
      </c>
      <c r="N4">
        <v>43.59104</v>
      </c>
      <c r="O4">
        <v>40.74803</v>
      </c>
      <c r="P4">
        <v>37.710999999999999</v>
      </c>
      <c r="Q4">
        <v>34.914000000000001</v>
      </c>
      <c r="R4">
        <v>31.94398</v>
      </c>
      <c r="S4">
        <v>30.021989999999999</v>
      </c>
      <c r="T4">
        <v>30.193989999999999</v>
      </c>
      <c r="U4">
        <v>28.960989999999999</v>
      </c>
    </row>
    <row r="5" spans="1:24">
      <c r="A5" t="s">
        <v>2</v>
      </c>
      <c r="B5">
        <v>878.78309999999999</v>
      </c>
      <c r="C5">
        <v>616.11500000000001</v>
      </c>
      <c r="D5">
        <v>415.48779999999999</v>
      </c>
      <c r="E5">
        <v>311.27589999999998</v>
      </c>
      <c r="F5">
        <v>242.53639999999999</v>
      </c>
      <c r="G5">
        <v>202.1309</v>
      </c>
      <c r="H5">
        <v>171.71809999999999</v>
      </c>
      <c r="I5">
        <v>152.02080000000001</v>
      </c>
      <c r="J5">
        <v>135.6771</v>
      </c>
      <c r="K5">
        <v>121.729</v>
      </c>
      <c r="L5">
        <v>111.988</v>
      </c>
      <c r="M5">
        <v>101.705</v>
      </c>
      <c r="N5">
        <v>92.876980000000003</v>
      </c>
      <c r="O5">
        <v>89.433989999999994</v>
      </c>
      <c r="P5">
        <v>83.097040000000007</v>
      </c>
      <c r="Q5">
        <v>77.888030000000001</v>
      </c>
      <c r="R5">
        <v>75.226029999999994</v>
      </c>
      <c r="S5">
        <v>71.125050000000002</v>
      </c>
      <c r="T5">
        <v>69.292010000000005</v>
      </c>
      <c r="U5">
        <v>68.760999999999996</v>
      </c>
    </row>
    <row r="6" spans="1:24">
      <c r="A6" t="s">
        <v>3</v>
      </c>
      <c r="B6">
        <v>468.54730000000001</v>
      </c>
      <c r="C6">
        <v>309.1773</v>
      </c>
      <c r="D6">
        <v>197.34200000000001</v>
      </c>
      <c r="E6">
        <v>143.82689999999999</v>
      </c>
      <c r="F6">
        <v>110.5017</v>
      </c>
      <c r="G6">
        <v>92.993740000000003</v>
      </c>
      <c r="H6">
        <v>80.595979999999997</v>
      </c>
      <c r="I6">
        <v>68.989000000000004</v>
      </c>
      <c r="J6">
        <v>61.564030000000002</v>
      </c>
      <c r="K6">
        <v>55.661059999999999</v>
      </c>
      <c r="L6">
        <v>50.089979999999997</v>
      </c>
      <c r="M6">
        <v>46.21799</v>
      </c>
      <c r="N6">
        <v>42.598030000000001</v>
      </c>
      <c r="O6">
        <v>39.940010000000001</v>
      </c>
      <c r="P6">
        <v>37.79298</v>
      </c>
      <c r="Q6">
        <v>35.399990000000003</v>
      </c>
      <c r="R6">
        <v>33.960979999999999</v>
      </c>
      <c r="S6">
        <v>32.311990000000002</v>
      </c>
      <c r="T6">
        <v>31.126999999999999</v>
      </c>
      <c r="U6">
        <v>29.703009999999999</v>
      </c>
    </row>
    <row r="7" spans="1:24">
      <c r="A7" t="s">
        <v>4</v>
      </c>
      <c r="B7">
        <v>432.48039999999997</v>
      </c>
      <c r="C7">
        <v>268.26859999999999</v>
      </c>
      <c r="D7">
        <v>167.9203</v>
      </c>
      <c r="E7">
        <v>123.6709</v>
      </c>
      <c r="F7">
        <v>96.848849999999999</v>
      </c>
      <c r="G7">
        <v>80.404849999999996</v>
      </c>
      <c r="H7">
        <v>66.900999999999996</v>
      </c>
      <c r="I7">
        <v>58.211010000000002</v>
      </c>
      <c r="J7">
        <v>51.326039999999999</v>
      </c>
      <c r="K7">
        <v>44.535029999999999</v>
      </c>
      <c r="L7">
        <v>41.604990000000001</v>
      </c>
      <c r="M7">
        <v>36.364019999999996</v>
      </c>
      <c r="N7">
        <v>32.775039999999997</v>
      </c>
      <c r="O7">
        <v>30.37501</v>
      </c>
      <c r="P7">
        <v>27.51098</v>
      </c>
      <c r="Q7">
        <v>25.117979999999999</v>
      </c>
      <c r="R7">
        <v>22.99898</v>
      </c>
      <c r="S7">
        <v>22.270990000000001</v>
      </c>
      <c r="T7">
        <v>22.024000000000001</v>
      </c>
      <c r="U7">
        <v>21.52901</v>
      </c>
    </row>
    <row r="8" spans="1:24">
      <c r="A8" t="s">
        <v>5</v>
      </c>
      <c r="B8">
        <v>465.08730000000003</v>
      </c>
      <c r="C8">
        <v>301.8947</v>
      </c>
      <c r="D8">
        <v>194.15039999999999</v>
      </c>
      <c r="E8">
        <v>150.83070000000001</v>
      </c>
      <c r="F8">
        <v>118.5936</v>
      </c>
      <c r="G8">
        <v>97.072720000000004</v>
      </c>
      <c r="H8">
        <v>83.986949999999993</v>
      </c>
      <c r="I8">
        <v>72.588999999999999</v>
      </c>
      <c r="J8">
        <v>64.96002</v>
      </c>
      <c r="K8">
        <v>57.371070000000003</v>
      </c>
      <c r="L8">
        <v>52.284970000000001</v>
      </c>
      <c r="M8">
        <v>49.323999999999998</v>
      </c>
      <c r="N8">
        <v>47.117019999999997</v>
      </c>
      <c r="O8">
        <v>43.982010000000002</v>
      </c>
      <c r="P8">
        <v>41.315989999999999</v>
      </c>
      <c r="Q8">
        <v>38.93</v>
      </c>
      <c r="R8">
        <v>37.750990000000002</v>
      </c>
      <c r="S8">
        <v>35.844999999999999</v>
      </c>
      <c r="T8">
        <v>34.412990000000001</v>
      </c>
      <c r="U8">
        <v>33.22101</v>
      </c>
    </row>
    <row r="9" spans="1:24">
      <c r="A9" t="s">
        <v>6</v>
      </c>
      <c r="B9">
        <v>472.36810000000003</v>
      </c>
      <c r="C9">
        <v>299.90809999999999</v>
      </c>
      <c r="D9">
        <v>191.98849999999999</v>
      </c>
      <c r="E9">
        <v>146.94380000000001</v>
      </c>
      <c r="F9">
        <v>115.70480000000001</v>
      </c>
      <c r="G9">
        <v>93.939750000000004</v>
      </c>
      <c r="H9">
        <v>79.634910000000005</v>
      </c>
      <c r="I9">
        <v>69.270030000000006</v>
      </c>
      <c r="J9">
        <v>61.185029999999998</v>
      </c>
      <c r="K9">
        <v>52.905059999999999</v>
      </c>
      <c r="L9">
        <v>48.754989999999999</v>
      </c>
      <c r="M9">
        <v>45.340020000000003</v>
      </c>
      <c r="N9">
        <v>41.722000000000001</v>
      </c>
      <c r="O9">
        <v>40.031019999999998</v>
      </c>
      <c r="P9">
        <v>38.070990000000002</v>
      </c>
      <c r="Q9">
        <v>36.136989999999997</v>
      </c>
      <c r="R9">
        <v>33.999980000000001</v>
      </c>
      <c r="S9">
        <v>32.09599</v>
      </c>
      <c r="T9">
        <v>30.678999999999998</v>
      </c>
      <c r="U9">
        <v>29.469010000000001</v>
      </c>
    </row>
    <row r="10" spans="1:24">
      <c r="A10" t="s">
        <v>7</v>
      </c>
      <c r="B10">
        <v>513.69600000000003</v>
      </c>
      <c r="C10">
        <v>321.238</v>
      </c>
      <c r="D10">
        <v>197.88419999999999</v>
      </c>
      <c r="E10">
        <v>141.44489999999999</v>
      </c>
      <c r="F10">
        <v>109.1977</v>
      </c>
      <c r="G10">
        <v>89.396749999999997</v>
      </c>
      <c r="H10">
        <v>76.334990000000005</v>
      </c>
      <c r="I10">
        <v>66.895979999999994</v>
      </c>
      <c r="J10">
        <v>60.206040000000002</v>
      </c>
      <c r="K10">
        <v>54.273049999999998</v>
      </c>
      <c r="L10">
        <v>48.481029999999997</v>
      </c>
      <c r="M10">
        <v>44.64902</v>
      </c>
      <c r="N10">
        <v>40.559019999999997</v>
      </c>
      <c r="O10">
        <v>37.660020000000003</v>
      </c>
      <c r="P10">
        <v>35.498980000000003</v>
      </c>
      <c r="Q10">
        <v>34.289990000000003</v>
      </c>
      <c r="R10">
        <v>32.845970000000001</v>
      </c>
      <c r="S10">
        <v>31.645980000000002</v>
      </c>
      <c r="T10">
        <v>29.973990000000001</v>
      </c>
      <c r="U10">
        <v>27.390999999999998</v>
      </c>
    </row>
    <row r="11" spans="1:24">
      <c r="A11" t="s">
        <v>8</v>
      </c>
      <c r="B11">
        <v>493.53120000000001</v>
      </c>
      <c r="C11">
        <v>311.93169999999998</v>
      </c>
      <c r="D11">
        <v>192.7046</v>
      </c>
      <c r="E11">
        <v>140.21190000000001</v>
      </c>
      <c r="F11">
        <v>112.58880000000001</v>
      </c>
      <c r="G11">
        <v>91.762770000000003</v>
      </c>
      <c r="H11">
        <v>77.956980000000001</v>
      </c>
      <c r="I11">
        <v>69.637990000000002</v>
      </c>
      <c r="J11">
        <v>60.545990000000003</v>
      </c>
      <c r="K11">
        <v>54.878050000000002</v>
      </c>
      <c r="L11">
        <v>49.565019999999997</v>
      </c>
      <c r="M11">
        <v>45.442019999999999</v>
      </c>
      <c r="N11">
        <v>41.825029999999998</v>
      </c>
      <c r="O11">
        <v>38.66901</v>
      </c>
      <c r="P11">
        <v>36.267980000000001</v>
      </c>
      <c r="Q11">
        <v>34.587989999999998</v>
      </c>
      <c r="R11">
        <v>33.375979999999998</v>
      </c>
      <c r="S11">
        <v>32.170990000000003</v>
      </c>
      <c r="T11">
        <v>31.218990000000002</v>
      </c>
      <c r="U11">
        <v>29.787009999999999</v>
      </c>
    </row>
    <row r="12" spans="1:24">
      <c r="A12" t="s">
        <v>9</v>
      </c>
      <c r="B12">
        <v>372.89769999999999</v>
      </c>
      <c r="C12">
        <v>233.45740000000001</v>
      </c>
      <c r="D12">
        <v>143.12209999999999</v>
      </c>
      <c r="E12">
        <v>99.304029999999997</v>
      </c>
      <c r="F12">
        <v>72.678039999999996</v>
      </c>
      <c r="G12">
        <v>56.376019999999997</v>
      </c>
      <c r="H12">
        <v>47.142029999999998</v>
      </c>
      <c r="I12">
        <v>39.692019999999999</v>
      </c>
      <c r="J12">
        <v>33.084009999999999</v>
      </c>
      <c r="K12">
        <v>31.072990000000001</v>
      </c>
      <c r="L12">
        <v>27.672000000000001</v>
      </c>
      <c r="M12">
        <v>26.44801</v>
      </c>
      <c r="N12">
        <v>24.04402</v>
      </c>
      <c r="O12">
        <v>21.67801</v>
      </c>
      <c r="P12">
        <v>19.542000000000002</v>
      </c>
      <c r="Q12">
        <v>17.89199</v>
      </c>
      <c r="R12">
        <v>16.697990000000001</v>
      </c>
      <c r="S12">
        <v>16.451989999999999</v>
      </c>
      <c r="T12">
        <v>15.05599</v>
      </c>
      <c r="U12">
        <v>13.656000000000001</v>
      </c>
    </row>
    <row r="13" spans="1:24">
      <c r="A13" t="s">
        <v>10</v>
      </c>
      <c r="B13">
        <v>335.4751</v>
      </c>
      <c r="C13">
        <v>207.1301</v>
      </c>
      <c r="D13">
        <v>124.39709999999999</v>
      </c>
      <c r="E13">
        <v>90.582949999999997</v>
      </c>
      <c r="F13">
        <v>69.440989999999999</v>
      </c>
      <c r="G13">
        <v>55.123959999999997</v>
      </c>
      <c r="H13">
        <v>46.36101</v>
      </c>
      <c r="I13">
        <v>39.920009999999998</v>
      </c>
      <c r="J13">
        <v>34.071019999999997</v>
      </c>
      <c r="K13">
        <v>29.721979999999999</v>
      </c>
      <c r="L13">
        <v>26.565000000000001</v>
      </c>
      <c r="M13">
        <v>24.629010000000001</v>
      </c>
      <c r="N13">
        <v>22.946010000000001</v>
      </c>
      <c r="O13">
        <v>21.501010000000001</v>
      </c>
      <c r="P13">
        <v>19.829999999999998</v>
      </c>
      <c r="Q13">
        <v>18.873989999999999</v>
      </c>
      <c r="R13">
        <v>17.68899</v>
      </c>
      <c r="S13">
        <v>16.49999</v>
      </c>
      <c r="T13">
        <v>15.335000000000001</v>
      </c>
      <c r="U13">
        <v>15.081</v>
      </c>
    </row>
    <row r="14" spans="1:24">
      <c r="A14" t="s">
        <v>11</v>
      </c>
      <c r="B14">
        <v>365.77460000000002</v>
      </c>
      <c r="C14">
        <v>245.07239999999999</v>
      </c>
      <c r="D14">
        <v>155.7371</v>
      </c>
      <c r="E14">
        <v>114.32210000000001</v>
      </c>
      <c r="F14">
        <v>85.122889999999998</v>
      </c>
      <c r="G14">
        <v>70.792900000000003</v>
      </c>
      <c r="H14">
        <v>58.757980000000003</v>
      </c>
      <c r="I14">
        <v>49.898989999999998</v>
      </c>
      <c r="J14">
        <v>43.329030000000003</v>
      </c>
      <c r="K14">
        <v>37.96799</v>
      </c>
      <c r="L14">
        <v>34.794989999999999</v>
      </c>
      <c r="M14">
        <v>32.827019999999997</v>
      </c>
      <c r="N14">
        <v>31.34102</v>
      </c>
      <c r="O14">
        <v>29.188020000000002</v>
      </c>
      <c r="P14">
        <v>27.282</v>
      </c>
      <c r="Q14">
        <v>24.919</v>
      </c>
      <c r="R14">
        <v>23.037980000000001</v>
      </c>
      <c r="S14">
        <v>20.918990000000001</v>
      </c>
      <c r="T14">
        <v>19.724989999999998</v>
      </c>
      <c r="U14">
        <v>19.701000000000001</v>
      </c>
    </row>
    <row r="15" spans="1:24">
      <c r="A15" t="s">
        <v>12</v>
      </c>
      <c r="B15">
        <v>1062.796</v>
      </c>
      <c r="C15">
        <v>790.38789999999995</v>
      </c>
      <c r="D15">
        <v>543.92290000000003</v>
      </c>
      <c r="E15">
        <v>403.1234</v>
      </c>
      <c r="F15">
        <v>317.93880000000001</v>
      </c>
      <c r="G15">
        <v>261.95229999999998</v>
      </c>
      <c r="H15">
        <v>220.43819999999999</v>
      </c>
      <c r="I15">
        <v>193.38229999999999</v>
      </c>
      <c r="J15">
        <v>170.81630000000001</v>
      </c>
      <c r="K15">
        <v>151.38489999999999</v>
      </c>
      <c r="L15">
        <v>139.27500000000001</v>
      </c>
      <c r="M15">
        <v>129.7679</v>
      </c>
      <c r="N15">
        <v>119.90900000000001</v>
      </c>
      <c r="O15">
        <v>107.97110000000001</v>
      </c>
      <c r="P15">
        <v>102.45910000000001</v>
      </c>
      <c r="Q15">
        <v>94.799109999999999</v>
      </c>
      <c r="R15">
        <v>86.377110000000002</v>
      </c>
      <c r="S15">
        <v>82.471080000000001</v>
      </c>
      <c r="T15">
        <v>80.682090000000002</v>
      </c>
      <c r="U15">
        <v>80.179019999999994</v>
      </c>
    </row>
    <row r="16" spans="1:24">
      <c r="A16" t="s">
        <v>13</v>
      </c>
      <c r="B16">
        <v>592.93579999999997</v>
      </c>
      <c r="C16">
        <v>370.95080000000002</v>
      </c>
      <c r="D16">
        <v>242.23419999999999</v>
      </c>
      <c r="E16">
        <v>181.3716</v>
      </c>
      <c r="F16">
        <v>140.10579999999999</v>
      </c>
      <c r="G16">
        <v>114.3175</v>
      </c>
      <c r="H16">
        <v>97.971810000000005</v>
      </c>
      <c r="I16">
        <v>84.545929999999998</v>
      </c>
      <c r="J16">
        <v>75.645020000000002</v>
      </c>
      <c r="K16">
        <v>67.067089999999993</v>
      </c>
      <c r="L16">
        <v>60.506050000000002</v>
      </c>
      <c r="M16">
        <v>57.32403</v>
      </c>
      <c r="N16">
        <v>52.747990000000001</v>
      </c>
      <c r="O16">
        <v>48.213000000000001</v>
      </c>
      <c r="P16">
        <v>43.713999999999999</v>
      </c>
      <c r="Q16">
        <v>41.808</v>
      </c>
      <c r="R16">
        <v>39.622970000000002</v>
      </c>
      <c r="S16">
        <v>36.999980000000001</v>
      </c>
      <c r="T16">
        <v>35.815989999999999</v>
      </c>
      <c r="U16">
        <v>33.924999999999997</v>
      </c>
    </row>
    <row r="17" spans="1:21">
      <c r="A17" t="s">
        <v>14</v>
      </c>
      <c r="B17">
        <v>608.64869999999996</v>
      </c>
      <c r="C17">
        <v>380.51920000000001</v>
      </c>
      <c r="D17">
        <v>241.1645</v>
      </c>
      <c r="E17">
        <v>173.0608</v>
      </c>
      <c r="F17">
        <v>138.73670000000001</v>
      </c>
      <c r="G17">
        <v>110.7055</v>
      </c>
      <c r="H17">
        <v>91.668869999999998</v>
      </c>
      <c r="I17">
        <v>80.97193</v>
      </c>
      <c r="J17">
        <v>69.763009999999994</v>
      </c>
      <c r="K17">
        <v>62.891069999999999</v>
      </c>
      <c r="L17">
        <v>55.161059999999999</v>
      </c>
      <c r="M17">
        <v>49.43103</v>
      </c>
      <c r="N17">
        <v>46.747010000000003</v>
      </c>
      <c r="O17">
        <v>45.015009999999997</v>
      </c>
      <c r="P17">
        <v>41.408990000000003</v>
      </c>
      <c r="Q17">
        <v>38.797989999999999</v>
      </c>
      <c r="R17">
        <v>37.099980000000002</v>
      </c>
      <c r="S17">
        <v>34.719990000000003</v>
      </c>
      <c r="T17">
        <v>33.067990000000002</v>
      </c>
      <c r="U17">
        <v>31.640999999999998</v>
      </c>
    </row>
    <row r="18" spans="1:21">
      <c r="A18" t="s">
        <v>15</v>
      </c>
      <c r="B18">
        <v>712.65470000000005</v>
      </c>
      <c r="C18">
        <v>461.67619999999999</v>
      </c>
      <c r="D18">
        <v>299.26799999999997</v>
      </c>
      <c r="E18">
        <v>221.04320000000001</v>
      </c>
      <c r="F18">
        <v>173.0008</v>
      </c>
      <c r="G18">
        <v>139.58439999999999</v>
      </c>
      <c r="H18">
        <v>119.33669999999999</v>
      </c>
      <c r="I18">
        <v>102.2159</v>
      </c>
      <c r="J18">
        <v>90.875060000000005</v>
      </c>
      <c r="K18">
        <v>82.704160000000002</v>
      </c>
      <c r="L18">
        <v>73.260080000000002</v>
      </c>
      <c r="M18">
        <v>66.548990000000003</v>
      </c>
      <c r="N18">
        <v>63.593969999999999</v>
      </c>
      <c r="O18">
        <v>57.189979999999998</v>
      </c>
      <c r="P18">
        <v>51.964959999999998</v>
      </c>
      <c r="Q18">
        <v>50.040990000000001</v>
      </c>
      <c r="R18">
        <v>47.147970000000001</v>
      </c>
      <c r="S18">
        <v>44.545000000000002</v>
      </c>
      <c r="T18">
        <v>43.091000000000001</v>
      </c>
      <c r="U18">
        <v>40.964010000000002</v>
      </c>
    </row>
    <row r="19" spans="1:21">
      <c r="A19" t="s">
        <v>16</v>
      </c>
      <c r="B19">
        <v>1500.6780000000001</v>
      </c>
      <c r="C19">
        <v>1022.472</v>
      </c>
      <c r="D19">
        <v>663.31899999999996</v>
      </c>
      <c r="E19">
        <v>476.23270000000002</v>
      </c>
      <c r="F19">
        <v>365.8922</v>
      </c>
      <c r="G19">
        <v>297.69459999999998</v>
      </c>
      <c r="H19">
        <v>248.43559999999999</v>
      </c>
      <c r="I19">
        <v>212.53530000000001</v>
      </c>
      <c r="J19">
        <v>184.89099999999999</v>
      </c>
      <c r="K19">
        <v>161.71610000000001</v>
      </c>
      <c r="L19">
        <v>144.13800000000001</v>
      </c>
      <c r="M19">
        <v>130.7398</v>
      </c>
      <c r="N19">
        <v>117.2379</v>
      </c>
      <c r="O19">
        <v>109.30289999999999</v>
      </c>
      <c r="P19">
        <v>101.258</v>
      </c>
      <c r="Q19">
        <v>95.399990000000003</v>
      </c>
      <c r="R19">
        <v>88.652029999999996</v>
      </c>
      <c r="S19">
        <v>83.789969999999997</v>
      </c>
      <c r="T19">
        <v>77.21499</v>
      </c>
      <c r="U19">
        <v>78.070980000000006</v>
      </c>
    </row>
    <row r="20" spans="1:21">
      <c r="A20" t="s">
        <v>17</v>
      </c>
      <c r="B20">
        <v>1517.9570000000001</v>
      </c>
      <c r="C20">
        <v>1062.913</v>
      </c>
      <c r="D20">
        <v>686.97940000000006</v>
      </c>
      <c r="E20">
        <v>482.68779999999998</v>
      </c>
      <c r="F20">
        <v>375.07870000000003</v>
      </c>
      <c r="G20">
        <v>303.4563</v>
      </c>
      <c r="H20">
        <v>252.691</v>
      </c>
      <c r="I20">
        <v>218.79169999999999</v>
      </c>
      <c r="J20">
        <v>192.0343</v>
      </c>
      <c r="K20">
        <v>172.2304</v>
      </c>
      <c r="L20">
        <v>154.79490000000001</v>
      </c>
      <c r="M20">
        <v>140.96190000000001</v>
      </c>
      <c r="N20">
        <v>127.892</v>
      </c>
      <c r="O20">
        <v>116.8331</v>
      </c>
      <c r="P20">
        <v>106.7071</v>
      </c>
      <c r="Q20">
        <v>99.345039999999997</v>
      </c>
      <c r="R20">
        <v>93.50806</v>
      </c>
      <c r="S20">
        <v>88.180080000000004</v>
      </c>
      <c r="T20">
        <v>85.008009999999999</v>
      </c>
      <c r="U20">
        <v>83.26097</v>
      </c>
    </row>
    <row r="21" spans="1:21">
      <c r="A21" t="s">
        <v>18</v>
      </c>
      <c r="B21">
        <v>1523.163</v>
      </c>
      <c r="C21">
        <v>1057.0719999999999</v>
      </c>
      <c r="D21">
        <v>686.65970000000004</v>
      </c>
      <c r="E21">
        <v>481.87099999999998</v>
      </c>
      <c r="F21">
        <v>370.673</v>
      </c>
      <c r="G21">
        <v>304.7158</v>
      </c>
      <c r="H21">
        <v>249.3058</v>
      </c>
      <c r="I21">
        <v>214.7868</v>
      </c>
      <c r="J21">
        <v>188.3391</v>
      </c>
      <c r="K21">
        <v>168.73560000000001</v>
      </c>
      <c r="L21">
        <v>151.35390000000001</v>
      </c>
      <c r="M21">
        <v>137.80199999999999</v>
      </c>
      <c r="N21">
        <v>125.688</v>
      </c>
      <c r="O21">
        <v>115.992</v>
      </c>
      <c r="P21">
        <v>108.4391</v>
      </c>
      <c r="Q21">
        <v>101.35509999999999</v>
      </c>
      <c r="R21">
        <v>95.785070000000005</v>
      </c>
      <c r="S21">
        <v>90.623019999999997</v>
      </c>
      <c r="T21">
        <v>85.963949999999997</v>
      </c>
      <c r="U21">
        <v>83.400940000000006</v>
      </c>
    </row>
    <row r="22" spans="1:21">
      <c r="A22" t="s">
        <v>19</v>
      </c>
      <c r="B22">
        <v>1421.826</v>
      </c>
      <c r="C22">
        <v>985.77200000000005</v>
      </c>
      <c r="D22">
        <v>653.27719999999999</v>
      </c>
      <c r="E22">
        <v>464.15710000000001</v>
      </c>
      <c r="F22">
        <v>360.2466</v>
      </c>
      <c r="G22">
        <v>295.60399999999998</v>
      </c>
      <c r="H22">
        <v>245.3528</v>
      </c>
      <c r="I22">
        <v>209.07939999999999</v>
      </c>
      <c r="J22">
        <v>183.54669999999999</v>
      </c>
      <c r="K22">
        <v>161.16380000000001</v>
      </c>
      <c r="L22">
        <v>145.517</v>
      </c>
      <c r="M22">
        <v>132.4478</v>
      </c>
      <c r="N22">
        <v>121.9679</v>
      </c>
      <c r="O22">
        <v>113.708</v>
      </c>
      <c r="P22">
        <v>108.218</v>
      </c>
      <c r="Q22">
        <v>101.822</v>
      </c>
      <c r="R22">
        <v>95.75103</v>
      </c>
      <c r="S22">
        <v>88.762039999999999</v>
      </c>
      <c r="T22">
        <v>85.043940000000006</v>
      </c>
      <c r="U22">
        <v>81.723929999999996</v>
      </c>
    </row>
    <row r="23" spans="1:21">
      <c r="A23" t="s">
        <v>20</v>
      </c>
      <c r="B23">
        <v>1514.028</v>
      </c>
      <c r="C23">
        <v>1062.6510000000001</v>
      </c>
      <c r="D23">
        <v>690.59339999999997</v>
      </c>
      <c r="E23">
        <v>482.99889999999999</v>
      </c>
      <c r="F23">
        <v>372.09379999999999</v>
      </c>
      <c r="G23">
        <v>301.41649999999998</v>
      </c>
      <c r="H23">
        <v>248.9906</v>
      </c>
      <c r="I23">
        <v>214.84200000000001</v>
      </c>
      <c r="J23">
        <v>189.9641</v>
      </c>
      <c r="K23">
        <v>170.30459999999999</v>
      </c>
      <c r="L23">
        <v>154.32980000000001</v>
      </c>
      <c r="M23">
        <v>139.3758</v>
      </c>
      <c r="N23">
        <v>126.79600000000001</v>
      </c>
      <c r="O23">
        <v>116.40009999999999</v>
      </c>
      <c r="P23">
        <v>108.592</v>
      </c>
      <c r="Q23">
        <v>99.905050000000003</v>
      </c>
      <c r="R23">
        <v>93.175030000000007</v>
      </c>
      <c r="S23">
        <v>88.481039999999993</v>
      </c>
      <c r="T23">
        <v>85.570009999999996</v>
      </c>
      <c r="U23">
        <v>83.941999999999993</v>
      </c>
    </row>
    <row r="24" spans="1:21">
      <c r="A24" t="s">
        <v>21</v>
      </c>
      <c r="B24">
        <v>1430.9670000000001</v>
      </c>
      <c r="C24">
        <v>996.07249999999999</v>
      </c>
      <c r="D24">
        <v>643.84469999999999</v>
      </c>
      <c r="E24">
        <v>451.51209999999998</v>
      </c>
      <c r="F24">
        <v>348.53070000000002</v>
      </c>
      <c r="G24">
        <v>287.45780000000002</v>
      </c>
      <c r="H24">
        <v>238.88800000000001</v>
      </c>
      <c r="I24">
        <v>211.13</v>
      </c>
      <c r="J24">
        <v>182.28190000000001</v>
      </c>
      <c r="K24">
        <v>162.5299</v>
      </c>
      <c r="L24">
        <v>146.3879</v>
      </c>
      <c r="M24">
        <v>133.3689</v>
      </c>
      <c r="N24">
        <v>121.43600000000001</v>
      </c>
      <c r="O24">
        <v>113.23699999999999</v>
      </c>
      <c r="P24">
        <v>104.65900000000001</v>
      </c>
      <c r="Q24">
        <v>97.093010000000007</v>
      </c>
      <c r="R24">
        <v>90.811019999999999</v>
      </c>
      <c r="S24">
        <v>86.049959999999999</v>
      </c>
      <c r="T24">
        <v>82.051959999999994</v>
      </c>
      <c r="U24">
        <v>79.000960000000006</v>
      </c>
    </row>
    <row r="25" spans="1:21">
      <c r="A25" t="s">
        <v>34</v>
      </c>
      <c r="B25">
        <v>1517.694</v>
      </c>
      <c r="C25">
        <v>1055.212</v>
      </c>
      <c r="D25">
        <v>688.02170000000001</v>
      </c>
      <c r="E25">
        <v>480.8526</v>
      </c>
      <c r="F25">
        <v>377.45</v>
      </c>
      <c r="G25">
        <v>303.83839999999998</v>
      </c>
      <c r="H25">
        <v>250.75059999999999</v>
      </c>
      <c r="I25">
        <v>214.36500000000001</v>
      </c>
      <c r="J25">
        <v>188.56219999999999</v>
      </c>
      <c r="K25">
        <v>170.20949999999999</v>
      </c>
      <c r="L25">
        <v>153.5608</v>
      </c>
      <c r="M25">
        <v>139.51990000000001</v>
      </c>
      <c r="N25">
        <v>127.20699999999999</v>
      </c>
      <c r="O25">
        <v>117.029</v>
      </c>
      <c r="P25">
        <v>108.07599999999999</v>
      </c>
      <c r="Q25">
        <v>100.33</v>
      </c>
      <c r="R25">
        <v>96.134010000000004</v>
      </c>
      <c r="S25">
        <v>90.184049999999999</v>
      </c>
      <c r="T25">
        <v>87.054029999999997</v>
      </c>
      <c r="U25">
        <v>85.417929999999998</v>
      </c>
    </row>
    <row r="26" spans="1:21">
      <c r="A26" t="s">
        <v>22</v>
      </c>
      <c r="B26">
        <v>1168.893</v>
      </c>
      <c r="C26">
        <v>720.41989999999998</v>
      </c>
      <c r="D26">
        <v>462.7901</v>
      </c>
      <c r="E26">
        <v>326.59570000000002</v>
      </c>
      <c r="F26">
        <v>250.01419999999999</v>
      </c>
      <c r="G26">
        <v>205.78440000000001</v>
      </c>
      <c r="H26">
        <v>171.3278</v>
      </c>
      <c r="I26">
        <v>146.19069999999999</v>
      </c>
      <c r="J26">
        <v>129.72710000000001</v>
      </c>
      <c r="K26">
        <v>114.5532</v>
      </c>
      <c r="L26">
        <v>100.3173</v>
      </c>
      <c r="M26">
        <v>94.181179999999998</v>
      </c>
      <c r="N26">
        <v>87.416150000000002</v>
      </c>
      <c r="O26">
        <v>79.525090000000006</v>
      </c>
      <c r="P26">
        <v>74.728059999999999</v>
      </c>
      <c r="Q26">
        <v>69.983050000000006</v>
      </c>
      <c r="R26">
        <v>64.961979999999997</v>
      </c>
      <c r="S26">
        <v>60.887990000000002</v>
      </c>
      <c r="T26">
        <v>58.037990000000001</v>
      </c>
      <c r="U26">
        <v>54.712020000000003</v>
      </c>
    </row>
    <row r="27" spans="1:21">
      <c r="A27" t="s">
        <v>23</v>
      </c>
      <c r="B27">
        <v>1452.961</v>
      </c>
      <c r="C27">
        <v>1004.538</v>
      </c>
      <c r="D27">
        <v>639.71119999999996</v>
      </c>
      <c r="E27">
        <v>445.22820000000002</v>
      </c>
      <c r="F27">
        <v>341.24869999999999</v>
      </c>
      <c r="G27">
        <v>274.64909999999998</v>
      </c>
      <c r="H27">
        <v>232.68770000000001</v>
      </c>
      <c r="I27">
        <v>198.7473</v>
      </c>
      <c r="J27">
        <v>176.10069999999999</v>
      </c>
      <c r="K27">
        <v>155.71279999999999</v>
      </c>
      <c r="L27">
        <v>139.20699999999999</v>
      </c>
      <c r="M27">
        <v>127.553</v>
      </c>
      <c r="N27">
        <v>118.843</v>
      </c>
      <c r="O27">
        <v>109.774</v>
      </c>
      <c r="P27">
        <v>100.9641</v>
      </c>
      <c r="Q27">
        <v>94.858099999999993</v>
      </c>
      <c r="R27">
        <v>88.917100000000005</v>
      </c>
      <c r="S27">
        <v>82.600989999999996</v>
      </c>
      <c r="T27">
        <v>78.881990000000002</v>
      </c>
      <c r="U27">
        <v>78.227959999999996</v>
      </c>
    </row>
    <row r="28" spans="1:21">
      <c r="A28" t="s">
        <v>24</v>
      </c>
      <c r="B28">
        <v>1452.617</v>
      </c>
      <c r="C28">
        <v>1013.624</v>
      </c>
      <c r="D28">
        <v>664.3297</v>
      </c>
      <c r="E28">
        <v>467.92090000000002</v>
      </c>
      <c r="F28">
        <v>361.13260000000002</v>
      </c>
      <c r="G28">
        <v>295.89679999999998</v>
      </c>
      <c r="H28">
        <v>246.506</v>
      </c>
      <c r="I28">
        <v>213.72890000000001</v>
      </c>
      <c r="J28">
        <v>192.8339</v>
      </c>
      <c r="K28">
        <v>173.9958</v>
      </c>
      <c r="L28">
        <v>155.5309</v>
      </c>
      <c r="M28">
        <v>140.32079999999999</v>
      </c>
      <c r="N28">
        <v>127.679</v>
      </c>
      <c r="O28">
        <v>118.304</v>
      </c>
      <c r="P28">
        <v>110.244</v>
      </c>
      <c r="Q28">
        <v>100.1161</v>
      </c>
      <c r="R28">
        <v>94.383099999999999</v>
      </c>
      <c r="S28">
        <v>89.700959999999995</v>
      </c>
      <c r="T28">
        <v>85.965959999999995</v>
      </c>
      <c r="U28">
        <v>81.397909999999996</v>
      </c>
    </row>
    <row r="29" spans="1:21">
      <c r="A29" t="s">
        <v>25</v>
      </c>
      <c r="B29">
        <v>1628.3430000000001</v>
      </c>
      <c r="C29">
        <v>1123.8620000000001</v>
      </c>
      <c r="D29">
        <v>744.10329999999999</v>
      </c>
      <c r="E29">
        <v>524.69500000000005</v>
      </c>
      <c r="F29">
        <v>403.18290000000002</v>
      </c>
      <c r="G29">
        <v>324.97070000000002</v>
      </c>
      <c r="H29">
        <v>267.53370000000001</v>
      </c>
      <c r="I29">
        <v>226.87299999999999</v>
      </c>
      <c r="J29">
        <v>196.00710000000001</v>
      </c>
      <c r="K29">
        <v>173.035</v>
      </c>
      <c r="L29">
        <v>153.79589999999999</v>
      </c>
      <c r="M29">
        <v>137.83789999999999</v>
      </c>
      <c r="N29">
        <v>123.3389</v>
      </c>
      <c r="O29">
        <v>112.158</v>
      </c>
      <c r="P29">
        <v>102.1071</v>
      </c>
      <c r="Q29">
        <v>95.777109999999993</v>
      </c>
      <c r="R29">
        <v>91.346130000000002</v>
      </c>
      <c r="S29">
        <v>87.696020000000004</v>
      </c>
      <c r="T29">
        <v>85.616010000000003</v>
      </c>
      <c r="U29">
        <v>84.651949999999999</v>
      </c>
    </row>
    <row r="30" spans="1:21">
      <c r="A30" t="s">
        <v>26</v>
      </c>
      <c r="B30">
        <v>1416.9670000000001</v>
      </c>
      <c r="C30">
        <v>874.91060000000004</v>
      </c>
      <c r="D30">
        <v>479.97859999999997</v>
      </c>
      <c r="E30">
        <v>316.3383</v>
      </c>
      <c r="F30">
        <v>228.93969999999999</v>
      </c>
      <c r="G30">
        <v>172.65860000000001</v>
      </c>
      <c r="H30">
        <v>138.929</v>
      </c>
      <c r="I30">
        <v>113.4909</v>
      </c>
      <c r="J30">
        <v>97.262029999999996</v>
      </c>
      <c r="K30">
        <v>85.907070000000004</v>
      </c>
      <c r="L30">
        <v>76.321020000000004</v>
      </c>
      <c r="M30">
        <v>64.827010000000001</v>
      </c>
      <c r="N30">
        <v>57.535980000000002</v>
      </c>
      <c r="O30">
        <v>50.490009999999998</v>
      </c>
      <c r="P30">
        <v>46.502000000000002</v>
      </c>
      <c r="Q30">
        <v>43.677019999999999</v>
      </c>
      <c r="R30">
        <v>40.345010000000002</v>
      </c>
      <c r="S30">
        <v>37.488990000000001</v>
      </c>
      <c r="T30">
        <v>35.82199</v>
      </c>
      <c r="U30">
        <v>34.237000000000002</v>
      </c>
    </row>
    <row r="31" spans="1:21">
      <c r="A31" t="s">
        <v>27</v>
      </c>
      <c r="B31">
        <v>1557.587</v>
      </c>
      <c r="C31">
        <v>928.39520000000005</v>
      </c>
      <c r="D31">
        <v>525.01769999999999</v>
      </c>
      <c r="E31">
        <v>349.48599999999999</v>
      </c>
      <c r="F31">
        <v>257.16750000000002</v>
      </c>
      <c r="G31">
        <v>204.50280000000001</v>
      </c>
      <c r="H31">
        <v>172.7182</v>
      </c>
      <c r="I31">
        <v>146.81290000000001</v>
      </c>
      <c r="J31">
        <v>126.0429</v>
      </c>
      <c r="K31">
        <v>112.04900000000001</v>
      </c>
      <c r="L31">
        <v>101.411</v>
      </c>
      <c r="M31">
        <v>93.072019999999995</v>
      </c>
      <c r="N31">
        <v>84.287049999999994</v>
      </c>
      <c r="O31">
        <v>78.337069999999997</v>
      </c>
      <c r="P31">
        <v>72.585080000000005</v>
      </c>
      <c r="Q31">
        <v>66.078029999999998</v>
      </c>
      <c r="R31">
        <v>61.914029999999997</v>
      </c>
      <c r="S31">
        <v>58.014049999999997</v>
      </c>
      <c r="T31">
        <v>55.356029999999997</v>
      </c>
      <c r="U31">
        <v>53.438000000000002</v>
      </c>
    </row>
    <row r="32" spans="1:21">
      <c r="A32" t="s">
        <v>28</v>
      </c>
      <c r="B32">
        <v>1295.33</v>
      </c>
      <c r="C32">
        <v>750.85209999999995</v>
      </c>
      <c r="D32">
        <v>419.20549999999997</v>
      </c>
      <c r="E32">
        <v>278.40559999999999</v>
      </c>
      <c r="F32">
        <v>212.95689999999999</v>
      </c>
      <c r="G32">
        <v>162.52610000000001</v>
      </c>
      <c r="H32">
        <v>135.1396</v>
      </c>
      <c r="I32">
        <v>114.6099</v>
      </c>
      <c r="J32">
        <v>95.827029999999993</v>
      </c>
      <c r="K32">
        <v>82.4251</v>
      </c>
      <c r="L32">
        <v>74.589160000000007</v>
      </c>
      <c r="M32">
        <v>68.546040000000005</v>
      </c>
      <c r="N32">
        <v>63.245989999999999</v>
      </c>
      <c r="O32">
        <v>59.590989999999998</v>
      </c>
      <c r="P32">
        <v>54.375999999999998</v>
      </c>
      <c r="Q32">
        <v>51.997010000000003</v>
      </c>
      <c r="R32">
        <v>49.83099</v>
      </c>
      <c r="S32">
        <v>45.09301</v>
      </c>
      <c r="T32">
        <v>41.590989999999998</v>
      </c>
      <c r="U32">
        <v>39.900010000000002</v>
      </c>
    </row>
    <row r="33" spans="1:21">
      <c r="A33" t="s">
        <v>29</v>
      </c>
      <c r="B33">
        <v>1246.5170000000001</v>
      </c>
      <c r="C33">
        <v>698.86509999999998</v>
      </c>
      <c r="D33">
        <v>379.11869999999999</v>
      </c>
      <c r="E33">
        <v>256.67439999999999</v>
      </c>
      <c r="F33">
        <v>186.28899999999999</v>
      </c>
      <c r="G33">
        <v>147.39930000000001</v>
      </c>
      <c r="H33">
        <v>118.1066</v>
      </c>
      <c r="I33">
        <v>101.10290000000001</v>
      </c>
      <c r="J33">
        <v>88.035039999999995</v>
      </c>
      <c r="K33">
        <v>78.426079999999999</v>
      </c>
      <c r="L33">
        <v>71.345119999999994</v>
      </c>
      <c r="M33">
        <v>62.708100000000002</v>
      </c>
      <c r="N33">
        <v>58.540970000000002</v>
      </c>
      <c r="O33">
        <v>53.74597</v>
      </c>
      <c r="P33">
        <v>49.399990000000003</v>
      </c>
      <c r="Q33">
        <v>45.623019999999997</v>
      </c>
      <c r="R33">
        <v>42.973979999999997</v>
      </c>
      <c r="S33">
        <v>40.84198</v>
      </c>
      <c r="T33">
        <v>38.464970000000001</v>
      </c>
      <c r="U33">
        <v>37.027979999999999</v>
      </c>
    </row>
    <row r="34" spans="1:21">
      <c r="A34" t="s">
        <v>30</v>
      </c>
      <c r="B34">
        <v>1230.5909999999999</v>
      </c>
      <c r="C34">
        <v>698.19100000000003</v>
      </c>
      <c r="D34">
        <v>384.14350000000002</v>
      </c>
      <c r="E34">
        <v>255.13929999999999</v>
      </c>
      <c r="F34">
        <v>186.5351</v>
      </c>
      <c r="G34">
        <v>146.40819999999999</v>
      </c>
      <c r="H34">
        <v>120.2056</v>
      </c>
      <c r="I34">
        <v>98.484960000000001</v>
      </c>
      <c r="J34">
        <v>84.426029999999997</v>
      </c>
      <c r="K34">
        <v>76.516090000000005</v>
      </c>
      <c r="L34">
        <v>69.156109999999998</v>
      </c>
      <c r="M34">
        <v>61.282110000000003</v>
      </c>
      <c r="N34">
        <v>57.318980000000003</v>
      </c>
      <c r="O34">
        <v>53.241970000000002</v>
      </c>
      <c r="P34">
        <v>50.753999999999998</v>
      </c>
      <c r="Q34">
        <v>47.414999999999999</v>
      </c>
      <c r="R34">
        <v>43.607979999999998</v>
      </c>
      <c r="S34">
        <v>40.29898</v>
      </c>
      <c r="T34">
        <v>37.465969999999999</v>
      </c>
      <c r="U34">
        <v>36.03998</v>
      </c>
    </row>
    <row r="35" spans="1:21">
      <c r="A35" t="s">
        <v>31</v>
      </c>
      <c r="B35">
        <v>4285.7579999999998</v>
      </c>
      <c r="C35">
        <v>2917.8760000000002</v>
      </c>
      <c r="D35">
        <v>1884.0229999999999</v>
      </c>
      <c r="E35">
        <v>1365.3879999999999</v>
      </c>
      <c r="F35">
        <v>1052.3510000000001</v>
      </c>
      <c r="G35">
        <v>841.63549999999998</v>
      </c>
      <c r="H35">
        <v>710.45839999999998</v>
      </c>
      <c r="I35">
        <v>601.90899999999999</v>
      </c>
      <c r="J35">
        <v>515.49189999999999</v>
      </c>
      <c r="K35">
        <v>450.51479999999998</v>
      </c>
      <c r="L35">
        <v>400.21170000000001</v>
      </c>
      <c r="M35">
        <v>357.62560000000002</v>
      </c>
      <c r="N35">
        <v>319.81020000000001</v>
      </c>
      <c r="O35">
        <v>288.20909999999998</v>
      </c>
      <c r="P35">
        <v>267.59859999999998</v>
      </c>
      <c r="Q35">
        <v>248.15649999999999</v>
      </c>
      <c r="R35">
        <v>223.61490000000001</v>
      </c>
      <c r="S35">
        <v>208.8553</v>
      </c>
      <c r="T35">
        <v>197.68899999999999</v>
      </c>
      <c r="U35">
        <v>197.94370000000001</v>
      </c>
    </row>
    <row r="36" spans="1:21">
      <c r="A36" t="s">
        <v>32</v>
      </c>
      <c r="B36">
        <v>4472.6679999999997</v>
      </c>
      <c r="C36">
        <v>3028.038</v>
      </c>
      <c r="D36">
        <v>1926.6679999999999</v>
      </c>
      <c r="E36">
        <v>1370.6420000000001</v>
      </c>
      <c r="F36">
        <v>1047.258</v>
      </c>
      <c r="G36">
        <v>842.16869999999994</v>
      </c>
      <c r="H36">
        <v>699.0163</v>
      </c>
      <c r="I36">
        <v>590.53970000000004</v>
      </c>
      <c r="J36">
        <v>498.38990000000001</v>
      </c>
      <c r="K36">
        <v>436.20909999999998</v>
      </c>
      <c r="L36">
        <v>385.61869999999999</v>
      </c>
      <c r="M36">
        <v>345.45299999999997</v>
      </c>
      <c r="N36">
        <v>312.96519999999998</v>
      </c>
      <c r="O36">
        <v>282.88740000000001</v>
      </c>
      <c r="P36">
        <v>255.34630000000001</v>
      </c>
      <c r="Q36">
        <v>237.19980000000001</v>
      </c>
      <c r="R36">
        <v>205.2287</v>
      </c>
      <c r="S36">
        <v>191.30609999999999</v>
      </c>
      <c r="T36">
        <v>187.5539</v>
      </c>
      <c r="U36">
        <v>176.51660000000001</v>
      </c>
    </row>
    <row r="37" spans="1:21">
      <c r="A37" t="s">
        <v>33</v>
      </c>
      <c r="B37">
        <v>5178.665</v>
      </c>
      <c r="C37">
        <v>3675.1619999999998</v>
      </c>
      <c r="D37">
        <v>2442.0479999999998</v>
      </c>
      <c r="E37">
        <v>1800.396</v>
      </c>
      <c r="F37">
        <v>1407.3030000000001</v>
      </c>
      <c r="G37">
        <v>1146.8019999999999</v>
      </c>
      <c r="H37">
        <v>957.19069999999999</v>
      </c>
      <c r="I37">
        <v>815.77970000000005</v>
      </c>
      <c r="J37">
        <v>702.22119999999995</v>
      </c>
      <c r="K37">
        <v>625.28880000000004</v>
      </c>
      <c r="L37">
        <v>556.80020000000002</v>
      </c>
      <c r="M37">
        <v>499.30799999999999</v>
      </c>
      <c r="N37">
        <v>449.98840000000001</v>
      </c>
      <c r="O37">
        <v>409.15370000000001</v>
      </c>
      <c r="P37">
        <v>380.62720000000002</v>
      </c>
      <c r="Q37">
        <v>353.50979999999998</v>
      </c>
      <c r="R37">
        <v>322.33769999999998</v>
      </c>
      <c r="S37">
        <v>298.59160000000003</v>
      </c>
      <c r="T37">
        <v>305.96899999999999</v>
      </c>
      <c r="U37">
        <v>292.92360000000002</v>
      </c>
    </row>
  </sheetData>
  <phoneticPr fontId="0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9"/>
  <dimension ref="A1:X37"/>
  <sheetViews>
    <sheetView zoomScale="75" zoomScaleNormal="75" workbookViewId="0">
      <selection activeCell="Y8" sqref="Y8"/>
    </sheetView>
  </sheetViews>
  <sheetFormatPr defaultRowHeight="15"/>
  <sheetData>
    <row r="1" spans="1:24">
      <c r="A1" s="1"/>
      <c r="B1" s="1" t="str">
        <f>"Chg_T_pos_den _1.4A"</f>
        <v>Chg_T_pos_den _1.4A</v>
      </c>
      <c r="C1" s="1" t="str">
        <f>"Chg_T_pos_den _2A"</f>
        <v>Chg_T_pos_den _2A</v>
      </c>
      <c r="D1" s="1" t="str">
        <f>"Chg_T_pos_den _3A"</f>
        <v>Chg_T_pos_den _3A</v>
      </c>
      <c r="E1" s="1" t="str">
        <f>"Chg_T_pos_den _4A"</f>
        <v>Chg_T_pos_den _4A</v>
      </c>
      <c r="F1" s="1" t="str">
        <f>"Chg_T_pos_den _5A"</f>
        <v>Chg_T_pos_den _5A</v>
      </c>
      <c r="G1" s="1" t="str">
        <f>"Chg_T_pos_den _6A"</f>
        <v>Chg_T_pos_den _6A</v>
      </c>
      <c r="H1" s="1" t="str">
        <f>"Chg_T_pos_den _7A"</f>
        <v>Chg_T_pos_den _7A</v>
      </c>
      <c r="I1" s="1" t="str">
        <f>"Chg_T_pos_den _8A"</f>
        <v>Chg_T_pos_den _8A</v>
      </c>
      <c r="J1" s="1" t="str">
        <f>"Chg_T_pos_den _9A"</f>
        <v>Chg_T_pos_den _9A</v>
      </c>
      <c r="K1" s="1" t="str">
        <f>"Chg_T_pos_den _10A"</f>
        <v>Chg_T_pos_den _10A</v>
      </c>
      <c r="L1" s="1" t="str">
        <f>"Chg_T_pos_den _11A"</f>
        <v>Chg_T_pos_den _11A</v>
      </c>
      <c r="M1" s="1" t="str">
        <f>"Chg_T_pos_den _12A"</f>
        <v>Chg_T_pos_den _12A</v>
      </c>
      <c r="N1" s="1" t="str">
        <f>"Chg_T_pos_den _13A"</f>
        <v>Chg_T_pos_den _13A</v>
      </c>
      <c r="O1" s="1" t="str">
        <f>"Chg_T_pos_den _14A"</f>
        <v>Chg_T_pos_den _14A</v>
      </c>
      <c r="P1" s="1" t="str">
        <f>"Chg_T_pos_den _15A"</f>
        <v>Chg_T_pos_den _15A</v>
      </c>
      <c r="Q1" s="1" t="str">
        <f>"Chg_T_pos_den _16A"</f>
        <v>Chg_T_pos_den _16A</v>
      </c>
      <c r="R1" s="1" t="str">
        <f>"Chg_T_pos_den _17A"</f>
        <v>Chg_T_pos_den _17A</v>
      </c>
      <c r="S1" s="1" t="str">
        <f>"Chg_T_pos_den _18A"</f>
        <v>Chg_T_pos_den _18A</v>
      </c>
      <c r="T1" s="1" t="str">
        <f>"Chg_T_pos_den _19A"</f>
        <v>Chg_T_pos_den _19A</v>
      </c>
      <c r="U1" s="1" t="str">
        <f>"Chg_T_pos_den _20A"</f>
        <v>Chg_T_pos_den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1.1998626965463898E-2</v>
      </c>
      <c r="C3">
        <v>1.2891618565599609E-2</v>
      </c>
      <c r="D3">
        <v>1.3414099056980168E-2</v>
      </c>
      <c r="E3">
        <v>1.3756650403234755E-2</v>
      </c>
      <c r="F3">
        <v>1.3610619983715249E-2</v>
      </c>
      <c r="G3">
        <v>1.3369453765846383E-2</v>
      </c>
      <c r="H3">
        <v>1.3432853494326861E-2</v>
      </c>
      <c r="I3">
        <v>1.3406187420034146E-2</v>
      </c>
      <c r="J3">
        <v>1.322082517563015E-2</v>
      </c>
      <c r="K3">
        <v>1.2886957200625285E-2</v>
      </c>
      <c r="L3">
        <v>1.2556870764035378E-2</v>
      </c>
      <c r="M3">
        <v>1.2436668450950917E-2</v>
      </c>
      <c r="N3">
        <v>1.2445516024541647E-2</v>
      </c>
      <c r="O3">
        <v>1.2295122932105201E-2</v>
      </c>
      <c r="P3">
        <v>1.2220777840982817E-2</v>
      </c>
      <c r="Q3">
        <v>1.2235723082771688E-2</v>
      </c>
      <c r="R3">
        <v>1.2205872168754803E-2</v>
      </c>
      <c r="S3">
        <v>1.2459059567796459E-2</v>
      </c>
      <c r="T3">
        <v>1.2261567900193008E-2</v>
      </c>
      <c r="U3">
        <v>1.1804655487998148E-2</v>
      </c>
    </row>
    <row r="4" spans="1:24">
      <c r="A4" t="s">
        <v>1</v>
      </c>
      <c r="B4">
        <v>9.6067164206848164E-3</v>
      </c>
      <c r="C4">
        <v>1.115203824373039E-2</v>
      </c>
      <c r="D4">
        <v>1.2649516236930513E-2</v>
      </c>
      <c r="E4">
        <v>1.3438188151082218E-2</v>
      </c>
      <c r="F4">
        <v>1.4057615143056524E-2</v>
      </c>
      <c r="G4">
        <v>1.4266849364438342E-2</v>
      </c>
      <c r="H4">
        <v>1.4181788792133249E-2</v>
      </c>
      <c r="I4">
        <v>1.4673592795103154E-2</v>
      </c>
      <c r="J4">
        <v>1.5227165940821132E-2</v>
      </c>
      <c r="K4">
        <v>1.5617490421452824E-2</v>
      </c>
      <c r="L4">
        <v>1.505473140646668E-2</v>
      </c>
      <c r="M4">
        <v>1.5426893477558323E-2</v>
      </c>
      <c r="N4">
        <v>1.567408118732657E-2</v>
      </c>
      <c r="O4">
        <v>1.5849077857260828E-2</v>
      </c>
      <c r="P4">
        <v>1.606351727612633E-2</v>
      </c>
      <c r="Q4">
        <v>1.6283525233430716E-2</v>
      </c>
      <c r="R4">
        <v>1.6777064097836275E-2</v>
      </c>
      <c r="S4">
        <v>1.6789729794727135E-2</v>
      </c>
      <c r="T4">
        <v>1.6430544621628344E-2</v>
      </c>
      <c r="U4">
        <v>1.6578055515367396E-2</v>
      </c>
    </row>
    <row r="5" spans="1:24">
      <c r="A5" t="s">
        <v>2</v>
      </c>
      <c r="B5">
        <v>1.0631716745576924E-2</v>
      </c>
      <c r="C5">
        <v>1.1795284971149867E-2</v>
      </c>
      <c r="D5">
        <v>1.3008540804326866E-2</v>
      </c>
      <c r="E5">
        <v>1.3971084815753484E-2</v>
      </c>
      <c r="F5">
        <v>1.4523226204396536E-2</v>
      </c>
      <c r="G5">
        <v>1.5092590989304457E-2</v>
      </c>
      <c r="H5">
        <v>1.5855096230391556E-2</v>
      </c>
      <c r="I5">
        <v>1.6297289581425699E-2</v>
      </c>
      <c r="J5">
        <v>1.6379042594513001E-2</v>
      </c>
      <c r="K5">
        <v>1.6746198522948518E-2</v>
      </c>
      <c r="L5">
        <v>1.6883558952744938E-2</v>
      </c>
      <c r="M5">
        <v>1.7284204316405288E-2</v>
      </c>
      <c r="N5">
        <v>1.7693458594368595E-2</v>
      </c>
      <c r="O5">
        <v>1.7701547252895685E-2</v>
      </c>
      <c r="P5">
        <v>1.7922431412719392E-2</v>
      </c>
      <c r="Q5">
        <v>1.8199998125514278E-2</v>
      </c>
      <c r="R5">
        <v>1.8065422301296506E-2</v>
      </c>
      <c r="S5">
        <v>1.810470432006726E-2</v>
      </c>
      <c r="T5">
        <v>1.8097064870827097E-2</v>
      </c>
      <c r="U5">
        <v>1.7956341530809616E-2</v>
      </c>
    </row>
    <row r="6" spans="1:24">
      <c r="A6" t="s">
        <v>3</v>
      </c>
      <c r="B6">
        <v>5.7824023316322597E-3</v>
      </c>
      <c r="C6">
        <v>6.4116058973281674E-3</v>
      </c>
      <c r="D6">
        <v>6.7446108785762775E-3</v>
      </c>
      <c r="E6">
        <v>6.7172253590948566E-3</v>
      </c>
      <c r="F6">
        <v>7.0650614424936451E-3</v>
      </c>
      <c r="G6">
        <v>7.1576656665276609E-3</v>
      </c>
      <c r="H6">
        <v>7.0710040376703647E-3</v>
      </c>
      <c r="I6">
        <v>7.3080954934844683E-3</v>
      </c>
      <c r="J6">
        <v>7.2344646703602737E-3</v>
      </c>
      <c r="K6">
        <v>7.2440679354651167E-3</v>
      </c>
      <c r="L6">
        <v>7.1217696633139012E-3</v>
      </c>
      <c r="M6">
        <v>7.1428831067729256E-3</v>
      </c>
      <c r="N6">
        <v>7.1113617225960915E-3</v>
      </c>
      <c r="O6">
        <v>6.7558345628856882E-3</v>
      </c>
      <c r="P6">
        <v>6.7754170218913669E-3</v>
      </c>
      <c r="Q6">
        <v>6.9364652362896148E-3</v>
      </c>
      <c r="R6">
        <v>6.876530064797895E-3</v>
      </c>
      <c r="S6">
        <v>7.0109269036045131E-3</v>
      </c>
      <c r="T6">
        <v>7.1885758344845318E-3</v>
      </c>
      <c r="U6">
        <v>6.9731821791798199E-3</v>
      </c>
    </row>
    <row r="7" spans="1:24">
      <c r="A7" t="s">
        <v>4</v>
      </c>
      <c r="B7">
        <v>6.5458295913525793E-3</v>
      </c>
      <c r="C7">
        <v>7.3735502403188451E-3</v>
      </c>
      <c r="D7">
        <v>7.999527156633237E-3</v>
      </c>
      <c r="E7">
        <v>8.5463112179178756E-3</v>
      </c>
      <c r="F7">
        <v>8.783844103466382E-3</v>
      </c>
      <c r="G7">
        <v>8.6028305506446433E-3</v>
      </c>
      <c r="H7">
        <v>8.8596254166604382E-3</v>
      </c>
      <c r="I7">
        <v>9.2816135641693911E-3</v>
      </c>
      <c r="J7">
        <v>9.5217476353133823E-3</v>
      </c>
      <c r="K7">
        <v>9.4624164393736793E-3</v>
      </c>
      <c r="L7">
        <v>9.4319431395128318E-3</v>
      </c>
      <c r="M7">
        <v>9.5945965270066401E-3</v>
      </c>
      <c r="N7">
        <v>9.8811748208392728E-3</v>
      </c>
      <c r="O7">
        <v>9.5800824427712122E-3</v>
      </c>
      <c r="P7">
        <v>9.813339982799596E-3</v>
      </c>
      <c r="Q7">
        <v>9.5713986554651284E-3</v>
      </c>
      <c r="R7">
        <v>9.7640764938271181E-3</v>
      </c>
      <c r="S7">
        <v>9.996084592557403E-3</v>
      </c>
      <c r="T7">
        <v>9.8133082092262975E-3</v>
      </c>
      <c r="U7">
        <v>9.9157648215129259E-3</v>
      </c>
    </row>
    <row r="8" spans="1:24">
      <c r="A8" t="s">
        <v>5</v>
      </c>
      <c r="B8">
        <v>5.7651197957888757E-3</v>
      </c>
      <c r="C8">
        <v>6.0636871067958464E-3</v>
      </c>
      <c r="D8">
        <v>6.2480324531909281E-3</v>
      </c>
      <c r="E8">
        <v>6.1260738032774499E-3</v>
      </c>
      <c r="F8">
        <v>6.0437671172812023E-3</v>
      </c>
      <c r="G8">
        <v>6.1137567794535882E-3</v>
      </c>
      <c r="H8">
        <v>6.1511711045585064E-3</v>
      </c>
      <c r="I8">
        <v>6.0249211313008859E-3</v>
      </c>
      <c r="J8">
        <v>6.0185172356781906E-3</v>
      </c>
      <c r="K8">
        <v>5.9751282310056266E-3</v>
      </c>
      <c r="L8">
        <v>5.8372932029988733E-3</v>
      </c>
      <c r="M8">
        <v>5.5834624118076392E-3</v>
      </c>
      <c r="N8">
        <v>5.621565200855232E-3</v>
      </c>
      <c r="O8">
        <v>5.4901242576226054E-3</v>
      </c>
      <c r="P8">
        <v>5.584748181031122E-3</v>
      </c>
      <c r="Q8">
        <v>5.4648574364243516E-3</v>
      </c>
      <c r="R8">
        <v>5.4899990702230589E-3</v>
      </c>
      <c r="S8">
        <v>5.3749783791323755E-3</v>
      </c>
      <c r="T8">
        <v>5.4081787139100669E-3</v>
      </c>
      <c r="U8">
        <v>5.4625341011606812E-3</v>
      </c>
    </row>
    <row r="9" spans="1:24">
      <c r="A9" t="s">
        <v>6</v>
      </c>
      <c r="B9">
        <v>6.2735544589060943E-3</v>
      </c>
      <c r="C9">
        <v>6.9984105130871752E-3</v>
      </c>
      <c r="D9">
        <v>7.3863486615083716E-3</v>
      </c>
      <c r="E9">
        <v>7.4569869569182231E-3</v>
      </c>
      <c r="F9">
        <v>7.6026742192199454E-3</v>
      </c>
      <c r="G9">
        <v>7.5198965294244443E-3</v>
      </c>
      <c r="H9">
        <v>7.4837229049420657E-3</v>
      </c>
      <c r="I9">
        <v>7.6963226376544078E-3</v>
      </c>
      <c r="J9">
        <v>7.7035575532119543E-3</v>
      </c>
      <c r="K9">
        <v>7.7029493965227527E-3</v>
      </c>
      <c r="L9">
        <v>7.5604548375458594E-3</v>
      </c>
      <c r="M9">
        <v>7.5920654644616378E-3</v>
      </c>
      <c r="N9">
        <v>7.6024998801591491E-3</v>
      </c>
      <c r="O9">
        <v>7.4684657048458931E-3</v>
      </c>
      <c r="P9">
        <v>7.4859413952723577E-3</v>
      </c>
      <c r="Q9">
        <v>7.3588779807061966E-3</v>
      </c>
      <c r="R9">
        <v>7.3881690518641484E-3</v>
      </c>
      <c r="S9">
        <v>7.6000272931291413E-3</v>
      </c>
      <c r="T9">
        <v>7.6256331692688816E-3</v>
      </c>
      <c r="U9">
        <v>7.3839399423326398E-3</v>
      </c>
    </row>
    <row r="10" spans="1:24">
      <c r="A10" t="s">
        <v>7</v>
      </c>
      <c r="B10">
        <v>8.349895658132437E-3</v>
      </c>
      <c r="C10">
        <v>9.6192293564273217E-3</v>
      </c>
      <c r="D10">
        <v>1.0579535910396079E-2</v>
      </c>
      <c r="E10">
        <v>1.1254509706606602E-2</v>
      </c>
      <c r="F10">
        <v>1.1599539184433372E-2</v>
      </c>
      <c r="G10">
        <v>1.1820452085786116E-2</v>
      </c>
      <c r="H10">
        <v>1.1945563888853591E-2</v>
      </c>
      <c r="I10">
        <v>1.2220293356940134E-2</v>
      </c>
      <c r="J10">
        <v>1.2165616605908642E-2</v>
      </c>
      <c r="K10">
        <v>1.2140469348967859E-2</v>
      </c>
      <c r="L10">
        <v>1.2164714734814834E-2</v>
      </c>
      <c r="M10">
        <v>1.1845218551269436E-2</v>
      </c>
      <c r="N10">
        <v>1.2221557621461269E-2</v>
      </c>
      <c r="O10">
        <v>1.1817240139543207E-2</v>
      </c>
      <c r="P10">
        <v>1.1619987391187013E-2</v>
      </c>
      <c r="Q10">
        <v>1.124618000763488E-2</v>
      </c>
      <c r="R10">
        <v>1.1057636598949582E-2</v>
      </c>
      <c r="S10">
        <v>1.130686109262535E-2</v>
      </c>
      <c r="T10">
        <v>1.0960569480406178E-2</v>
      </c>
      <c r="U10">
        <v>1.1248884670147129E-2</v>
      </c>
    </row>
    <row r="11" spans="1:24">
      <c r="A11" t="s">
        <v>8</v>
      </c>
      <c r="B11">
        <v>8.4371991071689086E-3</v>
      </c>
      <c r="C11">
        <v>9.893063128883663E-3</v>
      </c>
      <c r="D11">
        <v>1.0972036993408563E-2</v>
      </c>
      <c r="E11">
        <v>1.1827541028971149E-2</v>
      </c>
      <c r="F11">
        <v>1.2218471109026831E-2</v>
      </c>
      <c r="G11">
        <v>1.2929284937671344E-2</v>
      </c>
      <c r="H11">
        <v>1.3076891896017523E-2</v>
      </c>
      <c r="I11">
        <v>1.3368599524483689E-2</v>
      </c>
      <c r="J11">
        <v>1.3386098732550249E-2</v>
      </c>
      <c r="K11">
        <v>1.325011912777513E-2</v>
      </c>
      <c r="L11">
        <v>1.3153784665072263E-2</v>
      </c>
      <c r="M11">
        <v>1.3215922179515789E-2</v>
      </c>
      <c r="N11">
        <v>1.3707093575306462E-2</v>
      </c>
      <c r="O11">
        <v>1.3774422981090027E-2</v>
      </c>
      <c r="P11">
        <v>1.3919267078012063E-2</v>
      </c>
      <c r="Q11">
        <v>1.3729334951235964E-2</v>
      </c>
      <c r="R11">
        <v>1.3743994932882871E-2</v>
      </c>
      <c r="S11">
        <v>1.3725409134129847E-2</v>
      </c>
      <c r="T11">
        <v>1.4002307569847711E-2</v>
      </c>
      <c r="U11">
        <v>1.3935722316539997E-2</v>
      </c>
    </row>
    <row r="12" spans="1:24">
      <c r="A12" t="s">
        <v>9</v>
      </c>
      <c r="B12">
        <v>7.7759637562795376E-3</v>
      </c>
      <c r="C12">
        <v>8.748354089439872E-3</v>
      </c>
      <c r="D12">
        <v>9.7424436896887349E-3</v>
      </c>
      <c r="E12">
        <v>9.5682773398018187E-3</v>
      </c>
      <c r="F12">
        <v>9.7728667421410932E-3</v>
      </c>
      <c r="G12">
        <v>9.8725468736530174E-3</v>
      </c>
      <c r="H12">
        <v>9.9585656366516263E-3</v>
      </c>
      <c r="I12">
        <v>1.0331656086034422E-2</v>
      </c>
      <c r="J12">
        <v>1.0414780433206252E-2</v>
      </c>
      <c r="K12">
        <v>1.0314005829500155E-2</v>
      </c>
      <c r="L12">
        <v>9.9387395200925127E-3</v>
      </c>
      <c r="M12">
        <v>9.8638044979565565E-3</v>
      </c>
      <c r="N12">
        <v>9.0715695628268492E-3</v>
      </c>
      <c r="O12">
        <v>9.2190888370288597E-3</v>
      </c>
      <c r="P12">
        <v>9.2870586429229345E-3</v>
      </c>
      <c r="Q12">
        <v>9.3052757127630847E-3</v>
      </c>
      <c r="R12">
        <v>9.0041555899841828E-3</v>
      </c>
      <c r="S12">
        <v>9.1132318947434333E-3</v>
      </c>
      <c r="T12">
        <v>9.6580430778713325E-3</v>
      </c>
      <c r="U12">
        <v>9.1330623901581722E-3</v>
      </c>
    </row>
    <row r="13" spans="1:24">
      <c r="A13" t="s">
        <v>10</v>
      </c>
      <c r="B13">
        <v>6.9208087276820254E-3</v>
      </c>
      <c r="C13">
        <v>7.5257096868103675E-3</v>
      </c>
      <c r="D13">
        <v>8.526573368671778E-3</v>
      </c>
      <c r="E13">
        <v>8.6815598299680025E-3</v>
      </c>
      <c r="F13">
        <v>9.1472198193026915E-3</v>
      </c>
      <c r="G13">
        <v>9.4362397041141462E-3</v>
      </c>
      <c r="H13">
        <v>1.0009572699127996E-2</v>
      </c>
      <c r="I13">
        <v>1.0382550004371242E-2</v>
      </c>
      <c r="J13">
        <v>1.012663548082799E-2</v>
      </c>
      <c r="K13">
        <v>1.0165433123903589E-2</v>
      </c>
      <c r="L13">
        <v>1.0085066817240728E-2</v>
      </c>
      <c r="M13">
        <v>9.696520485395068E-3</v>
      </c>
      <c r="N13">
        <v>9.9557047172907174E-3</v>
      </c>
      <c r="O13">
        <v>9.5834335224252252E-3</v>
      </c>
      <c r="P13">
        <v>1.0037917297024711E-2</v>
      </c>
      <c r="Q13">
        <v>1.0092015519770859E-2</v>
      </c>
      <c r="R13">
        <v>9.9087511497264677E-3</v>
      </c>
      <c r="S13">
        <v>1.0463254826215046E-2</v>
      </c>
      <c r="T13">
        <v>1.0731679165308119E-2</v>
      </c>
      <c r="U13">
        <v>1.0843518334327963E-2</v>
      </c>
    </row>
    <row r="14" spans="1:24">
      <c r="A14" t="s">
        <v>11</v>
      </c>
      <c r="B14">
        <v>8.4167927461338207E-3</v>
      </c>
      <c r="C14">
        <v>9.7231838428154284E-3</v>
      </c>
      <c r="D14">
        <v>1.090648920520544E-2</v>
      </c>
      <c r="E14">
        <v>1.1682351881219815E-2</v>
      </c>
      <c r="F14">
        <v>1.2088323129066695E-2</v>
      </c>
      <c r="G14">
        <v>1.2249465695006137E-2</v>
      </c>
      <c r="H14">
        <v>1.2818541413438651E-2</v>
      </c>
      <c r="I14">
        <v>1.3279124487289223E-2</v>
      </c>
      <c r="J14">
        <v>1.3721528037899763E-2</v>
      </c>
      <c r="K14">
        <v>1.3506451092090994E-2</v>
      </c>
      <c r="L14">
        <v>1.3610117433573052E-2</v>
      </c>
      <c r="M14">
        <v>1.3512560689334581E-2</v>
      </c>
      <c r="N14">
        <v>1.3430500985609274E-2</v>
      </c>
      <c r="O14">
        <v>1.3627337517241662E-2</v>
      </c>
      <c r="P14">
        <v>1.4230386335312661E-2</v>
      </c>
      <c r="Q14">
        <v>1.4343842048236284E-2</v>
      </c>
      <c r="R14">
        <v>1.4528096647362312E-2</v>
      </c>
      <c r="S14">
        <v>1.4308152544649623E-2</v>
      </c>
      <c r="T14">
        <v>1.3819707893388032E-2</v>
      </c>
      <c r="U14">
        <v>1.3818811227856453E-2</v>
      </c>
    </row>
    <row r="15" spans="1:24">
      <c r="A15" t="s">
        <v>12</v>
      </c>
      <c r="B15">
        <v>7.8359892208852873E-3</v>
      </c>
      <c r="C15">
        <v>8.5832272988996938E-3</v>
      </c>
      <c r="D15">
        <v>9.2338950980001017E-3</v>
      </c>
      <c r="E15">
        <v>9.4608177049508909E-3</v>
      </c>
      <c r="F15">
        <v>9.4424933351953261E-3</v>
      </c>
      <c r="G15">
        <v>9.3410212469980242E-3</v>
      </c>
      <c r="H15">
        <v>9.3707624177660678E-3</v>
      </c>
      <c r="I15">
        <v>9.2973296935655435E-3</v>
      </c>
      <c r="J15">
        <v>9.3253044352324677E-3</v>
      </c>
      <c r="K15">
        <v>9.4104299702282065E-3</v>
      </c>
      <c r="L15">
        <v>9.5886339974869846E-3</v>
      </c>
      <c r="M15">
        <v>9.8269602883301645E-3</v>
      </c>
      <c r="N15">
        <v>9.8656814751186313E-3</v>
      </c>
      <c r="O15">
        <v>9.6471463197096239E-3</v>
      </c>
      <c r="P15">
        <v>9.8620717925494168E-3</v>
      </c>
      <c r="Q15">
        <v>9.7212832483342931E-3</v>
      </c>
      <c r="R15">
        <v>1.0144421363483914E-2</v>
      </c>
      <c r="S15">
        <v>1.012799880879455E-2</v>
      </c>
      <c r="T15">
        <v>9.8914294361982947E-3</v>
      </c>
      <c r="U15">
        <v>9.6592263163106755E-3</v>
      </c>
    </row>
    <row r="16" spans="1:24">
      <c r="A16" t="s">
        <v>13</v>
      </c>
      <c r="B16">
        <v>1.1116959036711902E-2</v>
      </c>
      <c r="C16">
        <v>1.3033051822505842E-2</v>
      </c>
      <c r="D16">
        <v>1.4737576279484896E-2</v>
      </c>
      <c r="E16">
        <v>1.5738037267135539E-2</v>
      </c>
      <c r="F16">
        <v>1.6258277673015679E-2</v>
      </c>
      <c r="G16">
        <v>1.6577470640977979E-2</v>
      </c>
      <c r="H16">
        <v>1.6807855239175429E-2</v>
      </c>
      <c r="I16">
        <v>1.7436782586695777E-2</v>
      </c>
      <c r="J16">
        <v>1.7816942873437009E-2</v>
      </c>
      <c r="K16">
        <v>1.7978639001632546E-2</v>
      </c>
      <c r="L16">
        <v>1.8276569037311143E-2</v>
      </c>
      <c r="M16">
        <v>1.8357659082936073E-2</v>
      </c>
      <c r="N16">
        <v>1.8578398911503546E-2</v>
      </c>
      <c r="O16">
        <v>1.8522234666998528E-2</v>
      </c>
      <c r="P16">
        <v>1.8573376950176145E-2</v>
      </c>
      <c r="Q16">
        <v>1.8833043915040183E-2</v>
      </c>
      <c r="R16">
        <v>1.9204438738438839E-2</v>
      </c>
      <c r="S16">
        <v>1.9082380585070585E-2</v>
      </c>
      <c r="T16">
        <v>1.880112765276068E-2</v>
      </c>
      <c r="U16">
        <v>1.8463363301400148E-2</v>
      </c>
    </row>
    <row r="17" spans="1:21">
      <c r="A17" t="s">
        <v>14</v>
      </c>
      <c r="B17">
        <v>1.1395223550136557E-2</v>
      </c>
      <c r="C17">
        <v>1.3388533351273733E-2</v>
      </c>
      <c r="D17">
        <v>1.5131157363542312E-2</v>
      </c>
      <c r="E17">
        <v>1.5932493089133991E-2</v>
      </c>
      <c r="F17">
        <v>1.6370361987851807E-2</v>
      </c>
      <c r="G17">
        <v>1.7113919362633293E-2</v>
      </c>
      <c r="H17">
        <v>1.7065313448284023E-2</v>
      </c>
      <c r="I17">
        <v>1.7223264901799918E-2</v>
      </c>
      <c r="J17">
        <v>1.7343173696203765E-2</v>
      </c>
      <c r="K17">
        <v>1.7539024220767752E-2</v>
      </c>
      <c r="L17">
        <v>1.7760673924685274E-2</v>
      </c>
      <c r="M17">
        <v>1.7899730189720912E-2</v>
      </c>
      <c r="N17">
        <v>1.8067812251521542E-2</v>
      </c>
      <c r="O17">
        <v>1.8088935224050823E-2</v>
      </c>
      <c r="P17">
        <v>1.8091552100159891E-2</v>
      </c>
      <c r="Q17">
        <v>1.8143285257818768E-2</v>
      </c>
      <c r="R17">
        <v>1.8283125759097442E-2</v>
      </c>
      <c r="S17">
        <v>1.7992758638467349E-2</v>
      </c>
      <c r="T17">
        <v>1.7862473648988041E-2</v>
      </c>
      <c r="U17">
        <v>1.7613991340349546E-2</v>
      </c>
    </row>
    <row r="18" spans="1:21">
      <c r="A18" t="s">
        <v>15</v>
      </c>
      <c r="B18">
        <v>1.0585172594806432E-2</v>
      </c>
      <c r="C18">
        <v>1.2410791372827969E-2</v>
      </c>
      <c r="D18">
        <v>1.3736954836467648E-2</v>
      </c>
      <c r="E18">
        <v>1.4326204108518153E-2</v>
      </c>
      <c r="F18">
        <v>1.4399534568626273E-2</v>
      </c>
      <c r="G18">
        <v>1.4518757110393425E-2</v>
      </c>
      <c r="H18">
        <v>1.4741081327035188E-2</v>
      </c>
      <c r="I18">
        <v>1.4683107031293566E-2</v>
      </c>
      <c r="J18">
        <v>1.4410994611722953E-2</v>
      </c>
      <c r="K18">
        <v>1.4404668398784294E-2</v>
      </c>
      <c r="L18">
        <v>1.4735105394370304E-2</v>
      </c>
      <c r="M18">
        <v>1.5040919479018389E-2</v>
      </c>
      <c r="N18">
        <v>1.5302277873200872E-2</v>
      </c>
      <c r="O18">
        <v>1.5321566819921952E-2</v>
      </c>
      <c r="P18">
        <v>1.5087089454124472E-2</v>
      </c>
      <c r="Q18">
        <v>1.4896126155777494E-2</v>
      </c>
      <c r="R18">
        <v>1.4959218816844075E-2</v>
      </c>
      <c r="S18">
        <v>1.4856536087102931E-2</v>
      </c>
      <c r="T18">
        <v>1.4696400640504979E-2</v>
      </c>
      <c r="U18">
        <v>1.4590851823344443E-2</v>
      </c>
    </row>
    <row r="19" spans="1:21">
      <c r="A19" t="s">
        <v>16</v>
      </c>
      <c r="B19">
        <v>1.1525697051599343E-2</v>
      </c>
      <c r="C19">
        <v>1.2755420197325696E-2</v>
      </c>
      <c r="D19">
        <v>1.3840253332107177E-2</v>
      </c>
      <c r="E19">
        <v>1.4360267575074116E-2</v>
      </c>
      <c r="F19">
        <v>1.4453983987633515E-2</v>
      </c>
      <c r="G19">
        <v>1.4816456193696493E-2</v>
      </c>
      <c r="H19">
        <v>1.4779375419625851E-2</v>
      </c>
      <c r="I19">
        <v>1.4916472698888137E-2</v>
      </c>
      <c r="J19">
        <v>1.4933604123510611E-2</v>
      </c>
      <c r="K19">
        <v>1.4937547962138586E-2</v>
      </c>
      <c r="L19">
        <v>1.5379774937906729E-2</v>
      </c>
      <c r="M19">
        <v>1.5473451848633699E-2</v>
      </c>
      <c r="N19">
        <v>1.566838880600898E-2</v>
      </c>
      <c r="O19">
        <v>1.5567153296024169E-2</v>
      </c>
      <c r="P19">
        <v>1.5584319263663118E-2</v>
      </c>
      <c r="Q19">
        <v>1.5890441917237097E-2</v>
      </c>
      <c r="R19">
        <v>1.5685754742446396E-2</v>
      </c>
      <c r="S19">
        <v>1.5697833523511229E-2</v>
      </c>
      <c r="T19">
        <v>1.5659187419437601E-2</v>
      </c>
      <c r="U19">
        <v>1.4896995016586187E-2</v>
      </c>
    </row>
    <row r="20" spans="1:21">
      <c r="A20" t="s">
        <v>17</v>
      </c>
      <c r="B20">
        <v>1.2038615059583374E-2</v>
      </c>
      <c r="C20">
        <v>1.3453340019361886E-2</v>
      </c>
      <c r="D20">
        <v>1.4582096639287872E-2</v>
      </c>
      <c r="E20">
        <v>1.4950112681530381E-2</v>
      </c>
      <c r="F20">
        <v>1.5104270117178072E-2</v>
      </c>
      <c r="G20">
        <v>1.5332438311546013E-2</v>
      </c>
      <c r="H20">
        <v>1.5439168787174851E-2</v>
      </c>
      <c r="I20">
        <v>1.5718809260131899E-2</v>
      </c>
      <c r="J20">
        <v>1.5905294002165237E-2</v>
      </c>
      <c r="K20">
        <v>1.5779717169558918E-2</v>
      </c>
      <c r="L20">
        <v>1.5629707438681764E-2</v>
      </c>
      <c r="M20">
        <v>1.5778880676267842E-2</v>
      </c>
      <c r="N20">
        <v>1.5991500641165984E-2</v>
      </c>
      <c r="O20">
        <v>1.6158639974459293E-2</v>
      </c>
      <c r="P20">
        <v>1.650556523417842E-2</v>
      </c>
      <c r="Q20">
        <v>1.6571134301219266E-2</v>
      </c>
      <c r="R20">
        <v>1.6701458676396452E-2</v>
      </c>
      <c r="S20">
        <v>1.6800393013932397E-2</v>
      </c>
      <c r="T20">
        <v>1.661379909963779E-2</v>
      </c>
      <c r="U20">
        <v>1.622419243974698E-2</v>
      </c>
    </row>
    <row r="21" spans="1:21">
      <c r="A21" t="s">
        <v>18</v>
      </c>
      <c r="B21">
        <v>1.1977378652186274E-2</v>
      </c>
      <c r="C21">
        <v>1.3491711066039023E-2</v>
      </c>
      <c r="D21">
        <v>1.4578997427692347E-2</v>
      </c>
      <c r="E21">
        <v>1.4890877434002046E-2</v>
      </c>
      <c r="F21">
        <v>1.5094174649893573E-2</v>
      </c>
      <c r="G21">
        <v>1.5251749334954079E-2</v>
      </c>
      <c r="H21">
        <v>1.5359642655726421E-2</v>
      </c>
      <c r="I21">
        <v>1.560136377095799E-2</v>
      </c>
      <c r="J21">
        <v>1.5667394608979229E-2</v>
      </c>
      <c r="K21">
        <v>1.5828521070835079E-2</v>
      </c>
      <c r="L21">
        <v>1.6057828704777344E-2</v>
      </c>
      <c r="M21">
        <v>1.6056914993976865E-2</v>
      </c>
      <c r="N21">
        <v>1.6046241486856343E-2</v>
      </c>
      <c r="O21">
        <v>1.6433047106697012E-2</v>
      </c>
      <c r="P21">
        <v>1.6648358387334458E-2</v>
      </c>
      <c r="Q21">
        <v>1.6668426157144537E-2</v>
      </c>
      <c r="R21">
        <v>1.6697341245352746E-2</v>
      </c>
      <c r="S21">
        <v>1.6739356070896778E-2</v>
      </c>
      <c r="T21">
        <v>1.6567177287688618E-2</v>
      </c>
      <c r="U21">
        <v>1.6469094952646816E-2</v>
      </c>
    </row>
    <row r="22" spans="1:21">
      <c r="A22" t="s">
        <v>19</v>
      </c>
      <c r="B22">
        <v>1.1627562022357166E-2</v>
      </c>
      <c r="C22">
        <v>1.2838465689834971E-2</v>
      </c>
      <c r="D22">
        <v>1.3458300702978768E-2</v>
      </c>
      <c r="E22">
        <v>1.3409655911759185E-2</v>
      </c>
      <c r="F22">
        <v>1.3389467103922701E-2</v>
      </c>
      <c r="G22">
        <v>1.357049972260186E-2</v>
      </c>
      <c r="H22">
        <v>1.3935296438434776E-2</v>
      </c>
      <c r="I22">
        <v>1.4039321903544778E-2</v>
      </c>
      <c r="J22">
        <v>1.4208024442825722E-2</v>
      </c>
      <c r="K22">
        <v>1.4189389925032792E-2</v>
      </c>
      <c r="L22">
        <v>1.4412604712851419E-2</v>
      </c>
      <c r="M22">
        <v>1.4302328917505613E-2</v>
      </c>
      <c r="N22">
        <v>1.4214715511212376E-2</v>
      </c>
      <c r="O22">
        <v>1.4411483800612093E-2</v>
      </c>
      <c r="P22">
        <v>1.4459027148903139E-2</v>
      </c>
      <c r="Q22">
        <v>1.4613600204278054E-2</v>
      </c>
      <c r="R22">
        <v>1.483026344468566E-2</v>
      </c>
      <c r="S22">
        <v>1.5074304285931237E-2</v>
      </c>
      <c r="T22">
        <v>1.5128120827892026E-2</v>
      </c>
      <c r="U22">
        <v>1.4878261483509177E-2</v>
      </c>
    </row>
    <row r="23" spans="1:21">
      <c r="A23" t="s">
        <v>20</v>
      </c>
      <c r="B23">
        <v>1.202365478049283E-2</v>
      </c>
      <c r="C23">
        <v>1.3485509353494232E-2</v>
      </c>
      <c r="D23">
        <v>1.4469427307008726E-2</v>
      </c>
      <c r="E23">
        <v>1.4745480786809245E-2</v>
      </c>
      <c r="F23">
        <v>1.4961552705258728E-2</v>
      </c>
      <c r="G23">
        <v>1.5324827937422141E-2</v>
      </c>
      <c r="H23">
        <v>1.5519469409688558E-2</v>
      </c>
      <c r="I23">
        <v>1.5827729214957967E-2</v>
      </c>
      <c r="J23">
        <v>1.6006487541593385E-2</v>
      </c>
      <c r="K23">
        <v>1.5729363740028163E-2</v>
      </c>
      <c r="L23">
        <v>1.5616854295152329E-2</v>
      </c>
      <c r="M23">
        <v>1.5849193331984462E-2</v>
      </c>
      <c r="N23">
        <v>1.5998951071011701E-2</v>
      </c>
      <c r="O23">
        <v>1.6393645709926366E-2</v>
      </c>
      <c r="P23">
        <v>1.6698274274348019E-2</v>
      </c>
      <c r="Q23">
        <v>1.6784807174412105E-2</v>
      </c>
      <c r="R23">
        <v>1.6593855671417544E-2</v>
      </c>
      <c r="S23">
        <v>1.6491793044023897E-2</v>
      </c>
      <c r="T23">
        <v>1.6561222792892044E-2</v>
      </c>
      <c r="U23">
        <v>1.6273486454933168E-2</v>
      </c>
    </row>
    <row r="24" spans="1:21">
      <c r="A24" t="s">
        <v>21</v>
      </c>
      <c r="B24">
        <v>1.1836031159348887E-2</v>
      </c>
      <c r="C24">
        <v>1.2934078593676665E-2</v>
      </c>
      <c r="D24">
        <v>1.3778574243136582E-2</v>
      </c>
      <c r="E24">
        <v>1.4118106690828441E-2</v>
      </c>
      <c r="F24">
        <v>1.4248489444401883E-2</v>
      </c>
      <c r="G24">
        <v>1.4500733672907815E-2</v>
      </c>
      <c r="H24">
        <v>1.4418053648571716E-2</v>
      </c>
      <c r="I24">
        <v>1.4730246767394496E-2</v>
      </c>
      <c r="J24">
        <v>1.4796630932637852E-2</v>
      </c>
      <c r="K24">
        <v>1.4656404759985701E-2</v>
      </c>
      <c r="L24">
        <v>1.4723703256894864E-2</v>
      </c>
      <c r="M24">
        <v>1.4832168519047544E-2</v>
      </c>
      <c r="N24">
        <v>1.4844881254323263E-2</v>
      </c>
      <c r="O24">
        <v>1.4838021141499687E-2</v>
      </c>
      <c r="P24">
        <v>1.4925357589887157E-2</v>
      </c>
      <c r="Q24">
        <v>1.530894963499432E-2</v>
      </c>
      <c r="R24">
        <v>1.5259172289882881E-2</v>
      </c>
      <c r="S24">
        <v>1.5339193649828541E-2</v>
      </c>
      <c r="T24">
        <v>1.5125232840263658E-2</v>
      </c>
      <c r="U24">
        <v>1.502681739563671E-2</v>
      </c>
    </row>
    <row r="25" spans="1:21">
      <c r="A25" t="s">
        <v>34</v>
      </c>
      <c r="B25">
        <v>1.1956198021472049E-2</v>
      </c>
      <c r="C25">
        <v>1.3421217726864365E-2</v>
      </c>
      <c r="D25">
        <v>1.4417944957259343E-2</v>
      </c>
      <c r="E25">
        <v>1.4870419750251948E-2</v>
      </c>
      <c r="F25">
        <v>1.4967555967677839E-2</v>
      </c>
      <c r="G25">
        <v>1.5179246599508161E-2</v>
      </c>
      <c r="H25">
        <v>1.5223887799271469E-2</v>
      </c>
      <c r="I25">
        <v>1.5454467846896648E-2</v>
      </c>
      <c r="J25">
        <v>1.5783847451928328E-2</v>
      </c>
      <c r="K25">
        <v>1.5855043343644157E-2</v>
      </c>
      <c r="L25">
        <v>1.6027840438445226E-2</v>
      </c>
      <c r="M25">
        <v>1.6192629151827086E-2</v>
      </c>
      <c r="N25">
        <v>1.6434425778455591E-2</v>
      </c>
      <c r="O25">
        <v>1.6770287706465919E-2</v>
      </c>
      <c r="P25">
        <v>1.6466801139938564E-2</v>
      </c>
      <c r="Q25">
        <v>1.6279886374962624E-2</v>
      </c>
      <c r="R25">
        <v>1.6307246519728036E-2</v>
      </c>
      <c r="S25">
        <v>1.6096815345950862E-2</v>
      </c>
      <c r="T25">
        <v>1.5943558270650998E-2</v>
      </c>
      <c r="U25">
        <v>1.5744141774449463E-2</v>
      </c>
    </row>
    <row r="26" spans="1:21">
      <c r="A26" t="s">
        <v>22</v>
      </c>
      <c r="B26">
        <v>1.1611456309516781E-2</v>
      </c>
      <c r="C26">
        <v>1.4403169595953693E-2</v>
      </c>
      <c r="D26">
        <v>1.6657934126075729E-2</v>
      </c>
      <c r="E26">
        <v>1.7670128541190221E-2</v>
      </c>
      <c r="F26">
        <v>1.8346429922780388E-2</v>
      </c>
      <c r="G26">
        <v>1.8683476492873125E-2</v>
      </c>
      <c r="H26">
        <v>1.9034435742477287E-2</v>
      </c>
      <c r="I26">
        <v>1.9249432419435709E-2</v>
      </c>
      <c r="J26">
        <v>1.9495171016695817E-2</v>
      </c>
      <c r="K26">
        <v>1.9792201352733924E-2</v>
      </c>
      <c r="L26">
        <v>2.0196297149145757E-2</v>
      </c>
      <c r="M26">
        <v>2.0145733999085591E-2</v>
      </c>
      <c r="N26">
        <v>2.0062734403196662E-2</v>
      </c>
      <c r="O26">
        <v>2.0147566007155726E-2</v>
      </c>
      <c r="P26">
        <v>2.0258521363996335E-2</v>
      </c>
      <c r="Q26">
        <v>2.0236957377536415E-2</v>
      </c>
      <c r="R26">
        <v>2.0310433887637046E-2</v>
      </c>
      <c r="S26">
        <v>2.0577194287412018E-2</v>
      </c>
      <c r="T26">
        <v>2.0324842400641373E-2</v>
      </c>
      <c r="U26">
        <v>2.0379543654209804E-2</v>
      </c>
    </row>
    <row r="27" spans="1:21">
      <c r="A27" t="s">
        <v>23</v>
      </c>
      <c r="B27">
        <v>1.1752572849512134E-2</v>
      </c>
      <c r="C27">
        <v>1.296720482450639E-2</v>
      </c>
      <c r="D27">
        <v>1.3568802609677619E-2</v>
      </c>
      <c r="E27">
        <v>1.362528923370083E-2</v>
      </c>
      <c r="F27">
        <v>1.3730710182925239E-2</v>
      </c>
      <c r="G27">
        <v>1.3959448620075582E-2</v>
      </c>
      <c r="H27">
        <v>1.4187183078435172E-2</v>
      </c>
      <c r="I27">
        <v>1.4257894321080086E-2</v>
      </c>
      <c r="J27">
        <v>1.4117700838213591E-2</v>
      </c>
      <c r="K27">
        <v>1.413190180897139E-2</v>
      </c>
      <c r="L27">
        <v>1.4565510355082719E-2</v>
      </c>
      <c r="M27">
        <v>1.4493857455332293E-2</v>
      </c>
      <c r="N27">
        <v>1.4549927214896965E-2</v>
      </c>
      <c r="O27">
        <v>1.4639668774026636E-2</v>
      </c>
      <c r="P27">
        <v>1.4616621155440398E-2</v>
      </c>
      <c r="Q27">
        <v>1.4611287807788687E-2</v>
      </c>
      <c r="R27">
        <v>1.4667190000573569E-2</v>
      </c>
      <c r="S27">
        <v>1.4672269666501576E-2</v>
      </c>
      <c r="T27">
        <v>1.4663854195361958E-2</v>
      </c>
      <c r="U27">
        <v>1.4412097669426636E-2</v>
      </c>
    </row>
    <row r="28" spans="1:21">
      <c r="A28" t="s">
        <v>24</v>
      </c>
      <c r="B28">
        <v>1.1727020955971191E-2</v>
      </c>
      <c r="C28">
        <v>1.2997896655959211E-2</v>
      </c>
      <c r="D28">
        <v>1.3863583097368671E-2</v>
      </c>
      <c r="E28">
        <v>1.4265532913789488E-2</v>
      </c>
      <c r="F28">
        <v>1.4588910001478682E-2</v>
      </c>
      <c r="G28">
        <v>1.4809092224045681E-2</v>
      </c>
      <c r="H28">
        <v>1.5008470382059666E-2</v>
      </c>
      <c r="I28">
        <v>1.4975176496954786E-2</v>
      </c>
      <c r="J28">
        <v>1.5089727480489685E-2</v>
      </c>
      <c r="K28">
        <v>1.5231999852870012E-2</v>
      </c>
      <c r="L28">
        <v>1.5440558757134433E-2</v>
      </c>
      <c r="M28">
        <v>1.5655312683508078E-2</v>
      </c>
      <c r="N28">
        <v>1.5887961215235082E-2</v>
      </c>
      <c r="O28">
        <v>1.6009323437922638E-2</v>
      </c>
      <c r="P28">
        <v>1.5956986321251043E-2</v>
      </c>
      <c r="Q28">
        <v>1.5973854355093735E-2</v>
      </c>
      <c r="R28">
        <v>1.6117641823589181E-2</v>
      </c>
      <c r="S28">
        <v>1.6012493065849016E-2</v>
      </c>
      <c r="T28">
        <v>1.5879680748054233E-2</v>
      </c>
      <c r="U28">
        <v>1.6144284294277337E-2</v>
      </c>
    </row>
    <row r="29" spans="1:21">
      <c r="A29" t="s">
        <v>25</v>
      </c>
      <c r="B29">
        <v>1.1694440299126167E-2</v>
      </c>
      <c r="C29">
        <v>1.2834057918142974E-2</v>
      </c>
      <c r="D29">
        <v>1.3509925302038038E-2</v>
      </c>
      <c r="E29">
        <v>1.3654984324226455E-2</v>
      </c>
      <c r="F29">
        <v>1.3982128210298601E-2</v>
      </c>
      <c r="G29">
        <v>1.4090024116020306E-2</v>
      </c>
      <c r="H29">
        <v>1.4133867994947926E-2</v>
      </c>
      <c r="I29">
        <v>1.409690002776884E-2</v>
      </c>
      <c r="J29">
        <v>1.421878595214153E-2</v>
      </c>
      <c r="K29">
        <v>1.4284208397145087E-2</v>
      </c>
      <c r="L29">
        <v>1.451885908532022E-2</v>
      </c>
      <c r="M29">
        <v>1.4827641744396861E-2</v>
      </c>
      <c r="N29">
        <v>1.4831281939436789E-2</v>
      </c>
      <c r="O29">
        <v>1.4686148112484174E-2</v>
      </c>
      <c r="P29">
        <v>1.4772812076731198E-2</v>
      </c>
      <c r="Q29">
        <v>1.4832228702661838E-2</v>
      </c>
      <c r="R29">
        <v>1.4763756275170058E-2</v>
      </c>
      <c r="S29">
        <v>1.4455000352353505E-2</v>
      </c>
      <c r="T29">
        <v>1.4323699504333359E-2</v>
      </c>
      <c r="U29">
        <v>1.3947014805920005E-2</v>
      </c>
    </row>
    <row r="30" spans="1:21">
      <c r="A30" t="s">
        <v>26</v>
      </c>
      <c r="B30">
        <v>1.0357630064779208E-2</v>
      </c>
      <c r="C30">
        <v>1.1268151283113955E-2</v>
      </c>
      <c r="D30">
        <v>1.1698959078592254E-2</v>
      </c>
      <c r="E30">
        <v>1.1725213165778535E-2</v>
      </c>
      <c r="F30">
        <v>1.1920689159634611E-2</v>
      </c>
      <c r="G30">
        <v>1.1881331135547258E-2</v>
      </c>
      <c r="H30">
        <v>1.2135198554657415E-2</v>
      </c>
      <c r="I30">
        <v>1.250553128048152E-2</v>
      </c>
      <c r="J30">
        <v>1.2369287377612828E-2</v>
      </c>
      <c r="K30">
        <v>1.2629775407309316E-2</v>
      </c>
      <c r="L30">
        <v>1.2603052212876609E-2</v>
      </c>
      <c r="M30">
        <v>1.2309782604503895E-2</v>
      </c>
      <c r="N30">
        <v>1.2596762929909249E-2</v>
      </c>
      <c r="O30">
        <v>1.2539906409208476E-2</v>
      </c>
      <c r="P30">
        <v>1.2125261279084769E-2</v>
      </c>
      <c r="Q30">
        <v>1.1869736076316563E-2</v>
      </c>
      <c r="R30">
        <v>1.20960807792587E-2</v>
      </c>
      <c r="S30">
        <v>1.2142623740997024E-2</v>
      </c>
      <c r="T30">
        <v>1.2094478838277828E-2</v>
      </c>
      <c r="U30">
        <v>1.2252346876186581E-2</v>
      </c>
    </row>
    <row r="31" spans="1:21">
      <c r="A31" t="s">
        <v>27</v>
      </c>
      <c r="B31">
        <v>1.1601579879647172E-2</v>
      </c>
      <c r="C31">
        <v>1.3277987650086946E-2</v>
      </c>
      <c r="D31">
        <v>1.5075967914986485E-2</v>
      </c>
      <c r="E31">
        <v>1.6174273075316322E-2</v>
      </c>
      <c r="F31">
        <v>1.7301494162364994E-2</v>
      </c>
      <c r="G31">
        <v>1.7728598337039884E-2</v>
      </c>
      <c r="H31">
        <v>1.8004072529704453E-2</v>
      </c>
      <c r="I31">
        <v>1.8606900347312803E-2</v>
      </c>
      <c r="J31">
        <v>1.8827994278138634E-2</v>
      </c>
      <c r="K31">
        <v>1.9020446411837678E-2</v>
      </c>
      <c r="L31">
        <v>1.921067734269458E-2</v>
      </c>
      <c r="M31">
        <v>1.9577570144066931E-2</v>
      </c>
      <c r="N31">
        <v>1.9708674108300149E-2</v>
      </c>
      <c r="O31">
        <v>1.9870694678777241E-2</v>
      </c>
      <c r="P31">
        <v>1.9728902964631298E-2</v>
      </c>
      <c r="Q31">
        <v>1.968203349888004E-2</v>
      </c>
      <c r="R31">
        <v>2.0103084874300705E-2</v>
      </c>
      <c r="S31">
        <v>1.966208185775687E-2</v>
      </c>
      <c r="T31">
        <v>1.9653558970901638E-2</v>
      </c>
      <c r="U31">
        <v>1.9330177027583367E-2</v>
      </c>
    </row>
    <row r="32" spans="1:21">
      <c r="A32" t="s">
        <v>28</v>
      </c>
      <c r="B32">
        <v>1.1573753406467852E-2</v>
      </c>
      <c r="C32">
        <v>1.4197003644259637E-2</v>
      </c>
      <c r="D32">
        <v>1.654779815627419E-2</v>
      </c>
      <c r="E32">
        <v>1.8177479188637009E-2</v>
      </c>
      <c r="F32">
        <v>1.9319946900053484E-2</v>
      </c>
      <c r="G32">
        <v>2.0022371791361508E-2</v>
      </c>
      <c r="H32">
        <v>2.0471949006804813E-2</v>
      </c>
      <c r="I32">
        <v>2.0789617650831212E-2</v>
      </c>
      <c r="J32">
        <v>2.1127253969991558E-2</v>
      </c>
      <c r="K32">
        <v>2.1615078416647355E-2</v>
      </c>
      <c r="L32">
        <v>2.187888964026408E-2</v>
      </c>
      <c r="M32">
        <v>2.208679013404713E-2</v>
      </c>
      <c r="N32">
        <v>2.1997331372313092E-2</v>
      </c>
      <c r="O32">
        <v>2.193497708294492E-2</v>
      </c>
      <c r="P32">
        <v>2.1797484184198912E-2</v>
      </c>
      <c r="Q32">
        <v>2.2224643301605226E-2</v>
      </c>
      <c r="R32">
        <v>2.2348602747005428E-2</v>
      </c>
      <c r="S32">
        <v>2.2518966908618428E-2</v>
      </c>
      <c r="T32">
        <v>2.2321594172199317E-2</v>
      </c>
      <c r="U32">
        <v>2.2383217447815174E-2</v>
      </c>
    </row>
    <row r="33" spans="1:21">
      <c r="A33" t="s">
        <v>29</v>
      </c>
      <c r="B33">
        <v>1.2173480185188008E-2</v>
      </c>
      <c r="C33">
        <v>1.5084212961843422E-2</v>
      </c>
      <c r="D33">
        <v>1.8344478919135355E-2</v>
      </c>
      <c r="E33">
        <v>1.9718086416097593E-2</v>
      </c>
      <c r="F33">
        <v>2.0804856969547317E-2</v>
      </c>
      <c r="G33">
        <v>2.1764262109792921E-2</v>
      </c>
      <c r="H33">
        <v>2.2728416532183635E-2</v>
      </c>
      <c r="I33">
        <v>2.3074778270455152E-2</v>
      </c>
      <c r="J33">
        <v>2.3194309902057182E-2</v>
      </c>
      <c r="K33">
        <v>2.3279488149860354E-2</v>
      </c>
      <c r="L33">
        <v>2.3211622602919445E-2</v>
      </c>
      <c r="M33">
        <v>2.3727189948347979E-2</v>
      </c>
      <c r="N33">
        <v>2.3853841164572436E-2</v>
      </c>
      <c r="O33">
        <v>2.3949404950733982E-2</v>
      </c>
      <c r="P33">
        <v>2.3968689062487662E-2</v>
      </c>
      <c r="Q33">
        <v>2.392577255955437E-2</v>
      </c>
      <c r="R33">
        <v>2.3681516117427338E-2</v>
      </c>
      <c r="S33">
        <v>2.3465162560678991E-2</v>
      </c>
      <c r="T33">
        <v>2.3622381611112655E-2</v>
      </c>
      <c r="U33">
        <v>2.3604738902851304E-2</v>
      </c>
    </row>
    <row r="34" spans="1:21">
      <c r="A34" t="s">
        <v>30</v>
      </c>
      <c r="B34">
        <v>1.2229327209446519E-2</v>
      </c>
      <c r="C34">
        <v>1.5045467501013331E-2</v>
      </c>
      <c r="D34">
        <v>1.7777299368595328E-2</v>
      </c>
      <c r="E34">
        <v>1.98318643972136E-2</v>
      </c>
      <c r="F34">
        <v>2.0905347036563091E-2</v>
      </c>
      <c r="G34">
        <v>2.162087232818927E-2</v>
      </c>
      <c r="H34">
        <v>2.2330165982283687E-2</v>
      </c>
      <c r="I34">
        <v>2.3071431414502276E-2</v>
      </c>
      <c r="J34">
        <v>2.3436196158933449E-2</v>
      </c>
      <c r="K34">
        <v>2.3539428112440142E-2</v>
      </c>
      <c r="L34">
        <v>2.342221099480581E-2</v>
      </c>
      <c r="M34">
        <v>2.3401331971108694E-2</v>
      </c>
      <c r="N34">
        <v>2.3489845771854277E-2</v>
      </c>
      <c r="O34">
        <v>2.3553993212497584E-2</v>
      </c>
      <c r="P34">
        <v>2.3462229577964299E-2</v>
      </c>
      <c r="Q34">
        <v>2.3425097542971632E-2</v>
      </c>
      <c r="R34">
        <v>2.3705684143131601E-2</v>
      </c>
      <c r="S34">
        <v>2.3498344126824052E-2</v>
      </c>
      <c r="T34">
        <v>2.3958031781907689E-2</v>
      </c>
      <c r="U34">
        <v>2.3805928860115903E-2</v>
      </c>
    </row>
    <row r="35" spans="1:21">
      <c r="A35" t="s">
        <v>31</v>
      </c>
      <c r="B35">
        <v>7.8916891714371183E-3</v>
      </c>
      <c r="C35">
        <v>8.549667634950903E-3</v>
      </c>
      <c r="D35">
        <v>9.0842521561573294E-3</v>
      </c>
      <c r="E35">
        <v>9.2188813729137814E-3</v>
      </c>
      <c r="F35">
        <v>9.3155943216664382E-3</v>
      </c>
      <c r="G35">
        <v>9.2868706227339504E-3</v>
      </c>
      <c r="H35">
        <v>9.3625847762515025E-3</v>
      </c>
      <c r="I35">
        <v>9.3046174753991066E-3</v>
      </c>
      <c r="J35">
        <v>9.258415117676921E-3</v>
      </c>
      <c r="K35">
        <v>9.1379151139984755E-3</v>
      </c>
      <c r="L35">
        <v>9.0726857810503794E-3</v>
      </c>
      <c r="M35">
        <v>8.9679681767748168E-3</v>
      </c>
      <c r="N35">
        <v>8.9034183400029145E-3</v>
      </c>
      <c r="O35">
        <v>8.9213387085973345E-3</v>
      </c>
      <c r="P35">
        <v>8.8362868864037408E-3</v>
      </c>
      <c r="Q35">
        <v>8.8678958641018879E-3</v>
      </c>
      <c r="R35">
        <v>9.030221152526061E-3</v>
      </c>
      <c r="S35">
        <v>9.2840593463512783E-3</v>
      </c>
      <c r="T35">
        <v>9.2004663891263553E-3</v>
      </c>
      <c r="U35">
        <v>8.7841997497268166E-3</v>
      </c>
    </row>
    <row r="36" spans="1:21">
      <c r="A36" t="s">
        <v>32</v>
      </c>
      <c r="B36">
        <v>8.0076589632854505E-3</v>
      </c>
      <c r="C36">
        <v>8.8295754544691976E-3</v>
      </c>
      <c r="D36">
        <v>9.7597925537767794E-3</v>
      </c>
      <c r="E36">
        <v>1.0231417102350577E-2</v>
      </c>
      <c r="F36">
        <v>1.0635335323291873E-2</v>
      </c>
      <c r="G36">
        <v>1.0840372006226307E-2</v>
      </c>
      <c r="H36">
        <v>1.1006432897201395E-2</v>
      </c>
      <c r="I36">
        <v>1.1129443117880134E-2</v>
      </c>
      <c r="J36">
        <v>1.1214179902120808E-2</v>
      </c>
      <c r="K36">
        <v>1.1442597139766227E-2</v>
      </c>
      <c r="L36">
        <v>1.1471028246296146E-2</v>
      </c>
      <c r="M36">
        <v>1.1474669491942464E-2</v>
      </c>
      <c r="N36">
        <v>1.1645467291571076E-2</v>
      </c>
      <c r="O36">
        <v>1.1568740778132925E-2</v>
      </c>
      <c r="P36">
        <v>1.1604773595701211E-2</v>
      </c>
      <c r="Q36">
        <v>1.1652990432538307E-2</v>
      </c>
      <c r="R36">
        <v>1.2291779853402568E-2</v>
      </c>
      <c r="S36">
        <v>1.2373499851808176E-2</v>
      </c>
      <c r="T36">
        <v>1.1781311932196557E-2</v>
      </c>
      <c r="U36">
        <v>1.1666483492204132E-2</v>
      </c>
    </row>
    <row r="37" spans="1:21">
      <c r="A37" t="s">
        <v>33</v>
      </c>
      <c r="B37">
        <v>8.1091922339058438E-3</v>
      </c>
      <c r="C37">
        <v>8.815439972442031E-3</v>
      </c>
      <c r="D37">
        <v>9.7332853408286825E-3</v>
      </c>
      <c r="E37">
        <v>1.0189430547501771E-2</v>
      </c>
      <c r="F37">
        <v>1.0561058990139293E-2</v>
      </c>
      <c r="G37">
        <v>1.0830762415831157E-2</v>
      </c>
      <c r="H37">
        <v>1.088363060777753E-2</v>
      </c>
      <c r="I37">
        <v>1.0961975396053616E-2</v>
      </c>
      <c r="J37">
        <v>1.0909138032289541E-2</v>
      </c>
      <c r="K37">
        <v>1.0705741091156597E-2</v>
      </c>
      <c r="L37">
        <v>1.0725475673320519E-2</v>
      </c>
      <c r="M37">
        <v>1.0505944226809904E-2</v>
      </c>
      <c r="N37">
        <v>1.0449540477043408E-2</v>
      </c>
      <c r="O37">
        <v>1.0363802160410624E-2</v>
      </c>
      <c r="P37">
        <v>1.0332882148201704E-2</v>
      </c>
      <c r="Q37">
        <v>1.0151384770662653E-2</v>
      </c>
      <c r="R37">
        <v>1.0175604653132414E-2</v>
      </c>
      <c r="S37">
        <v>1.0298839619064968E-2</v>
      </c>
      <c r="T37">
        <v>9.9046994957005443E-3</v>
      </c>
      <c r="U37">
        <v>9.8145659823926784E-3</v>
      </c>
    </row>
  </sheetData>
  <phoneticPr fontId="0" type="noConversion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0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"Chg_S_pos_den_1.4A"</f>
        <v>Chg_S_pos_den_1.4A</v>
      </c>
      <c r="C1" s="1" t="str">
        <f>"Chg_S_pos_den_2A"</f>
        <v>Chg_S_pos_den_2A</v>
      </c>
      <c r="D1" s="1" t="str">
        <f>"Chg_S_pos_den_3A"</f>
        <v>Chg_S_pos_den_3A</v>
      </c>
      <c r="E1" s="1" t="str">
        <f>"Chg_S_pos_den_4A"</f>
        <v>Chg_S_pos_den_4A</v>
      </c>
      <c r="F1" s="1" t="str">
        <f>"Chg_S_pos_den_5A"</f>
        <v>Chg_S_pos_den_5A</v>
      </c>
      <c r="G1" s="1" t="str">
        <f>"Chg_S_pos_den_6A"</f>
        <v>Chg_S_pos_den_6A</v>
      </c>
      <c r="H1" s="1" t="str">
        <f>"Chg_S_pos_den_7A"</f>
        <v>Chg_S_pos_den_7A</v>
      </c>
      <c r="I1" s="1" t="str">
        <f>"Chg_S_pos_den_8A"</f>
        <v>Chg_S_pos_den_8A</v>
      </c>
      <c r="J1" s="1" t="str">
        <f>"Chg_S_pos_den_9A"</f>
        <v>Chg_S_pos_den_9A</v>
      </c>
      <c r="K1" s="1" t="str">
        <f>"Chg_S_pos_den_10A"</f>
        <v>Chg_S_pos_den_10A</v>
      </c>
      <c r="L1" s="1" t="str">
        <f>"Chg_S_pos_den_11A"</f>
        <v>Chg_S_pos_den_11A</v>
      </c>
      <c r="M1" s="1" t="str">
        <f>"Chg_S_pos_den_12A"</f>
        <v>Chg_S_pos_den_12A</v>
      </c>
      <c r="N1" s="1" t="str">
        <f>"Chg_S_pos_den_13A"</f>
        <v>Chg_S_pos_den_13A</v>
      </c>
      <c r="O1" s="1" t="str">
        <f>"Chg_S_pos_den_14A"</f>
        <v>Chg_S_pos_den_14A</v>
      </c>
      <c r="P1" s="1" t="str">
        <f>"Chg_S_pos_den_15A"</f>
        <v>Chg_S_pos_den_15A</v>
      </c>
      <c r="Q1" s="1" t="str">
        <f>"Chg_S_pos_den_16A"</f>
        <v>Chg_S_pos_den_16A</v>
      </c>
      <c r="R1" s="1" t="str">
        <f>"Chg_S_pos_den_17A"</f>
        <v>Chg_S_pos_den_17A</v>
      </c>
      <c r="S1" s="1" t="str">
        <f>"Chg_S_pos_den_18A"</f>
        <v>Chg_S_pos_den_18A</v>
      </c>
      <c r="T1" s="1" t="str">
        <f>"Chg_S_pos_den_19A"</f>
        <v>Chg_S_pos_den_19A</v>
      </c>
      <c r="U1" s="1" t="str">
        <f>"Chg_S_pos_den_20A"</f>
        <v>Chg_S_pos_den_20A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2.2292457620620831E-3</v>
      </c>
      <c r="C3">
        <v>2.5576994449996904E-3</v>
      </c>
      <c r="D3">
        <v>2.9705676659816578E-3</v>
      </c>
      <c r="E3">
        <v>3.3861867719911106E-3</v>
      </c>
      <c r="F3">
        <v>3.5038621373223869E-3</v>
      </c>
      <c r="G3">
        <v>3.6523020656441629E-3</v>
      </c>
      <c r="H3">
        <v>3.8610054427895726E-3</v>
      </c>
      <c r="I3">
        <v>3.9914739649468131E-3</v>
      </c>
      <c r="J3">
        <v>4.0402288789861199E-3</v>
      </c>
      <c r="K3">
        <v>4.07706118508026E-3</v>
      </c>
      <c r="L3">
        <v>3.9274976026376475E-3</v>
      </c>
      <c r="M3">
        <v>3.9180747777737921E-3</v>
      </c>
      <c r="N3">
        <v>4.020539950564176E-3</v>
      </c>
      <c r="O3">
        <v>4.1424316444513502E-3</v>
      </c>
      <c r="P3">
        <v>4.1246123765340797E-3</v>
      </c>
      <c r="Q3">
        <v>4.1005457231024839E-3</v>
      </c>
      <c r="R3">
        <v>4.1259730881315296E-3</v>
      </c>
      <c r="S3">
        <v>4.2919444470972071E-3</v>
      </c>
      <c r="T3">
        <v>4.214997344492692E-3</v>
      </c>
      <c r="U3">
        <v>4.2894894116003984E-3</v>
      </c>
    </row>
    <row r="4" spans="1:24">
      <c r="A4" t="s">
        <v>1</v>
      </c>
      <c r="B4">
        <v>1.9862361580125954E-3</v>
      </c>
      <c r="C4">
        <v>2.3655060557095471E-3</v>
      </c>
      <c r="D4">
        <v>2.8768614604775585E-3</v>
      </c>
      <c r="E4">
        <v>3.2917769576801159E-3</v>
      </c>
      <c r="F4">
        <v>3.4931877638232117E-3</v>
      </c>
      <c r="G4">
        <v>3.64324231232113E-3</v>
      </c>
      <c r="H4">
        <v>3.6460007116353456E-3</v>
      </c>
      <c r="I4">
        <v>3.8117045005974771E-3</v>
      </c>
      <c r="J4">
        <v>3.8567323533357884E-3</v>
      </c>
      <c r="K4">
        <v>3.9317588611655534E-3</v>
      </c>
      <c r="L4">
        <v>3.7474768808706239E-3</v>
      </c>
      <c r="M4">
        <v>3.8528405704773843E-3</v>
      </c>
      <c r="N4">
        <v>3.8248162883272622E-3</v>
      </c>
      <c r="O4">
        <v>3.8579441898641395E-3</v>
      </c>
      <c r="P4">
        <v>3.9139643009902317E-3</v>
      </c>
      <c r="Q4">
        <v>3.9285183693127754E-3</v>
      </c>
      <c r="R4">
        <v>3.9840186144708186E-3</v>
      </c>
      <c r="S4">
        <v>3.9746873073022871E-3</v>
      </c>
      <c r="T4">
        <v>4.0699299150333606E-3</v>
      </c>
      <c r="U4">
        <v>4.1002024836053188E-3</v>
      </c>
    </row>
    <row r="5" spans="1:24">
      <c r="A5" t="s">
        <v>2</v>
      </c>
      <c r="B5">
        <v>2.0158039225331844E-3</v>
      </c>
      <c r="C5">
        <v>2.3561223338516386E-3</v>
      </c>
      <c r="D5">
        <v>2.7972348990231988E-3</v>
      </c>
      <c r="E5">
        <v>3.2063852517818523E-3</v>
      </c>
      <c r="F5">
        <v>3.423792092565736E-3</v>
      </c>
      <c r="G5">
        <v>3.7228845176630466E-3</v>
      </c>
      <c r="H5">
        <v>4.0435486065194442E-3</v>
      </c>
      <c r="I5">
        <v>4.3119732140184325E-3</v>
      </c>
      <c r="J5">
        <v>4.3832909323083978E-3</v>
      </c>
      <c r="K5">
        <v>4.5928481724794743E-3</v>
      </c>
      <c r="L5">
        <v>4.6815758568872247E-3</v>
      </c>
      <c r="M5">
        <v>4.8106699564440187E-3</v>
      </c>
      <c r="N5">
        <v>4.9203861657957084E-3</v>
      </c>
      <c r="O5">
        <v>5.0774468439950026E-3</v>
      </c>
      <c r="P5">
        <v>5.1375739476570122E-3</v>
      </c>
      <c r="Q5">
        <v>5.2945291511308128E-3</v>
      </c>
      <c r="R5">
        <v>5.3954573805357932E-3</v>
      </c>
      <c r="S5">
        <v>5.4269613815698808E-3</v>
      </c>
      <c r="T5">
        <v>5.4720161701707999E-3</v>
      </c>
      <c r="U5">
        <v>5.5936480380262381E-3</v>
      </c>
    </row>
    <row r="6" spans="1:24">
      <c r="A6" t="s">
        <v>3</v>
      </c>
      <c r="B6">
        <v>1.6767942893180317E-3</v>
      </c>
      <c r="C6">
        <v>2.1514039910615155E-3</v>
      </c>
      <c r="D6">
        <v>2.4774580254492292E-3</v>
      </c>
      <c r="E6">
        <v>2.6091304660160299E-3</v>
      </c>
      <c r="F6">
        <v>2.8585389876680627E-3</v>
      </c>
      <c r="G6">
        <v>3.0416172958034038E-3</v>
      </c>
      <c r="H6">
        <v>3.1571283427436867E-3</v>
      </c>
      <c r="I6">
        <v>3.3162396872786258E-3</v>
      </c>
      <c r="J6">
        <v>3.3578291934339621E-3</v>
      </c>
      <c r="K6">
        <v>3.417683590965457E-3</v>
      </c>
      <c r="L6">
        <v>3.3839762391715969E-3</v>
      </c>
      <c r="M6">
        <v>3.4459173258830559E-3</v>
      </c>
      <c r="N6">
        <v>3.3851424507680399E-3</v>
      </c>
      <c r="O6">
        <v>3.278150003845169E-3</v>
      </c>
      <c r="P6">
        <v>3.3325463870968576E-3</v>
      </c>
      <c r="Q6">
        <v>3.4641676022451628E-3</v>
      </c>
      <c r="R6">
        <v>3.4334597428702404E-3</v>
      </c>
      <c r="S6">
        <v>3.5146514531679755E-3</v>
      </c>
      <c r="T6">
        <v>3.6873998879404105E-3</v>
      </c>
      <c r="U6">
        <v>3.5689602320807608E-3</v>
      </c>
    </row>
    <row r="7" spans="1:24">
      <c r="A7" t="s">
        <v>4</v>
      </c>
      <c r="B7">
        <v>1.8133458794712431E-3</v>
      </c>
      <c r="C7">
        <v>2.2332860202797324E-3</v>
      </c>
      <c r="D7">
        <v>2.5962010679096946E-3</v>
      </c>
      <c r="E7">
        <v>2.9579393467530613E-3</v>
      </c>
      <c r="F7">
        <v>3.1447976965153844E-3</v>
      </c>
      <c r="G7">
        <v>3.1840495852551534E-3</v>
      </c>
      <c r="H7">
        <v>3.2976656099468894E-3</v>
      </c>
      <c r="I7">
        <v>3.5187660497610165E-3</v>
      </c>
      <c r="J7">
        <v>3.5852547206007396E-3</v>
      </c>
      <c r="K7">
        <v>3.5104749702815565E-3</v>
      </c>
      <c r="L7">
        <v>3.6672566685949197E-3</v>
      </c>
      <c r="M7">
        <v>3.6441793083855224E-3</v>
      </c>
      <c r="N7">
        <v>3.7891107258954462E-3</v>
      </c>
      <c r="O7">
        <v>3.7160276247249486E-3</v>
      </c>
      <c r="P7">
        <v>3.745532858419828E-3</v>
      </c>
      <c r="Q7">
        <v>3.5339916400456985E-3</v>
      </c>
      <c r="R7">
        <v>3.5251655925422724E-3</v>
      </c>
      <c r="S7">
        <v>3.7612161850289127E-3</v>
      </c>
      <c r="T7">
        <v>3.7880016867632899E-3</v>
      </c>
      <c r="U7">
        <v>3.8554567194250891E-3</v>
      </c>
    </row>
    <row r="8" spans="1:24">
      <c r="A8" t="s">
        <v>5</v>
      </c>
      <c r="B8">
        <v>1.6550502388180204E-3</v>
      </c>
      <c r="C8">
        <v>1.9478859803646685E-3</v>
      </c>
      <c r="D8">
        <v>2.2528765517965043E-3</v>
      </c>
      <c r="E8">
        <v>2.4354545246079748E-3</v>
      </c>
      <c r="F8">
        <v>2.5258250093826151E-3</v>
      </c>
      <c r="G8">
        <v>2.6424043658428101E-3</v>
      </c>
      <c r="H8">
        <v>2.7772673098705653E-3</v>
      </c>
      <c r="I8">
        <v>2.7915593791130438E-3</v>
      </c>
      <c r="J8">
        <v>2.809288054725224E-3</v>
      </c>
      <c r="K8">
        <v>2.8518784738600996E-3</v>
      </c>
      <c r="L8">
        <v>2.8285621077976612E-3</v>
      </c>
      <c r="M8">
        <v>2.7314741897282594E-3</v>
      </c>
      <c r="N8">
        <v>2.8594506519852006E-3</v>
      </c>
      <c r="O8">
        <v>2.8348089286607363E-3</v>
      </c>
      <c r="P8">
        <v>2.9234848019319324E-3</v>
      </c>
      <c r="Q8">
        <v>2.8681706210923552E-3</v>
      </c>
      <c r="R8">
        <v>2.9364627772244193E-3</v>
      </c>
      <c r="S8">
        <v>2.9176780766892235E-3</v>
      </c>
      <c r="T8">
        <v>2.9667738847076082E-3</v>
      </c>
      <c r="U8">
        <v>3.0179288732223373E-3</v>
      </c>
    </row>
    <row r="9" spans="1:24">
      <c r="A9" t="s">
        <v>6</v>
      </c>
      <c r="B9">
        <v>1.863181223750723E-3</v>
      </c>
      <c r="C9">
        <v>2.3143305165398086E-3</v>
      </c>
      <c r="D9">
        <v>2.7271814659340305E-3</v>
      </c>
      <c r="E9">
        <v>2.9831187881071419E-3</v>
      </c>
      <c r="F9">
        <v>3.201559387643911E-3</v>
      </c>
      <c r="G9">
        <v>3.3055546846814388E-3</v>
      </c>
      <c r="H9">
        <v>3.3170824019734435E-3</v>
      </c>
      <c r="I9">
        <v>3.4249733389867532E-3</v>
      </c>
      <c r="J9">
        <v>3.4532096648936948E-3</v>
      </c>
      <c r="K9">
        <v>3.3974232854694243E-3</v>
      </c>
      <c r="L9">
        <v>3.4177920691922043E-3</v>
      </c>
      <c r="M9">
        <v>3.5217218669204744E-3</v>
      </c>
      <c r="N9">
        <v>3.4959866716896184E-3</v>
      </c>
      <c r="O9">
        <v>3.5108059603201945E-3</v>
      </c>
      <c r="P9">
        <v>3.5593439003174091E-3</v>
      </c>
      <c r="Q9">
        <v>3.5647570058141443E-3</v>
      </c>
      <c r="R9">
        <v>3.6086901306553684E-3</v>
      </c>
      <c r="S9">
        <v>3.7068661327053771E-3</v>
      </c>
      <c r="T9">
        <v>3.7709640340695427E-3</v>
      </c>
      <c r="U9">
        <v>3.6332867812902195E-3</v>
      </c>
    </row>
    <row r="10" spans="1:24">
      <c r="A10" t="s">
        <v>7</v>
      </c>
      <c r="B10">
        <v>1.9943572437534931E-3</v>
      </c>
      <c r="C10">
        <v>2.5848979738654488E-3</v>
      </c>
      <c r="D10">
        <v>3.1251210999111213E-3</v>
      </c>
      <c r="E10">
        <v>3.5308267214602639E-3</v>
      </c>
      <c r="F10">
        <v>3.8341050622937678E-3</v>
      </c>
      <c r="G10">
        <v>4.0892466639500732E-3</v>
      </c>
      <c r="H10">
        <v>4.3593295387507327E-3</v>
      </c>
      <c r="I10">
        <v>4.581366493739831E-3</v>
      </c>
      <c r="J10">
        <v>4.6716135369229391E-3</v>
      </c>
      <c r="K10">
        <v>4.7032392305221453E-3</v>
      </c>
      <c r="L10">
        <v>4.6792701785120629E-3</v>
      </c>
      <c r="M10">
        <v>4.636904109565021E-3</v>
      </c>
      <c r="N10">
        <v>4.7585459439585366E-3</v>
      </c>
      <c r="O10">
        <v>4.6901717564794007E-3</v>
      </c>
      <c r="P10">
        <v>4.6666209618089535E-3</v>
      </c>
      <c r="Q10">
        <v>4.5968034076514092E-3</v>
      </c>
      <c r="R10">
        <v>4.5920984290217532E-3</v>
      </c>
      <c r="S10">
        <v>4.7994885255594373E-3</v>
      </c>
      <c r="T10">
        <v>4.6422488848030397E-3</v>
      </c>
      <c r="U10">
        <v>4.7292238023230616E-3</v>
      </c>
    </row>
    <row r="11" spans="1:24">
      <c r="A11" t="s">
        <v>8</v>
      </c>
      <c r="B11">
        <v>1.9343230042987833E-3</v>
      </c>
      <c r="C11">
        <v>2.5600809679653894E-3</v>
      </c>
      <c r="D11">
        <v>3.1108111014873279E-3</v>
      </c>
      <c r="E11">
        <v>3.6593367189887605E-3</v>
      </c>
      <c r="F11">
        <v>4.0511971776028182E-3</v>
      </c>
      <c r="G11">
        <v>4.4155831105556608E-3</v>
      </c>
      <c r="H11">
        <v>4.6359490636104601E-3</v>
      </c>
      <c r="I11">
        <v>4.9552038927865609E-3</v>
      </c>
      <c r="J11">
        <v>5.0218359118682004E-3</v>
      </c>
      <c r="K11">
        <v>5.1858611000171161E-3</v>
      </c>
      <c r="L11">
        <v>5.215227621602034E-3</v>
      </c>
      <c r="M11">
        <v>5.4056908622524026E-3</v>
      </c>
      <c r="N11">
        <v>5.6899628112584526E-3</v>
      </c>
      <c r="O11">
        <v>5.7677700772142664E-3</v>
      </c>
      <c r="P11">
        <v>5.798755416694187E-3</v>
      </c>
      <c r="Q11">
        <v>5.9053757225649177E-3</v>
      </c>
      <c r="R11">
        <v>6.0118097538197366E-3</v>
      </c>
      <c r="S11">
        <v>6.0922465690411614E-3</v>
      </c>
      <c r="T11">
        <v>6.3380903311977665E-3</v>
      </c>
      <c r="U11">
        <v>6.2108774873973075E-3</v>
      </c>
    </row>
    <row r="12" spans="1:24">
      <c r="A12" t="s">
        <v>9</v>
      </c>
      <c r="B12">
        <v>1.8131106722975973E-3</v>
      </c>
      <c r="C12">
        <v>2.1751759796486223E-3</v>
      </c>
      <c r="D12">
        <v>2.545531187142572E-3</v>
      </c>
      <c r="E12">
        <v>2.5268785606048115E-3</v>
      </c>
      <c r="F12">
        <v>2.556868657306362E-3</v>
      </c>
      <c r="G12">
        <v>2.5743519888991673E-3</v>
      </c>
      <c r="H12">
        <v>2.6072258832702633E-3</v>
      </c>
      <c r="I12">
        <v>2.6674283536178831E-3</v>
      </c>
      <c r="J12">
        <v>2.5937373206638458E-3</v>
      </c>
      <c r="K12">
        <v>2.6268715682280729E-3</v>
      </c>
      <c r="L12">
        <v>2.5189273451159656E-3</v>
      </c>
      <c r="M12">
        <v>2.5497457369523424E-3</v>
      </c>
      <c r="N12">
        <v>2.3348445661718416E-3</v>
      </c>
      <c r="O12">
        <v>2.3297836797226057E-3</v>
      </c>
      <c r="P12">
        <v>2.3288216146743926E-3</v>
      </c>
      <c r="Q12">
        <v>2.2889265190767132E-3</v>
      </c>
      <c r="R12">
        <v>2.1610569266485979E-3</v>
      </c>
      <c r="S12">
        <v>2.2797612322839719E-3</v>
      </c>
      <c r="T12">
        <v>2.3533537760193923E-3</v>
      </c>
      <c r="U12">
        <v>2.1487714793416877E-3</v>
      </c>
    </row>
    <row r="13" spans="1:24">
      <c r="A13" t="s">
        <v>10</v>
      </c>
      <c r="B13">
        <v>1.4965013554991498E-3</v>
      </c>
      <c r="C13">
        <v>1.7147207271960058E-3</v>
      </c>
      <c r="D13">
        <v>1.9639360301229895E-3</v>
      </c>
      <c r="E13">
        <v>2.1215230913540252E-3</v>
      </c>
      <c r="F13">
        <v>2.2523716332346726E-3</v>
      </c>
      <c r="G13">
        <v>2.3616941483287847E-3</v>
      </c>
      <c r="H13">
        <v>2.5355947410005035E-3</v>
      </c>
      <c r="I13">
        <v>2.664046144837662E-3</v>
      </c>
      <c r="J13">
        <v>2.5816494581544702E-3</v>
      </c>
      <c r="K13">
        <v>2.5690331884442447E-3</v>
      </c>
      <c r="L13">
        <v>2.5077861149177391E-3</v>
      </c>
      <c r="M13">
        <v>2.451145306514147E-3</v>
      </c>
      <c r="N13">
        <v>2.5192794430501978E-3</v>
      </c>
      <c r="O13">
        <v>2.460394941308547E-3</v>
      </c>
      <c r="P13">
        <v>2.5831730301920145E-3</v>
      </c>
      <c r="Q13">
        <v>2.6009987423547868E-3</v>
      </c>
      <c r="R13">
        <v>2.570476414785815E-3</v>
      </c>
      <c r="S13">
        <v>2.6713023565272556E-3</v>
      </c>
      <c r="T13">
        <v>2.7236813207637415E-3</v>
      </c>
      <c r="U13">
        <v>2.8162489565930664E-3</v>
      </c>
    </row>
    <row r="14" spans="1:24">
      <c r="A14" t="s">
        <v>11</v>
      </c>
      <c r="B14">
        <v>1.9574145448857908E-3</v>
      </c>
      <c r="C14">
        <v>2.5551414135348664E-3</v>
      </c>
      <c r="D14">
        <v>3.1131809708211853E-3</v>
      </c>
      <c r="E14">
        <v>3.5379143711719865E-3</v>
      </c>
      <c r="F14">
        <v>3.6699013613679093E-3</v>
      </c>
      <c r="G14">
        <v>3.874746315713279E-3</v>
      </c>
      <c r="H14">
        <v>4.0646596780939273E-3</v>
      </c>
      <c r="I14">
        <v>4.2703118817177272E-3</v>
      </c>
      <c r="J14">
        <v>4.3780918858018101E-3</v>
      </c>
      <c r="K14">
        <v>4.2771753998492009E-3</v>
      </c>
      <c r="L14">
        <v>4.3181081670075399E-3</v>
      </c>
      <c r="M14">
        <v>4.3944108054986466E-3</v>
      </c>
      <c r="N14">
        <v>4.4720236105086275E-3</v>
      </c>
      <c r="O14">
        <v>4.5736755538016167E-3</v>
      </c>
      <c r="P14">
        <v>4.8640354690734347E-3</v>
      </c>
      <c r="Q14">
        <v>4.7480550312545954E-3</v>
      </c>
      <c r="R14">
        <v>4.7777763978719568E-3</v>
      </c>
      <c r="S14">
        <v>4.5984323559230197E-3</v>
      </c>
      <c r="T14">
        <v>4.4126140269059224E-3</v>
      </c>
      <c r="U14">
        <v>4.5462726560580894E-3</v>
      </c>
    </row>
    <row r="15" spans="1:24">
      <c r="A15" t="s">
        <v>12</v>
      </c>
      <c r="B15">
        <v>2.1074391730433887E-3</v>
      </c>
      <c r="C15">
        <v>2.4713142911264676E-3</v>
      </c>
      <c r="D15">
        <v>2.8710506474048645E-3</v>
      </c>
      <c r="E15">
        <v>3.1155485919537179E-3</v>
      </c>
      <c r="F15">
        <v>3.1943930601579739E-3</v>
      </c>
      <c r="G15">
        <v>3.2482213052558249E-3</v>
      </c>
      <c r="H15">
        <v>3.3108323617781813E-3</v>
      </c>
      <c r="I15">
        <v>3.3273982231312731E-3</v>
      </c>
      <c r="J15">
        <v>3.3934429093239291E-3</v>
      </c>
      <c r="K15">
        <v>3.4040159157075378E-3</v>
      </c>
      <c r="L15">
        <v>3.5179784894570519E-3</v>
      </c>
      <c r="M15">
        <v>3.6589389104704452E-3</v>
      </c>
      <c r="N15">
        <v>3.6946809304725355E-3</v>
      </c>
      <c r="O15">
        <v>3.523121549558837E-3</v>
      </c>
      <c r="P15">
        <v>3.6791886741202543E-3</v>
      </c>
      <c r="Q15">
        <v>3.583129177007325E-3</v>
      </c>
      <c r="R15">
        <v>3.7057503794579701E-3</v>
      </c>
      <c r="S15">
        <v>3.7351903443773168E-3</v>
      </c>
      <c r="T15">
        <v>3.7076427332987686E-3</v>
      </c>
      <c r="U15">
        <v>3.7440684586742779E-3</v>
      </c>
    </row>
    <row r="16" spans="1:24">
      <c r="A16" t="s">
        <v>13</v>
      </c>
      <c r="B16">
        <v>1.7166850142105569E-3</v>
      </c>
      <c r="C16">
        <v>2.244338230412958E-3</v>
      </c>
      <c r="D16">
        <v>3.0046652986952652E-3</v>
      </c>
      <c r="E16">
        <v>3.5384627971706013E-3</v>
      </c>
      <c r="F16">
        <v>3.7798632108009601E-3</v>
      </c>
      <c r="G16">
        <v>4.0172446686734219E-3</v>
      </c>
      <c r="H16">
        <v>4.2685952769785105E-3</v>
      </c>
      <c r="I16">
        <v>4.4772925028130966E-3</v>
      </c>
      <c r="J16">
        <v>4.6445485707747947E-3</v>
      </c>
      <c r="K16">
        <v>4.740330045147686E-3</v>
      </c>
      <c r="L16">
        <v>4.9017298559502417E-3</v>
      </c>
      <c r="M16">
        <v>5.0832577366995814E-3</v>
      </c>
      <c r="N16">
        <v>5.1172546535654395E-3</v>
      </c>
      <c r="O16">
        <v>5.0678561112211433E-3</v>
      </c>
      <c r="P16">
        <v>5.0212068832233029E-3</v>
      </c>
      <c r="Q16">
        <v>5.21298525892062E-3</v>
      </c>
      <c r="R16">
        <v>5.3698549030981911E-3</v>
      </c>
      <c r="S16">
        <v>5.2849701411874948E-3</v>
      </c>
      <c r="T16">
        <v>5.2730612887337009E-3</v>
      </c>
      <c r="U16">
        <v>5.1122238191895625E-3</v>
      </c>
    </row>
    <row r="17" spans="1:21">
      <c r="A17" t="s">
        <v>14</v>
      </c>
      <c r="B17">
        <v>1.7218518187505586E-3</v>
      </c>
      <c r="C17">
        <v>2.2923240844146433E-3</v>
      </c>
      <c r="D17">
        <v>3.0384715624518616E-3</v>
      </c>
      <c r="E17">
        <v>3.432235295377077E-3</v>
      </c>
      <c r="F17">
        <v>3.7848638442572616E-3</v>
      </c>
      <c r="G17">
        <v>4.0019361157833571E-3</v>
      </c>
      <c r="H17">
        <v>4.013097558804463E-3</v>
      </c>
      <c r="I17">
        <v>4.1821046473027304E-3</v>
      </c>
      <c r="J17">
        <v>4.2350000962570033E-3</v>
      </c>
      <c r="K17">
        <v>4.2797425282361471E-3</v>
      </c>
      <c r="L17">
        <v>4.2930122804903425E-3</v>
      </c>
      <c r="M17">
        <v>4.3068449369137304E-3</v>
      </c>
      <c r="N17">
        <v>4.4030145944153791E-3</v>
      </c>
      <c r="O17">
        <v>4.5711013719362441E-3</v>
      </c>
      <c r="P17">
        <v>4.5226848760650893E-3</v>
      </c>
      <c r="Q17">
        <v>4.5502868157824309E-3</v>
      </c>
      <c r="R17">
        <v>4.6569418135956166E-3</v>
      </c>
      <c r="S17">
        <v>4.5504391220327301E-3</v>
      </c>
      <c r="T17">
        <v>4.5198773224898823E-3</v>
      </c>
      <c r="U17">
        <v>4.4910050855010439E-3</v>
      </c>
    </row>
    <row r="18" spans="1:21">
      <c r="A18" t="s">
        <v>15</v>
      </c>
      <c r="B18">
        <v>1.874848051417089E-3</v>
      </c>
      <c r="C18">
        <v>2.5701525422892509E-3</v>
      </c>
      <c r="D18">
        <v>3.3574099708852437E-3</v>
      </c>
      <c r="E18">
        <v>3.838666218316588E-3</v>
      </c>
      <c r="F18">
        <v>4.1284245394836282E-3</v>
      </c>
      <c r="G18">
        <v>4.2715417995600712E-3</v>
      </c>
      <c r="H18">
        <v>4.4713555500766342E-3</v>
      </c>
      <c r="I18">
        <v>4.4451707374285991E-3</v>
      </c>
      <c r="J18">
        <v>4.4943234114577799E-3</v>
      </c>
      <c r="K18">
        <v>4.5516478301916713E-3</v>
      </c>
      <c r="L18">
        <v>4.6526527570597172E-3</v>
      </c>
      <c r="M18">
        <v>4.7354405114301114E-3</v>
      </c>
      <c r="N18">
        <v>4.9799580164352044E-3</v>
      </c>
      <c r="O18">
        <v>4.9556578840953963E-3</v>
      </c>
      <c r="P18">
        <v>4.7986172147944303E-3</v>
      </c>
      <c r="Q18">
        <v>4.8430551747527528E-3</v>
      </c>
      <c r="R18">
        <v>4.8722070859745009E-3</v>
      </c>
      <c r="S18">
        <v>4.8502200899708456E-3</v>
      </c>
      <c r="T18">
        <v>4.8342515330258001E-3</v>
      </c>
      <c r="U18">
        <v>4.8034676274140908E-3</v>
      </c>
    </row>
    <row r="19" spans="1:21">
      <c r="A19" t="s">
        <v>16</v>
      </c>
      <c r="B19">
        <v>2.0398700435468281E-3</v>
      </c>
      <c r="C19">
        <v>2.3900179003124122E-3</v>
      </c>
      <c r="D19">
        <v>2.8670489813789435E-3</v>
      </c>
      <c r="E19">
        <v>3.1476510314234463E-3</v>
      </c>
      <c r="F19">
        <v>3.3041235632004376E-3</v>
      </c>
      <c r="G19">
        <v>3.4969741848375458E-3</v>
      </c>
      <c r="H19">
        <v>3.5745697682682373E-3</v>
      </c>
      <c r="I19">
        <v>3.6633466011158251E-3</v>
      </c>
      <c r="J19">
        <v>3.6947763487874207E-3</v>
      </c>
      <c r="K19">
        <v>3.7119385398732964E-3</v>
      </c>
      <c r="L19">
        <v>3.8219339884911483E-3</v>
      </c>
      <c r="M19">
        <v>3.8786774891505144E-3</v>
      </c>
      <c r="N19">
        <v>3.9104604069207394E-3</v>
      </c>
      <c r="O19">
        <v>3.9493678936340934E-3</v>
      </c>
      <c r="P19">
        <v>3.9277954706959228E-3</v>
      </c>
      <c r="Q19">
        <v>4.0397637243422234E-3</v>
      </c>
      <c r="R19">
        <v>3.9702349580213892E-3</v>
      </c>
      <c r="S19">
        <v>4.02769952304078E-3</v>
      </c>
      <c r="T19">
        <v>3.9698167275320426E-3</v>
      </c>
      <c r="U19">
        <v>3.9440739341545976E-3</v>
      </c>
    </row>
    <row r="20" spans="1:21">
      <c r="A20" t="s">
        <v>17</v>
      </c>
      <c r="B20">
        <v>2.1287161467955741E-3</v>
      </c>
      <c r="C20">
        <v>2.569736415541772E-3</v>
      </c>
      <c r="D20">
        <v>3.0946131254770849E-3</v>
      </c>
      <c r="E20">
        <v>3.3476216476753212E-3</v>
      </c>
      <c r="F20">
        <v>3.5747394643654896E-3</v>
      </c>
      <c r="G20">
        <v>3.7567268602064583E-3</v>
      </c>
      <c r="H20">
        <v>3.8570218192962857E-3</v>
      </c>
      <c r="I20">
        <v>4.0349572833481197E-3</v>
      </c>
      <c r="J20">
        <v>4.1589284907030235E-3</v>
      </c>
      <c r="K20">
        <v>4.1798123338704441E-3</v>
      </c>
      <c r="L20">
        <v>4.1502848368730159E-3</v>
      </c>
      <c r="M20">
        <v>4.255050792491423E-3</v>
      </c>
      <c r="N20">
        <v>4.297733943689438E-3</v>
      </c>
      <c r="O20">
        <v>4.3077074728136242E-3</v>
      </c>
      <c r="P20">
        <v>4.3913518397685819E-3</v>
      </c>
      <c r="Q20">
        <v>4.3969562697477897E-3</v>
      </c>
      <c r="R20">
        <v>4.4209702394601034E-3</v>
      </c>
      <c r="S20">
        <v>4.4558672257078748E-3</v>
      </c>
      <c r="T20">
        <v>4.5220939034120965E-3</v>
      </c>
      <c r="U20">
        <v>4.5031549106464234E-3</v>
      </c>
    </row>
    <row r="21" spans="1:21">
      <c r="A21" t="s">
        <v>18</v>
      </c>
      <c r="B21">
        <v>2.1164558254305335E-3</v>
      </c>
      <c r="C21">
        <v>2.5574221263293955E-3</v>
      </c>
      <c r="D21">
        <v>3.0750103592740614E-3</v>
      </c>
      <c r="E21">
        <v>3.3294860825230192E-3</v>
      </c>
      <c r="F21">
        <v>3.5341176396275755E-3</v>
      </c>
      <c r="G21">
        <v>3.7342254862179651E-3</v>
      </c>
      <c r="H21">
        <v>3.8010404786082484E-3</v>
      </c>
      <c r="I21">
        <v>3.9294274447705382E-3</v>
      </c>
      <c r="J21">
        <v>3.9899250701601026E-3</v>
      </c>
      <c r="K21">
        <v>4.0922722676802522E-3</v>
      </c>
      <c r="L21">
        <v>4.1846117980393191E-3</v>
      </c>
      <c r="M21">
        <v>4.2237995765653695E-3</v>
      </c>
      <c r="N21">
        <v>4.2311358834023968E-3</v>
      </c>
      <c r="O21">
        <v>4.3165741008090314E-3</v>
      </c>
      <c r="P21">
        <v>4.3848657980647488E-3</v>
      </c>
      <c r="Q21">
        <v>4.4097893810899772E-3</v>
      </c>
      <c r="R21">
        <v>4.4400741457813553E-3</v>
      </c>
      <c r="S21">
        <v>4.445645016225303E-3</v>
      </c>
      <c r="T21">
        <v>4.4977069015284584E-3</v>
      </c>
      <c r="U21">
        <v>4.5728673831903583E-3</v>
      </c>
    </row>
    <row r="22" spans="1:21">
      <c r="A22" t="s">
        <v>19</v>
      </c>
      <c r="B22">
        <v>1.9642468032990811E-3</v>
      </c>
      <c r="C22">
        <v>2.3159846457453722E-3</v>
      </c>
      <c r="D22">
        <v>2.7163169934155892E-3</v>
      </c>
      <c r="E22">
        <v>2.8764277725915723E-3</v>
      </c>
      <c r="F22">
        <v>3.0306063273475292E-3</v>
      </c>
      <c r="G22">
        <v>3.1923828350375579E-3</v>
      </c>
      <c r="H22">
        <v>3.3232061194834986E-3</v>
      </c>
      <c r="I22">
        <v>3.4004180359953947E-3</v>
      </c>
      <c r="J22">
        <v>3.5066919770367156E-3</v>
      </c>
      <c r="K22">
        <v>3.5284015980455367E-3</v>
      </c>
      <c r="L22">
        <v>3.6579964903951556E-3</v>
      </c>
      <c r="M22">
        <v>3.6214125197266611E-3</v>
      </c>
      <c r="N22">
        <v>3.6367093607342811E-3</v>
      </c>
      <c r="O22">
        <v>3.73529543166832E-3</v>
      </c>
      <c r="P22">
        <v>3.8297741629932762E-3</v>
      </c>
      <c r="Q22">
        <v>3.8853761473782999E-3</v>
      </c>
      <c r="R22">
        <v>3.9866717238912592E-3</v>
      </c>
      <c r="S22">
        <v>3.9933803098540265E-3</v>
      </c>
      <c r="T22">
        <v>4.0648355415415375E-3</v>
      </c>
      <c r="U22">
        <v>4.0428897230182807E-3</v>
      </c>
    </row>
    <row r="23" spans="1:21">
      <c r="A23" t="s">
        <v>20</v>
      </c>
      <c r="B23">
        <v>2.1180460011506978E-3</v>
      </c>
      <c r="C23">
        <v>2.5637723246073221E-3</v>
      </c>
      <c r="D23">
        <v>3.0737812757718756E-3</v>
      </c>
      <c r="E23">
        <v>3.3044590390597997E-3</v>
      </c>
      <c r="F23">
        <v>3.5047158883446858E-3</v>
      </c>
      <c r="G23">
        <v>3.7148142012253089E-3</v>
      </c>
      <c r="H23">
        <v>3.8255486563759772E-3</v>
      </c>
      <c r="I23">
        <v>3.9699211832310384E-3</v>
      </c>
      <c r="J23">
        <v>4.1117466111124041E-3</v>
      </c>
      <c r="K23">
        <v>4.1259736061081062E-3</v>
      </c>
      <c r="L23">
        <v>4.1372494862654211E-3</v>
      </c>
      <c r="M23">
        <v>4.2189747424250671E-3</v>
      </c>
      <c r="N23">
        <v>4.2556360977095628E-3</v>
      </c>
      <c r="O23">
        <v>4.3762093089122784E-3</v>
      </c>
      <c r="P23">
        <v>4.4737146605829574E-3</v>
      </c>
      <c r="Q23">
        <v>4.4580261975206174E-3</v>
      </c>
      <c r="R23">
        <v>4.419059427235127E-3</v>
      </c>
      <c r="S23">
        <v>4.3954508390663229E-3</v>
      </c>
      <c r="T23">
        <v>4.5681063819019508E-3</v>
      </c>
      <c r="U23">
        <v>4.5838976396448397E-3</v>
      </c>
    </row>
    <row r="24" spans="1:21">
      <c r="A24" t="s">
        <v>21</v>
      </c>
      <c r="B24">
        <v>2.0123825251649251E-3</v>
      </c>
      <c r="C24">
        <v>2.3473970022917733E-3</v>
      </c>
      <c r="D24">
        <v>2.7650853376570998E-3</v>
      </c>
      <c r="E24">
        <v>2.9269257594882366E-3</v>
      </c>
      <c r="F24">
        <v>3.0875090460996697E-3</v>
      </c>
      <c r="G24">
        <v>3.3210840104946392E-3</v>
      </c>
      <c r="H24">
        <v>3.3841268406464655E-3</v>
      </c>
      <c r="I24">
        <v>3.6089628155785728E-3</v>
      </c>
      <c r="J24">
        <v>3.6185035432962057E-3</v>
      </c>
      <c r="K24">
        <v>3.6338019746761604E-3</v>
      </c>
      <c r="L24">
        <v>3.6989692554582126E-3</v>
      </c>
      <c r="M24">
        <v>3.7522468146257487E-3</v>
      </c>
      <c r="N24">
        <v>3.739277364642512E-3</v>
      </c>
      <c r="O24">
        <v>3.7817202214906818E-3</v>
      </c>
      <c r="P24">
        <v>3.7845802280187827E-3</v>
      </c>
      <c r="Q24">
        <v>3.8507854074551337E-3</v>
      </c>
      <c r="R24">
        <v>3.8560460599179648E-3</v>
      </c>
      <c r="S24">
        <v>3.8930831652394787E-3</v>
      </c>
      <c r="T24">
        <v>3.8910595503250664E-3</v>
      </c>
      <c r="U24">
        <v>3.8922406204067606E-3</v>
      </c>
    </row>
    <row r="25" spans="1:21">
      <c r="A25" t="s">
        <v>34</v>
      </c>
      <c r="B25">
        <v>2.1142590157650271E-3</v>
      </c>
      <c r="C25">
        <v>2.5376538568773564E-3</v>
      </c>
      <c r="D25">
        <v>3.0465705017760653E-3</v>
      </c>
      <c r="E25">
        <v>3.3207447628636555E-3</v>
      </c>
      <c r="F25">
        <v>3.544368727014476E-3</v>
      </c>
      <c r="G25">
        <v>3.7022536038878156E-3</v>
      </c>
      <c r="H25">
        <v>3.7748003777372356E-3</v>
      </c>
      <c r="I25">
        <v>3.8809687564687265E-3</v>
      </c>
      <c r="J25">
        <v>4.0246667000225821E-3</v>
      </c>
      <c r="K25">
        <v>4.1656585726376448E-3</v>
      </c>
      <c r="L25">
        <v>4.2866689668252913E-3</v>
      </c>
      <c r="M25">
        <v>4.3532131623387482E-3</v>
      </c>
      <c r="N25">
        <v>4.418058430849108E-3</v>
      </c>
      <c r="O25">
        <v>4.4781006342232291E-3</v>
      </c>
      <c r="P25">
        <v>4.3979465148876193E-3</v>
      </c>
      <c r="Q25">
        <v>4.3263245414195736E-3</v>
      </c>
      <c r="R25">
        <v>4.4346821980018941E-3</v>
      </c>
      <c r="S25">
        <v>4.3647745415512839E-3</v>
      </c>
      <c r="T25">
        <v>4.4625134032849501E-3</v>
      </c>
      <c r="U25">
        <v>4.5281026596919564E-3</v>
      </c>
    </row>
    <row r="26" spans="1:21">
      <c r="A26" t="s">
        <v>22</v>
      </c>
      <c r="B26">
        <v>1.8388263311644587E-3</v>
      </c>
      <c r="C26">
        <v>2.6304744564868815E-3</v>
      </c>
      <c r="D26">
        <v>3.6561549398776588E-3</v>
      </c>
      <c r="E26">
        <v>4.284352097117132E-3</v>
      </c>
      <c r="F26">
        <v>4.8334864982516436E-3</v>
      </c>
      <c r="G26">
        <v>5.2828254667613289E-3</v>
      </c>
      <c r="H26">
        <v>5.5505151087737407E-3</v>
      </c>
      <c r="I26">
        <v>5.7873132241113238E-3</v>
      </c>
      <c r="J26">
        <v>6.1361240437220787E-3</v>
      </c>
      <c r="K26">
        <v>6.2503101364159144E-3</v>
      </c>
      <c r="L26">
        <v>6.3621676057439309E-3</v>
      </c>
      <c r="M26">
        <v>6.5596491561666472E-3</v>
      </c>
      <c r="N26">
        <v>6.5685729234901758E-3</v>
      </c>
      <c r="O26">
        <v>6.6400317281918413E-3</v>
      </c>
      <c r="P26">
        <v>6.7635712163553793E-3</v>
      </c>
      <c r="Q26">
        <v>6.8254630731846965E-3</v>
      </c>
      <c r="R26">
        <v>6.8792476971518048E-3</v>
      </c>
      <c r="S26">
        <v>7.0109750030916684E-3</v>
      </c>
      <c r="T26">
        <v>7.0074451799395383E-3</v>
      </c>
      <c r="U26">
        <v>6.9835795945286609E-3</v>
      </c>
    </row>
    <row r="27" spans="1:21">
      <c r="A27" t="s">
        <v>23</v>
      </c>
      <c r="B27">
        <v>2.0372128314595883E-3</v>
      </c>
      <c r="C27">
        <v>2.3897404831785003E-3</v>
      </c>
      <c r="D27">
        <v>2.7289128255946001E-3</v>
      </c>
      <c r="E27">
        <v>2.8215851838897408E-3</v>
      </c>
      <c r="F27">
        <v>2.9663442820035413E-3</v>
      </c>
      <c r="G27">
        <v>3.0960598611680873E-3</v>
      </c>
      <c r="H27">
        <v>3.2633703280093556E-3</v>
      </c>
      <c r="I27">
        <v>3.3365108303746427E-3</v>
      </c>
      <c r="J27">
        <v>3.3522063205697621E-3</v>
      </c>
      <c r="K27">
        <v>3.397388887533684E-3</v>
      </c>
      <c r="L27">
        <v>3.4809780835934252E-3</v>
      </c>
      <c r="M27">
        <v>3.5533469580508494E-3</v>
      </c>
      <c r="N27">
        <v>3.6593042112460588E-3</v>
      </c>
      <c r="O27">
        <v>3.6880976745584356E-3</v>
      </c>
      <c r="P27">
        <v>3.6624640579420967E-3</v>
      </c>
      <c r="Q27">
        <v>3.62329850589806E-3</v>
      </c>
      <c r="R27">
        <v>3.6641755840941957E-3</v>
      </c>
      <c r="S27">
        <v>3.6458358088759745E-3</v>
      </c>
      <c r="T27">
        <v>3.6799854418521935E-3</v>
      </c>
      <c r="U27">
        <v>3.7355971649422198E-3</v>
      </c>
    </row>
    <row r="28" spans="1:21">
      <c r="A28" t="s">
        <v>24</v>
      </c>
      <c r="B28">
        <v>2.0224737910447478E-3</v>
      </c>
      <c r="C28">
        <v>2.403274660508437E-3</v>
      </c>
      <c r="D28">
        <v>2.86167262305361E-3</v>
      </c>
      <c r="E28">
        <v>3.0928445367619088E-3</v>
      </c>
      <c r="F28">
        <v>3.2859027276231248E-3</v>
      </c>
      <c r="G28">
        <v>3.4966609080063996E-3</v>
      </c>
      <c r="H28">
        <v>3.6336473601709732E-3</v>
      </c>
      <c r="I28">
        <v>3.7095462086894136E-3</v>
      </c>
      <c r="J28">
        <v>3.8647286339342289E-3</v>
      </c>
      <c r="K28">
        <v>4.0301769364071496E-3</v>
      </c>
      <c r="L28">
        <v>4.0963878028323691E-3</v>
      </c>
      <c r="M28">
        <v>4.1773396354431308E-3</v>
      </c>
      <c r="N28">
        <v>4.2197575847338457E-3</v>
      </c>
      <c r="O28">
        <v>4.2940359471937729E-3</v>
      </c>
      <c r="P28">
        <v>4.3177206105416309E-3</v>
      </c>
      <c r="Q28">
        <v>4.2327498979025492E-3</v>
      </c>
      <c r="R28">
        <v>4.2866389500836634E-3</v>
      </c>
      <c r="S28">
        <v>4.2874677619638936E-3</v>
      </c>
      <c r="T28">
        <v>4.3009524961751446E-3</v>
      </c>
      <c r="U28">
        <v>4.3727919515479672E-3</v>
      </c>
    </row>
    <row r="29" spans="1:21">
      <c r="A29" t="s">
        <v>25</v>
      </c>
      <c r="B29">
        <v>2.064100343414053E-3</v>
      </c>
      <c r="C29">
        <v>2.3859934866891012E-3</v>
      </c>
      <c r="D29">
        <v>2.7898071707911092E-3</v>
      </c>
      <c r="E29">
        <v>2.8972487325778741E-3</v>
      </c>
      <c r="F29">
        <v>3.1012050313704242E-3</v>
      </c>
      <c r="G29">
        <v>3.2085681971707027E-3</v>
      </c>
      <c r="H29">
        <v>3.2507840494088681E-3</v>
      </c>
      <c r="I29">
        <v>3.2871905776562112E-3</v>
      </c>
      <c r="J29">
        <v>3.3459781745326651E-3</v>
      </c>
      <c r="K29">
        <v>3.3443147671871078E-3</v>
      </c>
      <c r="L29">
        <v>3.3998936306113615E-3</v>
      </c>
      <c r="M29">
        <v>3.4329236399477416E-3</v>
      </c>
      <c r="N29">
        <v>3.3847344880167077E-3</v>
      </c>
      <c r="O29">
        <v>3.3127635910936634E-3</v>
      </c>
      <c r="P29">
        <v>3.2876191929208944E-3</v>
      </c>
      <c r="Q29">
        <v>3.3154528574375901E-3</v>
      </c>
      <c r="R29">
        <v>3.3573025909452215E-3</v>
      </c>
      <c r="S29">
        <v>3.3214821825297324E-3</v>
      </c>
      <c r="T29">
        <v>3.4143436411038265E-3</v>
      </c>
      <c r="U29">
        <v>3.4489001946108396E-3</v>
      </c>
    </row>
    <row r="30" spans="1:21">
      <c r="A30" t="s">
        <v>26</v>
      </c>
      <c r="B30">
        <v>1.6866170035226486E-3</v>
      </c>
      <c r="C30">
        <v>1.8370778487389573E-3</v>
      </c>
      <c r="D30">
        <v>1.9055655307196405E-3</v>
      </c>
      <c r="E30">
        <v>1.8792119247876275E-3</v>
      </c>
      <c r="F30">
        <v>1.8973112052580133E-3</v>
      </c>
      <c r="G30">
        <v>1.8683425836030693E-3</v>
      </c>
      <c r="H30">
        <v>1.8946297746399606E-3</v>
      </c>
      <c r="I30">
        <v>1.9222621426378257E-3</v>
      </c>
      <c r="J30">
        <v>1.9294743696252553E-3</v>
      </c>
      <c r="K30">
        <v>2.0014632070391842E-3</v>
      </c>
      <c r="L30">
        <v>2.0134798880764868E-3</v>
      </c>
      <c r="M30">
        <v>1.8770080355527874E-3</v>
      </c>
      <c r="N30">
        <v>1.8948253599168205E-3</v>
      </c>
      <c r="O30">
        <v>1.8176916745449385E-3</v>
      </c>
      <c r="P30">
        <v>1.7745427754236754E-3</v>
      </c>
      <c r="Q30">
        <v>1.7442781479859043E-3</v>
      </c>
      <c r="R30">
        <v>1.7639524645341879E-3</v>
      </c>
      <c r="S30">
        <v>1.7686902207255672E-3</v>
      </c>
      <c r="T30">
        <v>1.776203251745872E-3</v>
      </c>
      <c r="U30">
        <v>1.8221241890253013E-3</v>
      </c>
    </row>
    <row r="31" spans="1:21">
      <c r="A31" t="s">
        <v>27</v>
      </c>
      <c r="B31">
        <v>2.0696599409240272E-3</v>
      </c>
      <c r="C31">
        <v>2.3512135799186639E-3</v>
      </c>
      <c r="D31">
        <v>2.6442279585310062E-3</v>
      </c>
      <c r="E31">
        <v>2.8413104440746075E-3</v>
      </c>
      <c r="F31">
        <v>3.0849726404654863E-3</v>
      </c>
      <c r="G31">
        <v>3.30758339324096E-3</v>
      </c>
      <c r="H31">
        <v>3.5333307047990484E-3</v>
      </c>
      <c r="I31">
        <v>3.7566454223098068E-3</v>
      </c>
      <c r="J31">
        <v>3.8607479924195037E-3</v>
      </c>
      <c r="K31">
        <v>3.9867468971243984E-3</v>
      </c>
      <c r="L31">
        <v>4.1628743661425291E-3</v>
      </c>
      <c r="M31">
        <v>4.3736577780882175E-3</v>
      </c>
      <c r="N31">
        <v>4.4367945091400825E-3</v>
      </c>
      <c r="O31">
        <v>4.5276659314526088E-3</v>
      </c>
      <c r="P31">
        <v>4.5647917013987727E-3</v>
      </c>
      <c r="Q31">
        <v>4.5328582118605411E-3</v>
      </c>
      <c r="R31">
        <v>4.6787515139577315E-3</v>
      </c>
      <c r="S31">
        <v>4.5835558454072499E-3</v>
      </c>
      <c r="T31">
        <v>4.644478160417069E-3</v>
      </c>
      <c r="U31">
        <v>4.6431928238059349E-3</v>
      </c>
    </row>
    <row r="32" spans="1:21">
      <c r="A32" t="s">
        <v>28</v>
      </c>
      <c r="B32">
        <v>1.8939748631110105E-3</v>
      </c>
      <c r="C32">
        <v>2.5634671453155225E-3</v>
      </c>
      <c r="D32">
        <v>3.3754139632744141E-3</v>
      </c>
      <c r="E32">
        <v>3.9667373942515478E-3</v>
      </c>
      <c r="F32">
        <v>4.5840295940225454E-3</v>
      </c>
      <c r="G32">
        <v>4.7719411751163121E-3</v>
      </c>
      <c r="H32">
        <v>5.0661726061964488E-3</v>
      </c>
      <c r="I32">
        <v>5.4135633539293109E-3</v>
      </c>
      <c r="J32">
        <v>5.5337628462322503E-3</v>
      </c>
      <c r="K32">
        <v>5.7190268931090488E-3</v>
      </c>
      <c r="L32">
        <v>5.9889661641511528E-3</v>
      </c>
      <c r="M32">
        <v>6.2420405800543248E-3</v>
      </c>
      <c r="N32">
        <v>6.3106511626852104E-3</v>
      </c>
      <c r="O32">
        <v>6.4427022415172348E-3</v>
      </c>
      <c r="P32">
        <v>6.5195317527807816E-3</v>
      </c>
      <c r="Q32">
        <v>6.8552183159374643E-3</v>
      </c>
      <c r="R32">
        <v>7.1396617028205963E-3</v>
      </c>
      <c r="S32">
        <v>7.0708626546025282E-3</v>
      </c>
      <c r="T32">
        <v>6.9147095363366337E-3</v>
      </c>
      <c r="U32">
        <v>7.1370168218324202E-3</v>
      </c>
    </row>
    <row r="33" spans="1:21">
      <c r="A33" t="s">
        <v>29</v>
      </c>
      <c r="B33">
        <v>1.9660278798688162E-3</v>
      </c>
      <c r="C33">
        <v>2.6764873824511298E-3</v>
      </c>
      <c r="D33">
        <v>3.5438591574414964E-3</v>
      </c>
      <c r="E33">
        <v>4.127351801154912E-3</v>
      </c>
      <c r="F33">
        <v>4.3802671458038527E-3</v>
      </c>
      <c r="G33">
        <v>4.7736124058922486E-3</v>
      </c>
      <c r="H33">
        <v>5.0887371159622167E-3</v>
      </c>
      <c r="I33">
        <v>5.4392716510419702E-3</v>
      </c>
      <c r="J33">
        <v>5.6226530538627667E-3</v>
      </c>
      <c r="K33">
        <v>5.8409681247126657E-3</v>
      </c>
      <c r="L33">
        <v>6.0688091247105835E-3</v>
      </c>
      <c r="M33">
        <v>6.2421317156258127E-3</v>
      </c>
      <c r="N33">
        <v>6.4367700060798741E-3</v>
      </c>
      <c r="O33">
        <v>6.6304337187913223E-3</v>
      </c>
      <c r="P33">
        <v>6.7637947531525352E-3</v>
      </c>
      <c r="Q33">
        <v>6.7162752921849193E-3</v>
      </c>
      <c r="R33">
        <v>6.7584112481579705E-3</v>
      </c>
      <c r="S33">
        <v>6.8607348365860542E-3</v>
      </c>
      <c r="T33">
        <v>6.9369173487406604E-3</v>
      </c>
      <c r="U33">
        <v>7.0766915150381636E-3</v>
      </c>
    </row>
    <row r="34" spans="1:21">
      <c r="A34" t="s">
        <v>30</v>
      </c>
      <c r="B34">
        <v>1.9609307101244762E-3</v>
      </c>
      <c r="C34">
        <v>2.6944549111566373E-3</v>
      </c>
      <c r="D34">
        <v>3.4905659605832268E-3</v>
      </c>
      <c r="E34">
        <v>4.081618034375083E-3</v>
      </c>
      <c r="F34">
        <v>4.4370567728936336E-3</v>
      </c>
      <c r="G34">
        <v>4.7656974651331795E-3</v>
      </c>
      <c r="H34">
        <v>5.0707075744635512E-3</v>
      </c>
      <c r="I34">
        <v>5.2613567660352101E-3</v>
      </c>
      <c r="J34">
        <v>5.4656760104439331E-3</v>
      </c>
      <c r="K34">
        <v>5.8169303290547944E-3</v>
      </c>
      <c r="L34">
        <v>6.0282276897678346E-3</v>
      </c>
      <c r="M34">
        <v>6.034483774321686E-3</v>
      </c>
      <c r="N34">
        <v>6.2493310491145712E-3</v>
      </c>
      <c r="O34">
        <v>6.4562880620597238E-3</v>
      </c>
      <c r="P34">
        <v>6.6154012816346253E-3</v>
      </c>
      <c r="Q34">
        <v>6.7061394902324222E-3</v>
      </c>
      <c r="R34">
        <v>6.8105676895021446E-3</v>
      </c>
      <c r="S34">
        <v>6.7085440912684584E-3</v>
      </c>
      <c r="T34">
        <v>6.7896820173945667E-3</v>
      </c>
      <c r="U34">
        <v>6.8527517150545406E-3</v>
      </c>
    </row>
    <row r="35" spans="1:21">
      <c r="A35" t="s">
        <v>31</v>
      </c>
      <c r="B35">
        <v>1.7713535283704657E-3</v>
      </c>
      <c r="C35">
        <v>1.996204734679507E-3</v>
      </c>
      <c r="D35">
        <v>2.2781734774952544E-3</v>
      </c>
      <c r="E35">
        <v>2.4598821900257452E-3</v>
      </c>
      <c r="F35">
        <v>2.6001747370258152E-3</v>
      </c>
      <c r="G35">
        <v>2.6871125064374555E-3</v>
      </c>
      <c r="H35">
        <v>2.8664515734241626E-3</v>
      </c>
      <c r="I35">
        <v>2.9456536546034347E-3</v>
      </c>
      <c r="J35">
        <v>3.0302636649987206E-3</v>
      </c>
      <c r="K35">
        <v>3.0781561118368075E-3</v>
      </c>
      <c r="L35">
        <v>3.1052484843612765E-3</v>
      </c>
      <c r="M35">
        <v>3.0801910440192617E-3</v>
      </c>
      <c r="N35">
        <v>3.074936377178419E-3</v>
      </c>
      <c r="O35">
        <v>3.0915962016526835E-3</v>
      </c>
      <c r="P35">
        <v>3.1172115949327367E-3</v>
      </c>
      <c r="Q35">
        <v>3.1410254671838372E-3</v>
      </c>
      <c r="R35">
        <v>3.1679283207293437E-3</v>
      </c>
      <c r="S35">
        <v>3.2875250291193991E-3</v>
      </c>
      <c r="T35">
        <v>3.3081593993468552E-3</v>
      </c>
      <c r="U35">
        <v>3.3149623877958656E-3</v>
      </c>
    </row>
    <row r="36" spans="1:21">
      <c r="A36" t="s">
        <v>32</v>
      </c>
      <c r="B36">
        <v>1.7955291746669945E-3</v>
      </c>
      <c r="C36">
        <v>2.049162976281901E-3</v>
      </c>
      <c r="D36">
        <v>2.3944985776684457E-3</v>
      </c>
      <c r="E36">
        <v>2.6201531703726124E-3</v>
      </c>
      <c r="F36">
        <v>2.8181477751744594E-3</v>
      </c>
      <c r="G36">
        <v>2.9884725385195291E-3</v>
      </c>
      <c r="H36">
        <v>3.1340449253748973E-3</v>
      </c>
      <c r="I36">
        <v>3.2581784399517348E-3</v>
      </c>
      <c r="J36">
        <v>3.2848305110645629E-3</v>
      </c>
      <c r="K36">
        <v>3.4189117545522789E-3</v>
      </c>
      <c r="L36">
        <v>3.4545517732579023E-3</v>
      </c>
      <c r="M36">
        <v>3.4909554784085168E-3</v>
      </c>
      <c r="N36">
        <v>3.5890212931059102E-3</v>
      </c>
      <c r="O36">
        <v>3.5705848877344258E-3</v>
      </c>
      <c r="P36">
        <v>3.5501172415809143E-3</v>
      </c>
      <c r="Q36">
        <v>3.5877789867906655E-3</v>
      </c>
      <c r="R36">
        <v>3.6139650099703199E-3</v>
      </c>
      <c r="S36">
        <v>3.6630558008295057E-3</v>
      </c>
      <c r="T36">
        <v>3.629191389529168E-3</v>
      </c>
      <c r="U36">
        <v>3.6191655522970481E-3</v>
      </c>
    </row>
    <row r="37" spans="1:21">
      <c r="A37" t="s">
        <v>33</v>
      </c>
      <c r="B37">
        <v>2.0098009093084471E-3</v>
      </c>
      <c r="C37">
        <v>2.3133651510412871E-3</v>
      </c>
      <c r="D37">
        <v>2.7814639050902962E-3</v>
      </c>
      <c r="E37">
        <v>3.143153651384786E-3</v>
      </c>
      <c r="F37">
        <v>3.4416673825899348E-3</v>
      </c>
      <c r="G37">
        <v>3.6991391228261409E-3</v>
      </c>
      <c r="H37">
        <v>3.8562616023290718E-3</v>
      </c>
      <c r="I37">
        <v>3.9593047606987994E-3</v>
      </c>
      <c r="J37">
        <v>4.0020018817270306E-3</v>
      </c>
      <c r="K37">
        <v>4.0521425415100398E-3</v>
      </c>
      <c r="L37">
        <v>4.0949099104967621E-3</v>
      </c>
      <c r="M37">
        <v>4.0662402272138862E-3</v>
      </c>
      <c r="N37">
        <v>4.0900900273996427E-3</v>
      </c>
      <c r="O37">
        <v>4.0690211732870175E-3</v>
      </c>
      <c r="P37">
        <v>4.1220550786638171E-3</v>
      </c>
      <c r="Q37">
        <v>4.0929739949008542E-3</v>
      </c>
      <c r="R37">
        <v>4.0733558511736176E-3</v>
      </c>
      <c r="S37">
        <v>4.1360873112521214E-3</v>
      </c>
      <c r="T37">
        <v>4.2419073200672145E-3</v>
      </c>
      <c r="U37">
        <v>4.2788515562292113E-3</v>
      </c>
    </row>
  </sheetData>
  <phoneticPr fontId="0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1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"Chg_T_neg_1.4A"</f>
        <v>Chg_T_neg_1.4A</v>
      </c>
      <c r="C1" s="1" t="str">
        <f>"Chg_T_neg_2A"</f>
        <v>Chg_T_neg_2A</v>
      </c>
      <c r="D1" s="1" t="str">
        <f>"Chg_T_neg_3A"</f>
        <v>Chg_T_neg_3A</v>
      </c>
      <c r="E1" s="1" t="str">
        <f>"Chg_T_neg_4A"</f>
        <v>Chg_T_neg_4A</v>
      </c>
      <c r="F1" s="1" t="str">
        <f>"Chg_T_neg_5A"</f>
        <v>Chg_T_neg_5A</v>
      </c>
      <c r="G1" s="1" t="str">
        <f>"Chg_T_neg_6A"</f>
        <v>Chg_T_neg_6A</v>
      </c>
      <c r="H1" s="1" t="str">
        <f>"Chg_T_neg_7A"</f>
        <v>Chg_T_neg_7A</v>
      </c>
      <c r="I1" s="1" t="str">
        <f>"Chg_T_neg_8A"</f>
        <v>Chg_T_neg_8A</v>
      </c>
      <c r="J1" s="1" t="str">
        <f>"Chg_T_neg_9A"</f>
        <v>Chg_T_neg_9A</v>
      </c>
      <c r="K1" s="1" t="str">
        <f>"Chg_T_neg_10A"</f>
        <v>Chg_T_neg_10A</v>
      </c>
      <c r="L1" s="1" t="str">
        <f>"Chg_T_neg_11A"</f>
        <v>Chg_T_neg_11A</v>
      </c>
      <c r="M1" s="1" t="str">
        <f>"Chg_T_neg_12A"</f>
        <v>Chg_T_neg_12A</v>
      </c>
      <c r="N1" s="1" t="str">
        <f>"Chg_T_neg_13A"</f>
        <v>Chg_T_neg_13A</v>
      </c>
      <c r="O1" s="1" t="str">
        <f>"Chg_T_neg_14A"</f>
        <v>Chg_T_neg_14A</v>
      </c>
      <c r="P1" s="1" t="str">
        <f>"Chg_T_neg_15A"</f>
        <v>Chg_T_neg_15A</v>
      </c>
      <c r="Q1" s="1" t="str">
        <f>"Chg_T_neg_16A"</f>
        <v>Chg_T_neg_16A</v>
      </c>
      <c r="R1" s="1" t="str">
        <f>"Chg_T_neg_17A"</f>
        <v>Chg_T_neg_17A</v>
      </c>
      <c r="S1" s="1" t="str">
        <f>"Chg_T_neg_18A"</f>
        <v>Chg_T_neg_18A</v>
      </c>
      <c r="T1" s="1" t="str">
        <f>"Chg_T_neg_19A"</f>
        <v>Chg_T_neg_19A</v>
      </c>
      <c r="U1" s="1" t="str">
        <f>"Chg_T_neg_20A"</f>
        <v>Chg_T_neg_20A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-15.799189999999999</v>
      </c>
      <c r="C3">
        <v>-10.694900000000001</v>
      </c>
      <c r="D3">
        <v>-6.7988619999999997</v>
      </c>
      <c r="E3">
        <v>-4.7622039999999997</v>
      </c>
      <c r="F3">
        <v>-3.6246399999999999</v>
      </c>
      <c r="G3">
        <v>-2.928442</v>
      </c>
      <c r="H3">
        <v>-2.44041</v>
      </c>
      <c r="I3">
        <v>-2.1214189999999999</v>
      </c>
      <c r="J3">
        <v>-1.831936</v>
      </c>
      <c r="K3">
        <v>-1.5913060000000001</v>
      </c>
      <c r="L3">
        <v>-1.441689</v>
      </c>
      <c r="M3">
        <v>-1.3367720000000001</v>
      </c>
      <c r="N3">
        <v>-1.231409</v>
      </c>
      <c r="O3">
        <v>-1.134501</v>
      </c>
      <c r="P3">
        <v>-1.043561</v>
      </c>
      <c r="Q3">
        <v>-0.98653550000000001</v>
      </c>
      <c r="R3">
        <v>-0.91894169999999997</v>
      </c>
      <c r="S3">
        <v>-0.87243309999999996</v>
      </c>
      <c r="T3">
        <v>-0.84412339999999997</v>
      </c>
      <c r="U3">
        <v>-0.7932321</v>
      </c>
    </row>
    <row r="4" spans="1:24">
      <c r="A4" t="s">
        <v>1</v>
      </c>
      <c r="B4">
        <v>-19.900670000000002</v>
      </c>
      <c r="C4">
        <v>-13.63463</v>
      </c>
      <c r="D4">
        <v>-8.3348619999999993</v>
      </c>
      <c r="E4">
        <v>-5.7701989999999999</v>
      </c>
      <c r="F4">
        <v>-4.352017</v>
      </c>
      <c r="G4">
        <v>-3.433656</v>
      </c>
      <c r="H4">
        <v>-2.941182</v>
      </c>
      <c r="I4">
        <v>-2.4729130000000001</v>
      </c>
      <c r="J4">
        <v>-2.1819449999999998</v>
      </c>
      <c r="K4">
        <v>-1.936628</v>
      </c>
      <c r="L4">
        <v>-1.746586</v>
      </c>
      <c r="M4">
        <v>-1.5554410000000001</v>
      </c>
      <c r="N4">
        <v>-1.4414819999999999</v>
      </c>
      <c r="O4">
        <v>-1.3371679999999999</v>
      </c>
      <c r="P4">
        <v>-1.2413000000000001</v>
      </c>
      <c r="Q4">
        <v>-1.1708179999999999</v>
      </c>
      <c r="R4">
        <v>-1.104052</v>
      </c>
      <c r="S4">
        <v>-1.051134</v>
      </c>
      <c r="T4">
        <v>-1.0072110000000001</v>
      </c>
      <c r="U4">
        <v>-0.97105710000000001</v>
      </c>
    </row>
    <row r="5" spans="1:24">
      <c r="A5" t="s">
        <v>2</v>
      </c>
      <c r="B5">
        <v>-36.546059999999997</v>
      </c>
      <c r="C5">
        <v>-25.303049999999999</v>
      </c>
      <c r="D5">
        <v>-16.691459999999999</v>
      </c>
      <c r="E5">
        <v>-12.11712</v>
      </c>
      <c r="F5">
        <v>-9.4130800000000008</v>
      </c>
      <c r="G5">
        <v>-7.5029539999999999</v>
      </c>
      <c r="H5">
        <v>-6.132142</v>
      </c>
      <c r="I5">
        <v>-5.2534660000000004</v>
      </c>
      <c r="J5">
        <v>-4.6832000000000003</v>
      </c>
      <c r="K5">
        <v>-4.1247410000000002</v>
      </c>
      <c r="L5">
        <v>-3.7662040000000001</v>
      </c>
      <c r="M5">
        <v>-3.426517</v>
      </c>
      <c r="N5">
        <v>-3.1342029999999999</v>
      </c>
      <c r="O5">
        <v>-2.9433379999999998</v>
      </c>
      <c r="P5">
        <v>-2.7747929999999998</v>
      </c>
      <c r="Q5">
        <v>-2.5635940000000002</v>
      </c>
      <c r="R5">
        <v>-2.3818169999999999</v>
      </c>
      <c r="S5">
        <v>-2.2603070000000001</v>
      </c>
      <c r="T5">
        <v>-2.1618659999999998</v>
      </c>
      <c r="U5">
        <v>-2.0606719999999998</v>
      </c>
    </row>
    <row r="6" spans="1:24">
      <c r="A6" t="s">
        <v>3</v>
      </c>
      <c r="B6">
        <v>-11.063739999999999</v>
      </c>
      <c r="C6">
        <v>-6.3908769999999997</v>
      </c>
      <c r="D6">
        <v>-3.6437279999999999</v>
      </c>
      <c r="E6">
        <v>-2.4801549999999999</v>
      </c>
      <c r="F6">
        <v>-1.806624</v>
      </c>
      <c r="G6">
        <v>-1.41106</v>
      </c>
      <c r="H6">
        <v>-1.1270180000000001</v>
      </c>
      <c r="I6">
        <v>-0.94133500000000003</v>
      </c>
      <c r="J6">
        <v>-0.82815899999999998</v>
      </c>
      <c r="K6">
        <v>-0.72827039999999998</v>
      </c>
      <c r="L6">
        <v>-0.65802309999999997</v>
      </c>
      <c r="M6">
        <v>-0.58755970000000002</v>
      </c>
      <c r="N6">
        <v>-0.55776009999999998</v>
      </c>
      <c r="O6">
        <v>-0.50737860000000001</v>
      </c>
      <c r="P6">
        <v>-0.47616140000000001</v>
      </c>
      <c r="Q6">
        <v>-0.42828100000000002</v>
      </c>
      <c r="R6">
        <v>-0.41632609999999998</v>
      </c>
      <c r="S6">
        <v>-0.39600550000000001</v>
      </c>
      <c r="T6">
        <v>-0.36294650000000001</v>
      </c>
      <c r="U6">
        <v>-0.34640080000000001</v>
      </c>
    </row>
    <row r="7" spans="1:24">
      <c r="A7" t="s">
        <v>4</v>
      </c>
      <c r="B7">
        <v>-11.0059</v>
      </c>
      <c r="C7">
        <v>-6.3293290000000004</v>
      </c>
      <c r="D7">
        <v>-3.6326710000000002</v>
      </c>
      <c r="E7">
        <v>-2.4584830000000002</v>
      </c>
      <c r="F7">
        <v>-1.8190679999999999</v>
      </c>
      <c r="G7">
        <v>-1.4503509999999999</v>
      </c>
      <c r="H7">
        <v>-1.182053</v>
      </c>
      <c r="I7">
        <v>-1.0039549999999999</v>
      </c>
      <c r="J7">
        <v>-0.89964390000000005</v>
      </c>
      <c r="K7">
        <v>-0.8025622</v>
      </c>
      <c r="L7">
        <v>-0.68771559999999998</v>
      </c>
      <c r="M7">
        <v>-0.63312250000000003</v>
      </c>
      <c r="N7">
        <v>-0.55319229999999997</v>
      </c>
      <c r="O7">
        <v>-0.51650759999999996</v>
      </c>
      <c r="P7">
        <v>-0.4772864</v>
      </c>
      <c r="Q7">
        <v>-0.45276889999999997</v>
      </c>
      <c r="R7">
        <v>-0.43104880000000001</v>
      </c>
      <c r="S7">
        <v>-0.38690219999999997</v>
      </c>
      <c r="T7">
        <v>-0.37015720000000002</v>
      </c>
      <c r="U7">
        <v>-0.35970679999999999</v>
      </c>
    </row>
    <row r="8" spans="1:24">
      <c r="A8" t="s">
        <v>5</v>
      </c>
      <c r="B8">
        <v>-11.781040000000001</v>
      </c>
      <c r="C8">
        <v>-6.9610019999999997</v>
      </c>
      <c r="D8">
        <v>-3.870714</v>
      </c>
      <c r="E8">
        <v>-2.6581809999999999</v>
      </c>
      <c r="F8">
        <v>-1.9465710000000001</v>
      </c>
      <c r="G8">
        <v>-1.509107</v>
      </c>
      <c r="H8">
        <v>-1.22279</v>
      </c>
      <c r="I8">
        <v>-1.0172669999999999</v>
      </c>
      <c r="J8">
        <v>-0.89634190000000002</v>
      </c>
      <c r="K8">
        <v>-0.77664129999999998</v>
      </c>
      <c r="L8">
        <v>-0.69598369999999998</v>
      </c>
      <c r="M8">
        <v>-0.64092959999999999</v>
      </c>
      <c r="N8">
        <v>-0.57195569999999996</v>
      </c>
      <c r="O8">
        <v>-0.51499470000000003</v>
      </c>
      <c r="P8">
        <v>-0.45633469999999998</v>
      </c>
      <c r="Q8">
        <v>-0.4241489</v>
      </c>
      <c r="R8">
        <v>-0.39632899999999999</v>
      </c>
      <c r="S8">
        <v>-0.36496580000000001</v>
      </c>
      <c r="T8">
        <v>-0.34555560000000002</v>
      </c>
      <c r="U8">
        <v>-0.32712960000000002</v>
      </c>
    </row>
    <row r="9" spans="1:24">
      <c r="A9" t="s">
        <v>6</v>
      </c>
      <c r="B9">
        <v>-11.36872</v>
      </c>
      <c r="C9">
        <v>-6.7194130000000003</v>
      </c>
      <c r="D9">
        <v>-3.774473</v>
      </c>
      <c r="E9">
        <v>-2.5017100000000001</v>
      </c>
      <c r="F9">
        <v>-1.8555330000000001</v>
      </c>
      <c r="G9">
        <v>-1.4143680000000001</v>
      </c>
      <c r="H9">
        <v>-1.181983</v>
      </c>
      <c r="I9">
        <v>-1.007406</v>
      </c>
      <c r="J9">
        <v>-0.86147399999999996</v>
      </c>
      <c r="K9">
        <v>-0.76050169999999995</v>
      </c>
      <c r="L9">
        <v>-0.67746289999999998</v>
      </c>
      <c r="M9">
        <v>-0.59840720000000003</v>
      </c>
      <c r="N9">
        <v>-0.55382969999999998</v>
      </c>
      <c r="O9">
        <v>-0.50523220000000002</v>
      </c>
      <c r="P9">
        <v>-0.47406910000000002</v>
      </c>
      <c r="Q9">
        <v>-0.44006499999999998</v>
      </c>
      <c r="R9">
        <v>-0.4019084</v>
      </c>
      <c r="S9">
        <v>-0.37755300000000003</v>
      </c>
      <c r="T9">
        <v>-0.34681190000000001</v>
      </c>
      <c r="U9">
        <v>-0.33464389999999999</v>
      </c>
    </row>
    <row r="10" spans="1:24">
      <c r="A10" t="s">
        <v>7</v>
      </c>
      <c r="B10">
        <v>-16.45635</v>
      </c>
      <c r="C10">
        <v>-9.5047119999999996</v>
      </c>
      <c r="D10">
        <v>-5.2762469999999997</v>
      </c>
      <c r="E10">
        <v>-3.5009519999999998</v>
      </c>
      <c r="F10">
        <v>-2.495746</v>
      </c>
      <c r="G10">
        <v>-1.931435</v>
      </c>
      <c r="H10">
        <v>-1.528302</v>
      </c>
      <c r="I10">
        <v>-1.260753</v>
      </c>
      <c r="J10">
        <v>-1.1140479999999999</v>
      </c>
      <c r="K10">
        <v>-0.98345260000000001</v>
      </c>
      <c r="L10">
        <v>-0.90319660000000002</v>
      </c>
      <c r="M10">
        <v>-0.79985550000000005</v>
      </c>
      <c r="N10">
        <v>-0.7292286</v>
      </c>
      <c r="O10">
        <v>-0.64278480000000005</v>
      </c>
      <c r="P10">
        <v>-0.60358889999999998</v>
      </c>
      <c r="Q10">
        <v>-0.5593861</v>
      </c>
      <c r="R10">
        <v>-0.52277549999999995</v>
      </c>
      <c r="S10">
        <v>-0.47776220000000003</v>
      </c>
      <c r="T10">
        <v>-0.45642680000000002</v>
      </c>
      <c r="U10">
        <v>-0.4278826</v>
      </c>
    </row>
    <row r="11" spans="1:24">
      <c r="A11" t="s">
        <v>8</v>
      </c>
      <c r="B11">
        <v>-16.824960000000001</v>
      </c>
      <c r="C11">
        <v>-9.8782180000000004</v>
      </c>
      <c r="D11">
        <v>-5.5313699999999999</v>
      </c>
      <c r="E11">
        <v>-3.67747</v>
      </c>
      <c r="F11">
        <v>-2.7208389999999998</v>
      </c>
      <c r="G11">
        <v>-2.161975</v>
      </c>
      <c r="H11">
        <v>-1.7473860000000001</v>
      </c>
      <c r="I11">
        <v>-1.4311799999999999</v>
      </c>
      <c r="J11">
        <v>-1.244734</v>
      </c>
      <c r="K11">
        <v>-1.0431379999999999</v>
      </c>
      <c r="L11">
        <v>-0.96160970000000001</v>
      </c>
      <c r="M11">
        <v>-0.85053259999999997</v>
      </c>
      <c r="N11">
        <v>-0.75611419999999996</v>
      </c>
      <c r="O11">
        <v>-0.69112589999999996</v>
      </c>
      <c r="P11">
        <v>-0.65828679999999995</v>
      </c>
      <c r="Q11">
        <v>-0.58271600000000001</v>
      </c>
      <c r="R11">
        <v>-0.55231609999999998</v>
      </c>
      <c r="S11">
        <v>-0.5196636</v>
      </c>
      <c r="T11">
        <v>-0.48652020000000001</v>
      </c>
      <c r="U11">
        <v>-0.47737659999999998</v>
      </c>
    </row>
    <row r="12" spans="1:24">
      <c r="A12" t="s">
        <v>9</v>
      </c>
      <c r="B12">
        <v>-13.00731</v>
      </c>
      <c r="C12">
        <v>-7.7629299999999999</v>
      </c>
      <c r="D12">
        <v>-4.5430849999999996</v>
      </c>
      <c r="E12">
        <v>-3.1200079999999999</v>
      </c>
      <c r="F12">
        <v>-2.3000349999999998</v>
      </c>
      <c r="G12">
        <v>-1.796009</v>
      </c>
      <c r="H12">
        <v>-1.546894</v>
      </c>
      <c r="I12">
        <v>-1.3085340000000001</v>
      </c>
      <c r="J12">
        <v>-1.137764</v>
      </c>
      <c r="K12">
        <v>-1.0310029999999999</v>
      </c>
      <c r="L12">
        <v>-0.94539399999999996</v>
      </c>
      <c r="M12">
        <v>-0.88384209999999996</v>
      </c>
      <c r="N12">
        <v>-0.80243909999999996</v>
      </c>
      <c r="O12">
        <v>-0.73615520000000001</v>
      </c>
      <c r="P12">
        <v>-0.67198440000000004</v>
      </c>
      <c r="Q12">
        <v>-0.63209490000000002</v>
      </c>
      <c r="R12">
        <v>-0.60277420000000004</v>
      </c>
      <c r="S12">
        <v>-0.56246260000000003</v>
      </c>
      <c r="T12">
        <v>-0.53240940000000003</v>
      </c>
      <c r="U12">
        <v>-0.50987780000000005</v>
      </c>
    </row>
    <row r="13" spans="1:24">
      <c r="A13" t="s">
        <v>10</v>
      </c>
      <c r="B13">
        <v>-12.8895</v>
      </c>
      <c r="C13">
        <v>-7.7575789999999998</v>
      </c>
      <c r="D13">
        <v>-4.5836170000000003</v>
      </c>
      <c r="E13">
        <v>-3.1301220000000001</v>
      </c>
      <c r="F13">
        <v>-2.3712559999999998</v>
      </c>
      <c r="G13">
        <v>-1.8755580000000001</v>
      </c>
      <c r="H13">
        <v>-1.5470809999999999</v>
      </c>
      <c r="I13">
        <v>-1.3161849999999999</v>
      </c>
      <c r="J13">
        <v>-1.135618</v>
      </c>
      <c r="K13">
        <v>-1.023806</v>
      </c>
      <c r="L13">
        <v>-0.92450739999999998</v>
      </c>
      <c r="M13">
        <v>-0.85258420000000001</v>
      </c>
      <c r="N13">
        <v>-0.79549930000000002</v>
      </c>
      <c r="O13">
        <v>-0.74118539999999999</v>
      </c>
      <c r="P13">
        <v>-0.67445580000000005</v>
      </c>
      <c r="Q13">
        <v>-0.64494899999999999</v>
      </c>
      <c r="R13">
        <v>-0.59532430000000003</v>
      </c>
      <c r="S13">
        <v>-0.56955699999999998</v>
      </c>
      <c r="T13">
        <v>-0.545678</v>
      </c>
      <c r="U13">
        <v>-0.51916929999999994</v>
      </c>
    </row>
    <row r="14" spans="1:24">
      <c r="A14" t="s">
        <v>11</v>
      </c>
      <c r="B14">
        <v>-12.67628</v>
      </c>
      <c r="C14">
        <v>-7.4859999999999998</v>
      </c>
      <c r="D14">
        <v>-4.2897169999999996</v>
      </c>
      <c r="E14">
        <v>-2.9016160000000002</v>
      </c>
      <c r="F14">
        <v>-2.1849940000000001</v>
      </c>
      <c r="G14">
        <v>-1.7343850000000001</v>
      </c>
      <c r="H14">
        <v>-1.437649</v>
      </c>
      <c r="I14">
        <v>-1.2210460000000001</v>
      </c>
      <c r="J14">
        <v>-1.0512600000000001</v>
      </c>
      <c r="K14">
        <v>-0.93729079999999998</v>
      </c>
      <c r="L14">
        <v>-0.8735908</v>
      </c>
      <c r="M14">
        <v>-0.80345759999999999</v>
      </c>
      <c r="N14">
        <v>-0.74847580000000002</v>
      </c>
      <c r="O14">
        <v>-0.69430270000000005</v>
      </c>
      <c r="P14">
        <v>-0.63062759999999995</v>
      </c>
      <c r="Q14">
        <v>-0.60992579999999996</v>
      </c>
      <c r="R14">
        <v>-0.58458319999999997</v>
      </c>
      <c r="S14">
        <v>-0.55068629999999996</v>
      </c>
      <c r="T14">
        <v>-0.52781199999999995</v>
      </c>
      <c r="U14">
        <v>-0.51094119999999998</v>
      </c>
    </row>
    <row r="15" spans="1:24">
      <c r="A15" t="s">
        <v>12</v>
      </c>
      <c r="B15">
        <v>-25.135929999999998</v>
      </c>
      <c r="C15">
        <v>-16.792300000000001</v>
      </c>
      <c r="D15">
        <v>-10.374610000000001</v>
      </c>
      <c r="E15">
        <v>-7.0422289999999998</v>
      </c>
      <c r="F15">
        <v>-5.3633240000000004</v>
      </c>
      <c r="G15">
        <v>-4.2823690000000001</v>
      </c>
      <c r="H15">
        <v>-3.536708</v>
      </c>
      <c r="I15">
        <v>-3.0615570000000001</v>
      </c>
      <c r="J15">
        <v>-2.645483</v>
      </c>
      <c r="K15">
        <v>-2.3531200000000001</v>
      </c>
      <c r="L15">
        <v>-2.1426430000000001</v>
      </c>
      <c r="M15">
        <v>-1.938358</v>
      </c>
      <c r="N15">
        <v>-1.7877689999999999</v>
      </c>
      <c r="O15">
        <v>-1.6688259999999999</v>
      </c>
      <c r="P15">
        <v>-1.5599400000000001</v>
      </c>
      <c r="Q15">
        <v>-1.4807140000000001</v>
      </c>
      <c r="R15">
        <v>-1.37219</v>
      </c>
      <c r="S15">
        <v>-1.2795460000000001</v>
      </c>
      <c r="T15">
        <v>-1.2156640000000001</v>
      </c>
      <c r="U15">
        <v>-1.14638</v>
      </c>
    </row>
    <row r="16" spans="1:24">
      <c r="A16" t="s">
        <v>13</v>
      </c>
      <c r="B16">
        <v>-29.91356</v>
      </c>
      <c r="C16">
        <v>-17.63869</v>
      </c>
      <c r="D16">
        <v>-9.9665230000000005</v>
      </c>
      <c r="E16">
        <v>-6.7714920000000003</v>
      </c>
      <c r="F16">
        <v>-5.0581019999999999</v>
      </c>
      <c r="G16">
        <v>-3.912261</v>
      </c>
      <c r="H16">
        <v>-3.2103709999999999</v>
      </c>
      <c r="I16">
        <v>-2.755328</v>
      </c>
      <c r="J16">
        <v>-2.443759</v>
      </c>
      <c r="K16">
        <v>-2.1024400000000001</v>
      </c>
      <c r="L16">
        <v>-1.8871690000000001</v>
      </c>
      <c r="M16">
        <v>-1.718262</v>
      </c>
      <c r="N16">
        <v>-1.5989640000000001</v>
      </c>
      <c r="O16">
        <v>-1.4713590000000001</v>
      </c>
      <c r="P16">
        <v>-1.36358</v>
      </c>
      <c r="Q16">
        <v>-1.247635</v>
      </c>
      <c r="R16">
        <v>-1.1685030000000001</v>
      </c>
      <c r="S16">
        <v>-1.098719</v>
      </c>
      <c r="T16">
        <v>-1.0545770000000001</v>
      </c>
      <c r="U16">
        <v>-1.02772</v>
      </c>
    </row>
    <row r="17" spans="1:21">
      <c r="A17" t="s">
        <v>14</v>
      </c>
      <c r="B17">
        <v>-31.372199999999999</v>
      </c>
      <c r="C17">
        <v>-18.140999999999998</v>
      </c>
      <c r="D17">
        <v>-10.09137</v>
      </c>
      <c r="E17">
        <v>-6.8230050000000002</v>
      </c>
      <c r="F17">
        <v>-5.1053369999999996</v>
      </c>
      <c r="G17">
        <v>-4.014907</v>
      </c>
      <c r="H17">
        <v>-3.2985259999999998</v>
      </c>
      <c r="I17">
        <v>-2.7837100000000001</v>
      </c>
      <c r="J17">
        <v>-2.3944830000000001</v>
      </c>
      <c r="K17">
        <v>-2.1767150000000002</v>
      </c>
      <c r="L17">
        <v>-1.9154279999999999</v>
      </c>
      <c r="M17">
        <v>-1.7392510000000001</v>
      </c>
      <c r="N17">
        <v>-1.6075489999999999</v>
      </c>
      <c r="O17">
        <v>-1.473034</v>
      </c>
      <c r="P17">
        <v>-1.398668</v>
      </c>
      <c r="Q17">
        <v>-1.3141050000000001</v>
      </c>
      <c r="R17">
        <v>-1.2200139999999999</v>
      </c>
      <c r="S17">
        <v>-1.1469609999999999</v>
      </c>
      <c r="T17">
        <v>-1.087672</v>
      </c>
      <c r="U17">
        <v>-1.02643</v>
      </c>
    </row>
    <row r="18" spans="1:21">
      <c r="A18" t="s">
        <v>15</v>
      </c>
      <c r="B18">
        <v>-30.41526</v>
      </c>
      <c r="C18">
        <v>-17.47082</v>
      </c>
      <c r="D18">
        <v>-9.6458539999999999</v>
      </c>
      <c r="E18">
        <v>-6.5435429999999997</v>
      </c>
      <c r="F18">
        <v>-4.7288129999999997</v>
      </c>
      <c r="G18">
        <v>-3.7184179999999998</v>
      </c>
      <c r="H18">
        <v>-3.066821</v>
      </c>
      <c r="I18">
        <v>-2.6524700000000001</v>
      </c>
      <c r="J18">
        <v>-2.2949540000000002</v>
      </c>
      <c r="K18">
        <v>-2.0696659999999998</v>
      </c>
      <c r="L18">
        <v>-1.8311900000000001</v>
      </c>
      <c r="M18">
        <v>-1.6760930000000001</v>
      </c>
      <c r="N18">
        <v>-1.5287630000000001</v>
      </c>
      <c r="O18">
        <v>-1.3851249999999999</v>
      </c>
      <c r="P18">
        <v>-1.304354</v>
      </c>
      <c r="Q18">
        <v>-1.2273240000000001</v>
      </c>
      <c r="R18">
        <v>-1.1510149999999999</v>
      </c>
      <c r="S18">
        <v>-1.102573</v>
      </c>
      <c r="T18">
        <v>-1.069669</v>
      </c>
      <c r="U18">
        <v>-1.025239</v>
      </c>
    </row>
    <row r="19" spans="1:21">
      <c r="A19" t="s">
        <v>16</v>
      </c>
      <c r="B19">
        <v>-53.104590000000002</v>
      </c>
      <c r="C19">
        <v>-34.338810000000002</v>
      </c>
      <c r="D19">
        <v>-20.178889999999999</v>
      </c>
      <c r="E19">
        <v>-13.666969999999999</v>
      </c>
      <c r="F19">
        <v>-10.02209</v>
      </c>
      <c r="G19">
        <v>-7.8634719999999998</v>
      </c>
      <c r="H19">
        <v>-6.2858400000000003</v>
      </c>
      <c r="I19">
        <v>-5.3141280000000002</v>
      </c>
      <c r="J19">
        <v>-4.6024839999999996</v>
      </c>
      <c r="K19">
        <v>-3.9383780000000002</v>
      </c>
      <c r="L19">
        <v>-3.503368</v>
      </c>
      <c r="M19">
        <v>-3.1530390000000001</v>
      </c>
      <c r="N19">
        <v>-2.8315649999999999</v>
      </c>
      <c r="O19">
        <v>-2.6101480000000001</v>
      </c>
      <c r="P19">
        <v>-2.4296500000000001</v>
      </c>
      <c r="Q19">
        <v>-2.289358</v>
      </c>
      <c r="R19">
        <v>-2.1458689999999998</v>
      </c>
      <c r="S19">
        <v>-2.01552</v>
      </c>
      <c r="T19">
        <v>-1.880979</v>
      </c>
      <c r="U19">
        <v>-1.790567</v>
      </c>
    </row>
    <row r="20" spans="1:21">
      <c r="A20" t="s">
        <v>17</v>
      </c>
      <c r="B20">
        <v>-52.929450000000003</v>
      </c>
      <c r="C20">
        <v>-33.884390000000003</v>
      </c>
      <c r="D20">
        <v>-20.151859999999999</v>
      </c>
      <c r="E20">
        <v>-13.496969999999999</v>
      </c>
      <c r="F20">
        <v>-9.9035189999999993</v>
      </c>
      <c r="G20">
        <v>-7.5930799999999996</v>
      </c>
      <c r="H20">
        <v>-6.1650530000000003</v>
      </c>
      <c r="I20">
        <v>-5.1580199999999996</v>
      </c>
      <c r="J20">
        <v>-4.3839389999999998</v>
      </c>
      <c r="K20">
        <v>-3.8883740000000002</v>
      </c>
      <c r="L20">
        <v>-3.487778</v>
      </c>
      <c r="M20">
        <v>-3.0670109999999999</v>
      </c>
      <c r="N20">
        <v>-2.7958759999999998</v>
      </c>
      <c r="O20">
        <v>-2.565995</v>
      </c>
      <c r="P20">
        <v>-2.333631</v>
      </c>
      <c r="Q20">
        <v>-2.1371760000000002</v>
      </c>
      <c r="R20">
        <v>-2.0199090000000002</v>
      </c>
      <c r="S20">
        <v>-1.8903920000000001</v>
      </c>
      <c r="T20">
        <v>-1.775201</v>
      </c>
      <c r="U20">
        <v>-1.6977409999999999</v>
      </c>
    </row>
    <row r="21" spans="1:21">
      <c r="A21" t="s">
        <v>18</v>
      </c>
      <c r="B21">
        <v>-53.038350000000001</v>
      </c>
      <c r="C21">
        <v>-34.093679999999999</v>
      </c>
      <c r="D21">
        <v>-20.323899999999998</v>
      </c>
      <c r="E21">
        <v>-13.5402</v>
      </c>
      <c r="F21">
        <v>-9.9595369999999992</v>
      </c>
      <c r="G21">
        <v>-7.5927720000000001</v>
      </c>
      <c r="H21">
        <v>-6.1892569999999996</v>
      </c>
      <c r="I21">
        <v>-5.1735239999999996</v>
      </c>
      <c r="J21">
        <v>-4.4453370000000003</v>
      </c>
      <c r="K21">
        <v>-3.8485140000000002</v>
      </c>
      <c r="L21">
        <v>-3.422946</v>
      </c>
      <c r="M21">
        <v>-3.063631</v>
      </c>
      <c r="N21">
        <v>-2.8129780000000002</v>
      </c>
      <c r="O21">
        <v>-2.5971489999999999</v>
      </c>
      <c r="P21">
        <v>-2.3975759999999999</v>
      </c>
      <c r="Q21">
        <v>-2.2418849999999999</v>
      </c>
      <c r="R21">
        <v>-2.090195</v>
      </c>
      <c r="S21">
        <v>-1.9746440000000001</v>
      </c>
      <c r="T21">
        <v>-1.829243</v>
      </c>
      <c r="U21">
        <v>-1.6985490000000001</v>
      </c>
    </row>
    <row r="22" spans="1:21">
      <c r="A22" t="s">
        <v>19</v>
      </c>
      <c r="B22">
        <v>-52.981650000000002</v>
      </c>
      <c r="C22">
        <v>-34.276330000000002</v>
      </c>
      <c r="D22">
        <v>-20.434249999999999</v>
      </c>
      <c r="E22">
        <v>-13.72498</v>
      </c>
      <c r="F22">
        <v>-10.06934</v>
      </c>
      <c r="G22">
        <v>-7.913227</v>
      </c>
      <c r="H22">
        <v>-6.4325029999999996</v>
      </c>
      <c r="I22">
        <v>-5.3807720000000003</v>
      </c>
      <c r="J22">
        <v>-4.5324049999999998</v>
      </c>
      <c r="K22">
        <v>-3.9084989999999999</v>
      </c>
      <c r="L22">
        <v>-3.3902519999999998</v>
      </c>
      <c r="M22">
        <v>-3.1086520000000002</v>
      </c>
      <c r="N22">
        <v>-2.8158029999999998</v>
      </c>
      <c r="O22">
        <v>-2.5681780000000001</v>
      </c>
      <c r="P22">
        <v>-2.3664900000000002</v>
      </c>
      <c r="Q22">
        <v>-2.2149230000000002</v>
      </c>
      <c r="R22">
        <v>-2.0523069999999999</v>
      </c>
      <c r="S22">
        <v>-1.923905</v>
      </c>
      <c r="T22">
        <v>-1.8067930000000001</v>
      </c>
      <c r="U22">
        <v>-1.6977199999999999</v>
      </c>
    </row>
    <row r="23" spans="1:21">
      <c r="A23" t="s">
        <v>20</v>
      </c>
      <c r="B23">
        <v>-53.267870000000002</v>
      </c>
      <c r="C23">
        <v>-34.440770000000001</v>
      </c>
      <c r="D23">
        <v>-20.465039999999998</v>
      </c>
      <c r="E23">
        <v>-13.612299999999999</v>
      </c>
      <c r="F23">
        <v>-9.9865870000000001</v>
      </c>
      <c r="G23">
        <v>-7.6955739999999997</v>
      </c>
      <c r="H23">
        <v>-6.2238309999999997</v>
      </c>
      <c r="I23">
        <v>-5.2809929999999996</v>
      </c>
      <c r="J23">
        <v>-4.5026279999999996</v>
      </c>
      <c r="K23">
        <v>-3.9047589999999999</v>
      </c>
      <c r="L23">
        <v>-3.4697640000000001</v>
      </c>
      <c r="M23">
        <v>-3.1078079999999999</v>
      </c>
      <c r="N23">
        <v>-2.8267440000000001</v>
      </c>
      <c r="O23">
        <v>-2.5724649999999998</v>
      </c>
      <c r="P23">
        <v>-2.3735010000000001</v>
      </c>
      <c r="Q23">
        <v>-2.1844420000000002</v>
      </c>
      <c r="R23">
        <v>-1.986904</v>
      </c>
      <c r="S23">
        <v>-1.8881349999999999</v>
      </c>
      <c r="T23">
        <v>-1.775334</v>
      </c>
      <c r="U23">
        <v>-1.6787209999999999</v>
      </c>
    </row>
    <row r="24" spans="1:21">
      <c r="A24" t="s">
        <v>21</v>
      </c>
      <c r="B24">
        <v>-52.526000000000003</v>
      </c>
      <c r="C24">
        <v>-33.96904</v>
      </c>
      <c r="D24">
        <v>-19.897500000000001</v>
      </c>
      <c r="E24">
        <v>-13.40218</v>
      </c>
      <c r="F24">
        <v>-9.9042750000000002</v>
      </c>
      <c r="G24">
        <v>-7.5478040000000002</v>
      </c>
      <c r="H24">
        <v>-5.9894670000000003</v>
      </c>
      <c r="I24">
        <v>-4.9976649999999996</v>
      </c>
      <c r="J24">
        <v>-4.328665</v>
      </c>
      <c r="K24">
        <v>-3.7798799999999999</v>
      </c>
      <c r="L24">
        <v>-3.3286159999999998</v>
      </c>
      <c r="M24">
        <v>-2.9990839999999999</v>
      </c>
      <c r="N24">
        <v>-2.7328130000000002</v>
      </c>
      <c r="O24">
        <v>-2.498821</v>
      </c>
      <c r="P24">
        <v>-2.3489460000000002</v>
      </c>
      <c r="Q24">
        <v>-2.198788</v>
      </c>
      <c r="R24">
        <v>-2.0058590000000001</v>
      </c>
      <c r="S24">
        <v>-1.881966</v>
      </c>
      <c r="T24">
        <v>-1.7621150000000001</v>
      </c>
      <c r="U24">
        <v>-1.6809050000000001</v>
      </c>
    </row>
    <row r="25" spans="1:21">
      <c r="A25" t="s">
        <v>34</v>
      </c>
      <c r="B25">
        <v>-53.187869999999997</v>
      </c>
      <c r="C25">
        <v>-34.399039999999999</v>
      </c>
      <c r="D25">
        <v>-20.40485</v>
      </c>
      <c r="E25">
        <v>-13.55354</v>
      </c>
      <c r="F25">
        <v>-9.999136</v>
      </c>
      <c r="G25">
        <v>-7.690925</v>
      </c>
      <c r="H25">
        <v>-6.1674660000000001</v>
      </c>
      <c r="I25">
        <v>-5.2393530000000004</v>
      </c>
      <c r="J25">
        <v>-4.454771</v>
      </c>
      <c r="K25">
        <v>-3.8792990000000001</v>
      </c>
      <c r="L25">
        <v>-3.421589</v>
      </c>
      <c r="M25">
        <v>-3.0567519999999999</v>
      </c>
      <c r="N25">
        <v>-2.7675649999999998</v>
      </c>
      <c r="O25">
        <v>-2.5913029999999999</v>
      </c>
      <c r="P25">
        <v>-2.3862559999999999</v>
      </c>
      <c r="Q25">
        <v>-2.2298930000000001</v>
      </c>
      <c r="R25">
        <v>-2.0557919999999998</v>
      </c>
      <c r="S25">
        <v>-1.9254070000000001</v>
      </c>
      <c r="T25">
        <v>-1.78799</v>
      </c>
      <c r="U25">
        <v>-1.6679299999999999</v>
      </c>
    </row>
    <row r="26" spans="1:21">
      <c r="A26" t="s">
        <v>22</v>
      </c>
      <c r="B26">
        <v>-55.882669999999997</v>
      </c>
      <c r="C26">
        <v>-31.03978</v>
      </c>
      <c r="D26">
        <v>-16.832660000000001</v>
      </c>
      <c r="E26">
        <v>-10.770479999999999</v>
      </c>
      <c r="F26">
        <v>-7.6115269999999997</v>
      </c>
      <c r="G26">
        <v>-5.7564310000000001</v>
      </c>
      <c r="H26">
        <v>-4.6230630000000001</v>
      </c>
      <c r="I26">
        <v>-3.8025190000000002</v>
      </c>
      <c r="J26">
        <v>-3.120009</v>
      </c>
      <c r="K26">
        <v>-2.7413729999999998</v>
      </c>
      <c r="L26">
        <v>-2.3757779999999999</v>
      </c>
      <c r="M26">
        <v>-2.1182919999999998</v>
      </c>
      <c r="N26">
        <v>-1.9896130000000001</v>
      </c>
      <c r="O26">
        <v>-1.776948</v>
      </c>
      <c r="P26">
        <v>-1.6353800000000001</v>
      </c>
      <c r="Q26">
        <v>-1.5082439999999999</v>
      </c>
      <c r="R26">
        <v>-1.4087449999999999</v>
      </c>
      <c r="S26">
        <v>-1.289177</v>
      </c>
      <c r="T26">
        <v>-1.1971909999999999</v>
      </c>
      <c r="U26">
        <v>-1.1420049999999999</v>
      </c>
    </row>
    <row r="27" spans="1:21">
      <c r="A27" t="s">
        <v>23</v>
      </c>
      <c r="B27">
        <v>-52.859670000000001</v>
      </c>
      <c r="C27">
        <v>-34.435009999999998</v>
      </c>
      <c r="D27">
        <v>-20.51707</v>
      </c>
      <c r="E27">
        <v>-13.981529999999999</v>
      </c>
      <c r="F27">
        <v>-10.321210000000001</v>
      </c>
      <c r="G27">
        <v>-8.0824099999999994</v>
      </c>
      <c r="H27">
        <v>-6.4927229999999998</v>
      </c>
      <c r="I27">
        <v>-5.4222900000000003</v>
      </c>
      <c r="J27">
        <v>-4.6406720000000004</v>
      </c>
      <c r="K27">
        <v>-4.0074389999999998</v>
      </c>
      <c r="L27">
        <v>-3.6054740000000001</v>
      </c>
      <c r="M27">
        <v>-3.1430380000000002</v>
      </c>
      <c r="N27">
        <v>-2.8079000000000001</v>
      </c>
      <c r="O27">
        <v>-2.5528680000000001</v>
      </c>
      <c r="P27">
        <v>-2.378139</v>
      </c>
      <c r="Q27">
        <v>-2.244605</v>
      </c>
      <c r="R27">
        <v>-2.096848</v>
      </c>
      <c r="S27">
        <v>-1.9462269999999999</v>
      </c>
      <c r="T27">
        <v>-1.8296669999999999</v>
      </c>
      <c r="U27">
        <v>-1.738526</v>
      </c>
    </row>
    <row r="28" spans="1:21">
      <c r="A28" t="s">
        <v>24</v>
      </c>
      <c r="B28">
        <v>-52.366070000000001</v>
      </c>
      <c r="C28">
        <v>-33.635939999999998</v>
      </c>
      <c r="D28">
        <v>-19.802520000000001</v>
      </c>
      <c r="E28">
        <v>-13.20712</v>
      </c>
      <c r="F28">
        <v>-9.7572670000000006</v>
      </c>
      <c r="G28">
        <v>-7.5000660000000003</v>
      </c>
      <c r="H28">
        <v>-5.9826280000000001</v>
      </c>
      <c r="I28">
        <v>-4.955921</v>
      </c>
      <c r="J28">
        <v>-4.2675890000000001</v>
      </c>
      <c r="K28">
        <v>-3.6744219999999999</v>
      </c>
      <c r="L28">
        <v>-3.3062450000000001</v>
      </c>
      <c r="M28">
        <v>-2.9612889999999998</v>
      </c>
      <c r="N28">
        <v>-2.6949390000000002</v>
      </c>
      <c r="O28">
        <v>-2.4728059999999998</v>
      </c>
      <c r="P28">
        <v>-2.2665630000000001</v>
      </c>
      <c r="Q28">
        <v>-2.1171959999999999</v>
      </c>
      <c r="R28">
        <v>-1.9798990000000001</v>
      </c>
      <c r="S28">
        <v>-1.8471569999999999</v>
      </c>
      <c r="T28">
        <v>-1.739422</v>
      </c>
      <c r="U28">
        <v>-1.6302570000000001</v>
      </c>
    </row>
    <row r="29" spans="1:21">
      <c r="A29" t="s">
        <v>25</v>
      </c>
      <c r="B29">
        <v>-56.163849999999996</v>
      </c>
      <c r="C29">
        <v>-36.445419999999999</v>
      </c>
      <c r="D29">
        <v>-21.820430000000002</v>
      </c>
      <c r="E29">
        <v>-15.05781</v>
      </c>
      <c r="F29">
        <v>-10.9903</v>
      </c>
      <c r="G29">
        <v>-8.4800500000000003</v>
      </c>
      <c r="H29">
        <v>-6.7910570000000003</v>
      </c>
      <c r="I29">
        <v>-5.5766590000000003</v>
      </c>
      <c r="J29">
        <v>-4.7592639999999999</v>
      </c>
      <c r="K29">
        <v>-4.2090449999999997</v>
      </c>
      <c r="L29">
        <v>-3.6880860000000002</v>
      </c>
      <c r="M29">
        <v>-3.4113699999999998</v>
      </c>
      <c r="N29">
        <v>-3.102007</v>
      </c>
      <c r="O29">
        <v>-2.8439969999999999</v>
      </c>
      <c r="P29">
        <v>-2.63287</v>
      </c>
      <c r="Q29">
        <v>-2.4528400000000001</v>
      </c>
      <c r="R29">
        <v>-2.2763429999999998</v>
      </c>
      <c r="S29">
        <v>-2.1608649999999998</v>
      </c>
      <c r="T29">
        <v>-2.0291060000000001</v>
      </c>
      <c r="U29">
        <v>-1.8918699999999999</v>
      </c>
    </row>
    <row r="30" spans="1:21">
      <c r="A30" t="s">
        <v>26</v>
      </c>
      <c r="B30">
        <v>-61.293050000000001</v>
      </c>
      <c r="C30">
        <v>-39.387949999999996</v>
      </c>
      <c r="D30">
        <v>-23.21715</v>
      </c>
      <c r="E30">
        <v>-16.090720000000001</v>
      </c>
      <c r="F30">
        <v>-11.86576</v>
      </c>
      <c r="G30">
        <v>-9.0791109999999993</v>
      </c>
      <c r="H30">
        <v>-7.390314</v>
      </c>
      <c r="I30">
        <v>-6.1720600000000001</v>
      </c>
      <c r="J30">
        <v>-5.2121259999999996</v>
      </c>
      <c r="K30">
        <v>-4.4883449999999998</v>
      </c>
      <c r="L30">
        <v>-3.9400590000000002</v>
      </c>
      <c r="M30">
        <v>-3.530567</v>
      </c>
      <c r="N30">
        <v>-3.1722839999999999</v>
      </c>
      <c r="O30">
        <v>-2.9475210000000001</v>
      </c>
      <c r="P30">
        <v>-2.7173120000000002</v>
      </c>
      <c r="Q30">
        <v>-2.537598</v>
      </c>
      <c r="R30">
        <v>-2.3455879999999998</v>
      </c>
      <c r="S30">
        <v>-2.165079</v>
      </c>
      <c r="T30">
        <v>-2.029989</v>
      </c>
      <c r="U30">
        <v>-1.9005019999999999</v>
      </c>
    </row>
    <row r="31" spans="1:21">
      <c r="A31" t="s">
        <v>27</v>
      </c>
      <c r="B31">
        <v>-62.685070000000003</v>
      </c>
      <c r="C31">
        <v>-39.479320000000001</v>
      </c>
      <c r="D31">
        <v>-23.941289999999999</v>
      </c>
      <c r="E31">
        <v>-16.606059999999999</v>
      </c>
      <c r="F31">
        <v>-12.34247</v>
      </c>
      <c r="G31">
        <v>-9.3591829999999998</v>
      </c>
      <c r="H31">
        <v>-7.5169509999999997</v>
      </c>
      <c r="I31">
        <v>-6.1999880000000003</v>
      </c>
      <c r="J31">
        <v>-5.2221320000000002</v>
      </c>
      <c r="K31">
        <v>-4.5532260000000004</v>
      </c>
      <c r="L31">
        <v>-3.9864280000000001</v>
      </c>
      <c r="M31">
        <v>-3.5183710000000001</v>
      </c>
      <c r="N31">
        <v>-3.1559309999999998</v>
      </c>
      <c r="O31">
        <v>-2.9367719999999999</v>
      </c>
      <c r="P31">
        <v>-2.6578439999999999</v>
      </c>
      <c r="Q31">
        <v>-2.44983</v>
      </c>
      <c r="R31">
        <v>-2.277514</v>
      </c>
      <c r="S31">
        <v>-2.1372049999999998</v>
      </c>
      <c r="T31">
        <v>-2.0203440000000001</v>
      </c>
      <c r="U31">
        <v>-1.922407</v>
      </c>
    </row>
    <row r="32" spans="1:21">
      <c r="A32" t="s">
        <v>28</v>
      </c>
      <c r="B32">
        <v>-71.187449999999998</v>
      </c>
      <c r="C32">
        <v>-41.865450000000003</v>
      </c>
      <c r="D32">
        <v>-22.920020000000001</v>
      </c>
      <c r="E32">
        <v>-15.02872</v>
      </c>
      <c r="F32">
        <v>-10.77289</v>
      </c>
      <c r="G32">
        <v>-8.425421</v>
      </c>
      <c r="H32">
        <v>-6.7652190000000001</v>
      </c>
      <c r="I32">
        <v>-5.5138749999999996</v>
      </c>
      <c r="J32">
        <v>-4.6874849999999997</v>
      </c>
      <c r="K32">
        <v>-4.0405410000000002</v>
      </c>
      <c r="L32">
        <v>-3.577369</v>
      </c>
      <c r="M32">
        <v>-3.210181</v>
      </c>
      <c r="N32">
        <v>-2.9250729999999998</v>
      </c>
      <c r="O32">
        <v>-2.6739419999999998</v>
      </c>
      <c r="P32">
        <v>-2.4108999999999998</v>
      </c>
      <c r="Q32">
        <v>-2.213873</v>
      </c>
      <c r="R32">
        <v>-2.0236260000000001</v>
      </c>
      <c r="S32">
        <v>-1.875046</v>
      </c>
      <c r="T32">
        <v>-1.767509</v>
      </c>
      <c r="U32">
        <v>-1.642142</v>
      </c>
    </row>
    <row r="33" spans="1:21">
      <c r="A33" t="s">
        <v>29</v>
      </c>
      <c r="B33">
        <v>-70.879329999999996</v>
      </c>
      <c r="C33">
        <v>-40.138710000000003</v>
      </c>
      <c r="D33">
        <v>-21.952850000000002</v>
      </c>
      <c r="E33">
        <v>-14.38805</v>
      </c>
      <c r="F33">
        <v>-10.735279999999999</v>
      </c>
      <c r="G33">
        <v>-8.3638030000000008</v>
      </c>
      <c r="H33">
        <v>-6.7156419999999999</v>
      </c>
      <c r="I33">
        <v>-5.5145249999999999</v>
      </c>
      <c r="J33">
        <v>-4.7048800000000002</v>
      </c>
      <c r="K33">
        <v>-4.0615389999999998</v>
      </c>
      <c r="L33">
        <v>-3.5557639999999999</v>
      </c>
      <c r="M33">
        <v>-3.1130070000000001</v>
      </c>
      <c r="N33">
        <v>-2.8525830000000001</v>
      </c>
      <c r="O33">
        <v>-2.5872130000000002</v>
      </c>
      <c r="P33">
        <v>-2.3454790000000001</v>
      </c>
      <c r="Q33">
        <v>-2.2010640000000001</v>
      </c>
      <c r="R33">
        <v>-2.0169609999999998</v>
      </c>
      <c r="S33">
        <v>-1.859702</v>
      </c>
      <c r="T33">
        <v>-1.7294430000000001</v>
      </c>
      <c r="U33">
        <v>-1.609901</v>
      </c>
    </row>
    <row r="34" spans="1:21">
      <c r="A34" t="s">
        <v>30</v>
      </c>
      <c r="B34">
        <v>-70.267150000000001</v>
      </c>
      <c r="C34">
        <v>-39.597200000000001</v>
      </c>
      <c r="D34">
        <v>-21.909089999999999</v>
      </c>
      <c r="E34">
        <v>-14.518140000000001</v>
      </c>
      <c r="F34">
        <v>-10.69125</v>
      </c>
      <c r="G34">
        <v>-8.2964289999999998</v>
      </c>
      <c r="H34">
        <v>-6.7242610000000003</v>
      </c>
      <c r="I34">
        <v>-5.6186850000000002</v>
      </c>
      <c r="J34">
        <v>-4.749924</v>
      </c>
      <c r="K34">
        <v>-4.0469629999999999</v>
      </c>
      <c r="L34">
        <v>-3.5146320000000002</v>
      </c>
      <c r="M34">
        <v>-3.1363810000000001</v>
      </c>
      <c r="N34">
        <v>-2.8326129999999998</v>
      </c>
      <c r="O34">
        <v>-2.57016</v>
      </c>
      <c r="P34">
        <v>-2.3553519999999999</v>
      </c>
      <c r="Q34">
        <v>-2.1690290000000001</v>
      </c>
      <c r="R34">
        <v>-1.9823409999999999</v>
      </c>
      <c r="S34">
        <v>-1.869116</v>
      </c>
      <c r="T34">
        <v>-1.7653730000000001</v>
      </c>
      <c r="U34">
        <v>-1.66811</v>
      </c>
    </row>
    <row r="35" spans="1:21">
      <c r="A35" t="s">
        <v>31</v>
      </c>
      <c r="B35">
        <v>-128.7808</v>
      </c>
      <c r="C35">
        <v>-85.378230000000002</v>
      </c>
      <c r="D35">
        <v>-51.196449999999999</v>
      </c>
      <c r="E35">
        <v>-34.567909999999998</v>
      </c>
      <c r="F35">
        <v>-25.346399999999999</v>
      </c>
      <c r="G35">
        <v>-19.493590000000001</v>
      </c>
      <c r="H35">
        <v>-15.35042</v>
      </c>
      <c r="I35">
        <v>-12.548489999999999</v>
      </c>
      <c r="J35">
        <v>-10.260719999999999</v>
      </c>
      <c r="K35">
        <v>-8.7317300000000007</v>
      </c>
      <c r="L35">
        <v>-7.6603490000000001</v>
      </c>
      <c r="M35">
        <v>-6.8607360000000002</v>
      </c>
      <c r="N35">
        <v>-6.1107889999999996</v>
      </c>
      <c r="O35">
        <v>-5.4868420000000002</v>
      </c>
      <c r="P35">
        <v>-4.9737130000000001</v>
      </c>
      <c r="Q35">
        <v>-4.6062409999999998</v>
      </c>
      <c r="R35">
        <v>-4.2238689999999997</v>
      </c>
      <c r="S35">
        <v>-3.8868330000000002</v>
      </c>
      <c r="T35">
        <v>-3.5836459999999999</v>
      </c>
      <c r="U35">
        <v>-3.3239519999999998</v>
      </c>
    </row>
    <row r="36" spans="1:21">
      <c r="A36" t="s">
        <v>32</v>
      </c>
      <c r="B36">
        <v>-137.9092</v>
      </c>
      <c r="C36">
        <v>-90.548400000000001</v>
      </c>
      <c r="D36">
        <v>-54.751440000000002</v>
      </c>
      <c r="E36">
        <v>-37.326300000000003</v>
      </c>
      <c r="F36">
        <v>-27.496849999999998</v>
      </c>
      <c r="G36">
        <v>-21.19472</v>
      </c>
      <c r="H36">
        <v>-16.951619999999998</v>
      </c>
      <c r="I36">
        <v>-13.90555</v>
      </c>
      <c r="J36">
        <v>-11.84282</v>
      </c>
      <c r="K36">
        <v>-10.15343</v>
      </c>
      <c r="L36">
        <v>-8.8871000000000002</v>
      </c>
      <c r="M36">
        <v>-7.9343500000000002</v>
      </c>
      <c r="N36">
        <v>-7.0609279999999996</v>
      </c>
      <c r="O36">
        <v>-6.4136160000000002</v>
      </c>
      <c r="P36">
        <v>-5.9061659999999998</v>
      </c>
      <c r="Q36">
        <v>-5.4793700000000003</v>
      </c>
      <c r="R36">
        <v>-5.103999</v>
      </c>
      <c r="S36">
        <v>-4.7490860000000001</v>
      </c>
      <c r="T36">
        <v>-4.408849</v>
      </c>
      <c r="U36">
        <v>-4.1149180000000003</v>
      </c>
    </row>
    <row r="37" spans="1:21">
      <c r="A37" t="s">
        <v>33</v>
      </c>
      <c r="B37">
        <v>-136.49109999999999</v>
      </c>
      <c r="C37">
        <v>-89.574479999999994</v>
      </c>
      <c r="D37">
        <v>-53.381970000000003</v>
      </c>
      <c r="E37">
        <v>-35.345190000000002</v>
      </c>
      <c r="F37">
        <v>-25.61018</v>
      </c>
      <c r="G37">
        <v>-19.55179</v>
      </c>
      <c r="H37">
        <v>-15.44666</v>
      </c>
      <c r="I37">
        <v>-12.81317</v>
      </c>
      <c r="J37">
        <v>-10.827730000000001</v>
      </c>
      <c r="K37">
        <v>-9.2565760000000008</v>
      </c>
      <c r="L37">
        <v>-8.1134360000000001</v>
      </c>
      <c r="M37">
        <v>-7.1471920000000004</v>
      </c>
      <c r="N37">
        <v>-6.3852000000000002</v>
      </c>
      <c r="O37">
        <v>-5.7773389999999996</v>
      </c>
      <c r="P37">
        <v>-5.2375080000000001</v>
      </c>
      <c r="Q37">
        <v>-4.7901030000000002</v>
      </c>
      <c r="R37">
        <v>-4.4689439999999996</v>
      </c>
      <c r="S37">
        <v>-4.1550589999999996</v>
      </c>
      <c r="T37">
        <v>-3.852239</v>
      </c>
      <c r="U37">
        <v>-3.5968260000000001</v>
      </c>
    </row>
  </sheetData>
  <phoneticPr fontId="0" type="noConversion"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3"/>
  <dimension ref="A1:X37"/>
  <sheetViews>
    <sheetView zoomScale="75" zoomScaleNormal="75" workbookViewId="0">
      <selection activeCell="D35" sqref="D35"/>
    </sheetView>
  </sheetViews>
  <sheetFormatPr defaultRowHeight="15"/>
  <sheetData>
    <row r="1" spans="1:24">
      <c r="A1" s="1"/>
      <c r="B1" s="1" t="str">
        <f>"Chg_neg_A_1.4A"</f>
        <v>Chg_neg_A_1.4A</v>
      </c>
      <c r="C1" s="1" t="str">
        <f>"Chg_neg_A_2A"</f>
        <v>Chg_neg_A_2A</v>
      </c>
      <c r="D1" s="1" t="str">
        <f>"Chg_neg_A_3A"</f>
        <v>Chg_neg_A_3A</v>
      </c>
      <c r="E1" s="1" t="str">
        <f>"Chg_neg_A_4A"</f>
        <v>Chg_neg_A_4A</v>
      </c>
      <c r="F1" s="1" t="str">
        <f>"Chg_neg_A_5A"</f>
        <v>Chg_neg_A_5A</v>
      </c>
      <c r="G1" s="1" t="str">
        <f>"Chg_neg_A_6A"</f>
        <v>Chg_neg_A_6A</v>
      </c>
      <c r="H1" s="1" t="str">
        <f>"Chg_neg_A_7A"</f>
        <v>Chg_neg_A_7A</v>
      </c>
      <c r="I1" s="1" t="str">
        <f>"Chg_neg_A_8A"</f>
        <v>Chg_neg_A_8A</v>
      </c>
      <c r="J1" s="1" t="str">
        <f>"Chg_neg_A_9A"</f>
        <v>Chg_neg_A_9A</v>
      </c>
      <c r="K1" s="1" t="str">
        <f>"Chg_neg_A_10A"</f>
        <v>Chg_neg_A_10A</v>
      </c>
      <c r="L1" s="1" t="str">
        <f>"Chg_neg_A_11A"</f>
        <v>Chg_neg_A_11A</v>
      </c>
      <c r="M1" s="1" t="str">
        <f>"Chg_neg_A_12A"</f>
        <v>Chg_neg_A_12A</v>
      </c>
      <c r="N1" s="1" t="str">
        <f>"Chg_neg_A_13A"</f>
        <v>Chg_neg_A_13A</v>
      </c>
      <c r="O1" s="1" t="str">
        <f>"Chg_neg_A_14A"</f>
        <v>Chg_neg_A_14A</v>
      </c>
      <c r="P1" s="1" t="str">
        <f>"Chg_neg_A_15A"</f>
        <v>Chg_neg_A_15A</v>
      </c>
      <c r="Q1" s="1" t="str">
        <f>"Chg_neg_A_16A"</f>
        <v>Chg_neg_A_16A</v>
      </c>
      <c r="R1" s="1" t="str">
        <f>"Chg_neg_A_17A"</f>
        <v>Chg_neg_A_17A</v>
      </c>
      <c r="S1" s="1" t="str">
        <f>"Chg_neg_A_18A"</f>
        <v>Chg_neg_A_18A</v>
      </c>
      <c r="T1" s="1" t="str">
        <f>"Chg_neg_A_19A"</f>
        <v>Chg_neg_A_19A</v>
      </c>
      <c r="U1" s="1" t="str">
        <f>"Chg_neg_A_20A"</f>
        <v>Chg_neg_A_20A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1688.43</v>
      </c>
      <c r="C3">
        <v>1125.2739999999999</v>
      </c>
      <c r="D3">
        <v>687.31219999999996</v>
      </c>
      <c r="E3">
        <v>469.14550000000003</v>
      </c>
      <c r="F3">
        <v>347.16739999999999</v>
      </c>
      <c r="G3">
        <v>274.00700000000001</v>
      </c>
      <c r="H3">
        <v>226.11199999999999</v>
      </c>
      <c r="I3">
        <v>191.80070000000001</v>
      </c>
      <c r="J3">
        <v>167.0001</v>
      </c>
      <c r="K3">
        <v>146.13810000000001</v>
      </c>
      <c r="L3">
        <v>131.6481</v>
      </c>
      <c r="M3">
        <v>120.3079</v>
      </c>
      <c r="N3">
        <v>109.90389999999999</v>
      </c>
      <c r="O3">
        <v>99.000900000000001</v>
      </c>
      <c r="P3">
        <v>91.821920000000006</v>
      </c>
      <c r="Q3">
        <v>85.794899999999998</v>
      </c>
      <c r="R3">
        <v>80.025980000000004</v>
      </c>
      <c r="S3">
        <v>75.504999999999995</v>
      </c>
      <c r="T3">
        <v>73.767009999999999</v>
      </c>
      <c r="U3">
        <v>70.199060000000003</v>
      </c>
    </row>
    <row r="4" spans="1:24">
      <c r="A4" t="s">
        <v>1</v>
      </c>
      <c r="B4">
        <v>2167.181</v>
      </c>
      <c r="C4">
        <v>1427.194</v>
      </c>
      <c r="D4">
        <v>835.82669999999996</v>
      </c>
      <c r="E4">
        <v>559.19719999999995</v>
      </c>
      <c r="F4">
        <v>416.04610000000002</v>
      </c>
      <c r="G4">
        <v>326.87360000000001</v>
      </c>
      <c r="H4">
        <v>276.01920000000001</v>
      </c>
      <c r="I4">
        <v>234.59180000000001</v>
      </c>
      <c r="J4">
        <v>205.36920000000001</v>
      </c>
      <c r="K4">
        <v>182.75399999999999</v>
      </c>
      <c r="L4">
        <v>165.35990000000001</v>
      </c>
      <c r="M4">
        <v>146.03210000000001</v>
      </c>
      <c r="N4">
        <v>135.04490000000001</v>
      </c>
      <c r="O4">
        <v>126.6519</v>
      </c>
      <c r="P4">
        <v>117.0609</v>
      </c>
      <c r="Q4">
        <v>109.8028</v>
      </c>
      <c r="R4">
        <v>102.5749</v>
      </c>
      <c r="S4">
        <v>96.795950000000005</v>
      </c>
      <c r="T4">
        <v>91.700999999999993</v>
      </c>
      <c r="U4">
        <v>88.134990000000002</v>
      </c>
    </row>
    <row r="5" spans="1:24">
      <c r="A5" t="s">
        <v>2</v>
      </c>
      <c r="B5">
        <v>3756.076</v>
      </c>
      <c r="C5">
        <v>2468.31</v>
      </c>
      <c r="D5">
        <v>1516.7180000000001</v>
      </c>
      <c r="E5">
        <v>1045.038</v>
      </c>
      <c r="F5">
        <v>786.26729999999998</v>
      </c>
      <c r="G5">
        <v>617.30930000000001</v>
      </c>
      <c r="H5">
        <v>501.60390000000001</v>
      </c>
      <c r="I5">
        <v>422.54950000000002</v>
      </c>
      <c r="J5">
        <v>371.30810000000002</v>
      </c>
      <c r="K5">
        <v>322.11279999999999</v>
      </c>
      <c r="L5">
        <v>291.88310000000001</v>
      </c>
      <c r="M5">
        <v>263.71010000000001</v>
      </c>
      <c r="N5">
        <v>241.10470000000001</v>
      </c>
      <c r="O5">
        <v>222.3604</v>
      </c>
      <c r="P5">
        <v>206.78639999999999</v>
      </c>
      <c r="Q5">
        <v>189.8528</v>
      </c>
      <c r="R5">
        <v>176.65090000000001</v>
      </c>
      <c r="S5">
        <v>166.15309999999999</v>
      </c>
      <c r="T5">
        <v>159.87090000000001</v>
      </c>
      <c r="U5">
        <v>151.9709</v>
      </c>
    </row>
    <row r="6" spans="1:24">
      <c r="A6" t="s">
        <v>3</v>
      </c>
      <c r="B6">
        <v>1147.242</v>
      </c>
      <c r="C6">
        <v>612.23159999999996</v>
      </c>
      <c r="D6">
        <v>339.90069999999997</v>
      </c>
      <c r="E6">
        <v>226.45580000000001</v>
      </c>
      <c r="F6">
        <v>162.6097</v>
      </c>
      <c r="G6">
        <v>125.8428</v>
      </c>
      <c r="H6">
        <v>99.914940000000001</v>
      </c>
      <c r="I6">
        <v>83.044049999999999</v>
      </c>
      <c r="J6">
        <v>71.076070000000001</v>
      </c>
      <c r="K6">
        <v>62.317010000000003</v>
      </c>
      <c r="L6">
        <v>55.326999999999998</v>
      </c>
      <c r="M6">
        <v>49.584989999999998</v>
      </c>
      <c r="N6">
        <v>46.89</v>
      </c>
      <c r="O6">
        <v>42.371000000000002</v>
      </c>
      <c r="P6">
        <v>39.043999999999997</v>
      </c>
      <c r="Q6">
        <v>35.482999999999997</v>
      </c>
      <c r="R6">
        <v>34.055999999999997</v>
      </c>
      <c r="S6">
        <v>32.143000000000001</v>
      </c>
      <c r="T6">
        <v>29.555</v>
      </c>
      <c r="U6">
        <v>28.33201</v>
      </c>
    </row>
    <row r="7" spans="1:24">
      <c r="A7" t="s">
        <v>4</v>
      </c>
      <c r="B7">
        <v>1128.7</v>
      </c>
      <c r="C7">
        <v>617.46690000000001</v>
      </c>
      <c r="D7">
        <v>349.48430000000002</v>
      </c>
      <c r="E7">
        <v>233.64869999999999</v>
      </c>
      <c r="F7">
        <v>173.66290000000001</v>
      </c>
      <c r="G7">
        <v>136.8366</v>
      </c>
      <c r="H7">
        <v>112.8378</v>
      </c>
      <c r="I7">
        <v>95.33502</v>
      </c>
      <c r="J7">
        <v>84.986040000000003</v>
      </c>
      <c r="K7">
        <v>75.508030000000005</v>
      </c>
      <c r="L7">
        <v>65.400019999999998</v>
      </c>
      <c r="M7">
        <v>59.377000000000002</v>
      </c>
      <c r="N7">
        <v>52.694989999999997</v>
      </c>
      <c r="O7">
        <v>47.933010000000003</v>
      </c>
      <c r="P7">
        <v>44.568010000000001</v>
      </c>
      <c r="Q7">
        <v>42.911000000000001</v>
      </c>
      <c r="R7">
        <v>40.704000000000001</v>
      </c>
      <c r="S7">
        <v>36.917999999999999</v>
      </c>
      <c r="T7">
        <v>35.03199</v>
      </c>
      <c r="U7">
        <v>33.841000000000001</v>
      </c>
    </row>
    <row r="8" spans="1:24">
      <c r="A8" t="s">
        <v>5</v>
      </c>
      <c r="B8">
        <v>1154.9929999999999</v>
      </c>
      <c r="C8">
        <v>637.89359999999999</v>
      </c>
      <c r="D8">
        <v>344.298</v>
      </c>
      <c r="E8">
        <v>228.56399999999999</v>
      </c>
      <c r="F8">
        <v>165.1747</v>
      </c>
      <c r="G8">
        <v>127.5245</v>
      </c>
      <c r="H8">
        <v>102.0299</v>
      </c>
      <c r="I8">
        <v>84.076980000000006</v>
      </c>
      <c r="J8">
        <v>74.20805</v>
      </c>
      <c r="K8">
        <v>62.830010000000001</v>
      </c>
      <c r="L8">
        <v>55.614989999999999</v>
      </c>
      <c r="M8">
        <v>51.499980000000001</v>
      </c>
      <c r="N8">
        <v>45.513010000000001</v>
      </c>
      <c r="O8">
        <v>41.197009999999999</v>
      </c>
      <c r="P8">
        <v>37.610010000000003</v>
      </c>
      <c r="Q8">
        <v>35.244990000000001</v>
      </c>
      <c r="R8">
        <v>32.82799</v>
      </c>
      <c r="S8">
        <v>30.18899</v>
      </c>
      <c r="T8">
        <v>28.318989999999999</v>
      </c>
      <c r="U8">
        <v>26.91</v>
      </c>
    </row>
    <row r="9" spans="1:24">
      <c r="A9" t="s">
        <v>6</v>
      </c>
      <c r="B9">
        <v>1118.1679999999999</v>
      </c>
      <c r="C9">
        <v>607.00130000000001</v>
      </c>
      <c r="D9">
        <v>327.99689999999998</v>
      </c>
      <c r="E9">
        <v>220.3759</v>
      </c>
      <c r="F9">
        <v>159.0566</v>
      </c>
      <c r="G9">
        <v>119.76560000000001</v>
      </c>
      <c r="H9">
        <v>100.0309</v>
      </c>
      <c r="I9">
        <v>86.387990000000002</v>
      </c>
      <c r="J9">
        <v>75.309060000000002</v>
      </c>
      <c r="K9">
        <v>67.046030000000002</v>
      </c>
      <c r="L9">
        <v>59.095019999999998</v>
      </c>
      <c r="M9">
        <v>52.402999999999999</v>
      </c>
      <c r="N9">
        <v>49.008000000000003</v>
      </c>
      <c r="O9">
        <v>45.126010000000001</v>
      </c>
      <c r="P9">
        <v>41.999029999999998</v>
      </c>
      <c r="Q9">
        <v>38.462000000000003</v>
      </c>
      <c r="R9">
        <v>35.608989999999999</v>
      </c>
      <c r="S9">
        <v>33.708970000000001</v>
      </c>
      <c r="T9">
        <v>31.35999</v>
      </c>
      <c r="U9">
        <v>30.420999999999999</v>
      </c>
    </row>
    <row r="10" spans="1:24">
      <c r="A10" t="s">
        <v>7</v>
      </c>
      <c r="B10">
        <v>1637.0440000000001</v>
      </c>
      <c r="C10">
        <v>874.19280000000003</v>
      </c>
      <c r="D10">
        <v>472.01819999999998</v>
      </c>
      <c r="E10">
        <v>309.41070000000002</v>
      </c>
      <c r="F10">
        <v>221.16300000000001</v>
      </c>
      <c r="G10">
        <v>169.0145</v>
      </c>
      <c r="H10">
        <v>132.8407</v>
      </c>
      <c r="I10">
        <v>111.542</v>
      </c>
      <c r="J10">
        <v>96.580070000000006</v>
      </c>
      <c r="K10">
        <v>85.822109999999995</v>
      </c>
      <c r="L10">
        <v>77.555149999999998</v>
      </c>
      <c r="M10">
        <v>69.409099999999995</v>
      </c>
      <c r="N10">
        <v>63.609969999999997</v>
      </c>
      <c r="O10">
        <v>57.226990000000001</v>
      </c>
      <c r="P10">
        <v>52.894010000000002</v>
      </c>
      <c r="Q10">
        <v>49.601019999999998</v>
      </c>
      <c r="R10">
        <v>46.246009999999998</v>
      </c>
      <c r="S10">
        <v>42.90701</v>
      </c>
      <c r="T10">
        <v>40.79598</v>
      </c>
      <c r="U10">
        <v>37.76099</v>
      </c>
    </row>
    <row r="11" spans="1:24">
      <c r="A11" t="s">
        <v>8</v>
      </c>
      <c r="B11">
        <v>1659.19</v>
      </c>
      <c r="C11">
        <v>893.47860000000003</v>
      </c>
      <c r="D11">
        <v>486.98110000000003</v>
      </c>
      <c r="E11">
        <v>312.9751</v>
      </c>
      <c r="F11">
        <v>226.97880000000001</v>
      </c>
      <c r="G11">
        <v>176.92769999999999</v>
      </c>
      <c r="H11">
        <v>141.94069999999999</v>
      </c>
      <c r="I11">
        <v>118.238</v>
      </c>
      <c r="J11">
        <v>100.8441</v>
      </c>
      <c r="K11">
        <v>85.338099999999997</v>
      </c>
      <c r="L11">
        <v>75.447100000000006</v>
      </c>
      <c r="M11">
        <v>65.655029999999996</v>
      </c>
      <c r="N11">
        <v>58.930970000000002</v>
      </c>
      <c r="O11">
        <v>53.678989999999999</v>
      </c>
      <c r="P11">
        <v>50.789009999999998</v>
      </c>
      <c r="Q11">
        <v>45.825009999999999</v>
      </c>
      <c r="R11">
        <v>42.927010000000003</v>
      </c>
      <c r="S11">
        <v>40.307989999999997</v>
      </c>
      <c r="T11">
        <v>37.750999999999998</v>
      </c>
      <c r="U11">
        <v>37.047989999999999</v>
      </c>
    </row>
    <row r="12" spans="1:24">
      <c r="A12" t="s">
        <v>9</v>
      </c>
      <c r="B12">
        <v>1226.3779999999999</v>
      </c>
      <c r="C12">
        <v>705.48739999999998</v>
      </c>
      <c r="D12">
        <v>404.64670000000001</v>
      </c>
      <c r="E12">
        <v>276.72129999999999</v>
      </c>
      <c r="F12">
        <v>205.11189999999999</v>
      </c>
      <c r="G12">
        <v>159.8236</v>
      </c>
      <c r="H12">
        <v>132.92169999999999</v>
      </c>
      <c r="I12">
        <v>114.04600000000001</v>
      </c>
      <c r="J12">
        <v>99.760120000000001</v>
      </c>
      <c r="K12">
        <v>90.930170000000004</v>
      </c>
      <c r="L12">
        <v>81.511179999999996</v>
      </c>
      <c r="M12">
        <v>75.867109999999997</v>
      </c>
      <c r="N12">
        <v>69.373980000000003</v>
      </c>
      <c r="O12">
        <v>64.102940000000004</v>
      </c>
      <c r="P12">
        <v>58.38897</v>
      </c>
      <c r="Q12">
        <v>54.84498</v>
      </c>
      <c r="R12">
        <v>52.874989999999997</v>
      </c>
      <c r="S12">
        <v>49.313980000000001</v>
      </c>
      <c r="T12">
        <v>46.732990000000001</v>
      </c>
      <c r="U12">
        <v>44.386989999999997</v>
      </c>
    </row>
    <row r="13" spans="1:24">
      <c r="A13" t="s">
        <v>10</v>
      </c>
      <c r="B13">
        <v>1215.99</v>
      </c>
      <c r="C13">
        <v>701.94129999999996</v>
      </c>
      <c r="D13">
        <v>415.68259999999998</v>
      </c>
      <c r="E13">
        <v>280.09539999999998</v>
      </c>
      <c r="F13">
        <v>212.56890000000001</v>
      </c>
      <c r="G13">
        <v>165.12569999999999</v>
      </c>
      <c r="H13">
        <v>136.65479999999999</v>
      </c>
      <c r="I13">
        <v>115.66</v>
      </c>
      <c r="J13">
        <v>99.574100000000001</v>
      </c>
      <c r="K13">
        <v>87.885130000000004</v>
      </c>
      <c r="L13">
        <v>80.266159999999999</v>
      </c>
      <c r="M13">
        <v>72.801090000000002</v>
      </c>
      <c r="N13">
        <v>67.731999999999999</v>
      </c>
      <c r="O13">
        <v>62.246960000000001</v>
      </c>
      <c r="P13">
        <v>57.226999999999997</v>
      </c>
      <c r="Q13">
        <v>54.357999999999997</v>
      </c>
      <c r="R13">
        <v>50.499020000000002</v>
      </c>
      <c r="S13">
        <v>48.128990000000002</v>
      </c>
      <c r="T13">
        <v>45.086979999999997</v>
      </c>
      <c r="U13">
        <v>42.985990000000001</v>
      </c>
    </row>
    <row r="14" spans="1:24">
      <c r="A14" t="s">
        <v>11</v>
      </c>
      <c r="B14">
        <v>1207.0509999999999</v>
      </c>
      <c r="C14">
        <v>687.51350000000002</v>
      </c>
      <c r="D14">
        <v>389.86090000000002</v>
      </c>
      <c r="E14">
        <v>263.17660000000001</v>
      </c>
      <c r="F14">
        <v>195.26400000000001</v>
      </c>
      <c r="G14">
        <v>153.0087</v>
      </c>
      <c r="H14">
        <v>126.54470000000001</v>
      </c>
      <c r="I14">
        <v>105.26900000000001</v>
      </c>
      <c r="J14">
        <v>92.470089999999999</v>
      </c>
      <c r="K14">
        <v>81.927120000000002</v>
      </c>
      <c r="L14">
        <v>74.874129999999994</v>
      </c>
      <c r="M14">
        <v>68.114040000000003</v>
      </c>
      <c r="N14">
        <v>62.782940000000004</v>
      </c>
      <c r="O14">
        <v>57.777970000000003</v>
      </c>
      <c r="P14">
        <v>52.534999999999997</v>
      </c>
      <c r="Q14">
        <v>50.360990000000001</v>
      </c>
      <c r="R14">
        <v>47.015000000000001</v>
      </c>
      <c r="S14">
        <v>44.171010000000003</v>
      </c>
      <c r="T14">
        <v>42.050980000000003</v>
      </c>
      <c r="U14">
        <v>40.181980000000003</v>
      </c>
    </row>
    <row r="15" spans="1:24">
      <c r="A15" t="s">
        <v>12</v>
      </c>
      <c r="B15">
        <v>2888.8710000000001</v>
      </c>
      <c r="C15">
        <v>1954.7360000000001</v>
      </c>
      <c r="D15">
        <v>1205.4280000000001</v>
      </c>
      <c r="E15">
        <v>821.02170000000001</v>
      </c>
      <c r="F15">
        <v>621.87189999999998</v>
      </c>
      <c r="G15">
        <v>491.3571</v>
      </c>
      <c r="H15">
        <v>403.47410000000002</v>
      </c>
      <c r="I15">
        <v>346.96190000000001</v>
      </c>
      <c r="J15">
        <v>298.59249999999997</v>
      </c>
      <c r="K15">
        <v>267.12009999999998</v>
      </c>
      <c r="L15">
        <v>240.3347</v>
      </c>
      <c r="M15">
        <v>218.7561</v>
      </c>
      <c r="N15">
        <v>200.27699999999999</v>
      </c>
      <c r="O15">
        <v>187.6797</v>
      </c>
      <c r="P15">
        <v>172.18270000000001</v>
      </c>
      <c r="Q15">
        <v>162.39779999999999</v>
      </c>
      <c r="R15">
        <v>150.0788</v>
      </c>
      <c r="S15">
        <v>141.1499</v>
      </c>
      <c r="T15">
        <v>134.5658</v>
      </c>
      <c r="U15">
        <v>126.6728</v>
      </c>
    </row>
    <row r="16" spans="1:24">
      <c r="A16" t="s">
        <v>13</v>
      </c>
      <c r="B16">
        <v>3246.7779999999998</v>
      </c>
      <c r="C16">
        <v>1783.1690000000001</v>
      </c>
      <c r="D16">
        <v>945.90099999999995</v>
      </c>
      <c r="E16">
        <v>625.31439999999998</v>
      </c>
      <c r="F16">
        <v>462.52809999999999</v>
      </c>
      <c r="G16">
        <v>357.42020000000002</v>
      </c>
      <c r="H16">
        <v>287.79790000000003</v>
      </c>
      <c r="I16">
        <v>244.71799999999999</v>
      </c>
      <c r="J16">
        <v>214.53739999999999</v>
      </c>
      <c r="K16">
        <v>187.29920000000001</v>
      </c>
      <c r="L16">
        <v>165.09710000000001</v>
      </c>
      <c r="M16">
        <v>149.69640000000001</v>
      </c>
      <c r="N16">
        <v>138.75630000000001</v>
      </c>
      <c r="O16">
        <v>127.99850000000001</v>
      </c>
      <c r="P16">
        <v>117.98350000000001</v>
      </c>
      <c r="Q16">
        <v>109.2325</v>
      </c>
      <c r="R16">
        <v>102.0822</v>
      </c>
      <c r="S16">
        <v>96.595179999999999</v>
      </c>
      <c r="T16">
        <v>91.886020000000002</v>
      </c>
      <c r="U16">
        <v>88.599000000000004</v>
      </c>
    </row>
    <row r="17" spans="1:21">
      <c r="A17" t="s">
        <v>14</v>
      </c>
      <c r="B17">
        <v>3419.3580000000002</v>
      </c>
      <c r="C17">
        <v>1841.9290000000001</v>
      </c>
      <c r="D17">
        <v>959.8</v>
      </c>
      <c r="E17">
        <v>630.29160000000002</v>
      </c>
      <c r="F17">
        <v>461.32909999999998</v>
      </c>
      <c r="G17">
        <v>362.71460000000002</v>
      </c>
      <c r="H17">
        <v>298.14460000000003</v>
      </c>
      <c r="I17">
        <v>252.49680000000001</v>
      </c>
      <c r="J17">
        <v>215.93100000000001</v>
      </c>
      <c r="K17">
        <v>194.84710000000001</v>
      </c>
      <c r="L17">
        <v>173.04689999999999</v>
      </c>
      <c r="M17">
        <v>156.0104</v>
      </c>
      <c r="N17">
        <v>145.08029999999999</v>
      </c>
      <c r="O17">
        <v>133.12049999999999</v>
      </c>
      <c r="P17">
        <v>124.2346</v>
      </c>
      <c r="Q17">
        <v>115.9006</v>
      </c>
      <c r="R17">
        <v>108.55419999999999</v>
      </c>
      <c r="S17">
        <v>102.5652</v>
      </c>
      <c r="T17">
        <v>97.616020000000006</v>
      </c>
      <c r="U17">
        <v>92.456940000000003</v>
      </c>
    </row>
    <row r="18" spans="1:21">
      <c r="A18" t="s">
        <v>15</v>
      </c>
      <c r="B18">
        <v>3310.875</v>
      </c>
      <c r="C18">
        <v>1767.652</v>
      </c>
      <c r="D18">
        <v>925.2047</v>
      </c>
      <c r="E18">
        <v>603.91129999999998</v>
      </c>
      <c r="F18">
        <v>430.40769999999998</v>
      </c>
      <c r="G18">
        <v>334.85329999999999</v>
      </c>
      <c r="H18">
        <v>274.09059999999999</v>
      </c>
      <c r="I18">
        <v>235.4195</v>
      </c>
      <c r="J18">
        <v>200.51519999999999</v>
      </c>
      <c r="K18">
        <v>179.0324</v>
      </c>
      <c r="L18">
        <v>158.75800000000001</v>
      </c>
      <c r="M18">
        <v>144.82749999999999</v>
      </c>
      <c r="N18">
        <v>131.81639999999999</v>
      </c>
      <c r="O18">
        <v>119.62649999999999</v>
      </c>
      <c r="P18">
        <v>111.41549999999999</v>
      </c>
      <c r="Q18">
        <v>103.87350000000001</v>
      </c>
      <c r="R18">
        <v>97.61112</v>
      </c>
      <c r="S18">
        <v>91.899029999999996</v>
      </c>
      <c r="T18">
        <v>87.907960000000003</v>
      </c>
      <c r="U18">
        <v>83.46696</v>
      </c>
    </row>
    <row r="19" spans="1:21">
      <c r="A19" t="s">
        <v>16</v>
      </c>
      <c r="B19">
        <v>6978.6859999999997</v>
      </c>
      <c r="C19">
        <v>4434.6729999999998</v>
      </c>
      <c r="D19">
        <v>2538.7759999999998</v>
      </c>
      <c r="E19">
        <v>1696.443</v>
      </c>
      <c r="F19">
        <v>1234.7149999999999</v>
      </c>
      <c r="G19">
        <v>963.60659999999996</v>
      </c>
      <c r="H19">
        <v>778.74350000000004</v>
      </c>
      <c r="I19">
        <v>652.86659999999995</v>
      </c>
      <c r="J19">
        <v>562.40729999999996</v>
      </c>
      <c r="K19">
        <v>489.06459999999998</v>
      </c>
      <c r="L19">
        <v>435.88499999999999</v>
      </c>
      <c r="M19">
        <v>390.83010000000002</v>
      </c>
      <c r="N19">
        <v>352.50990000000002</v>
      </c>
      <c r="O19">
        <v>321.53449999999998</v>
      </c>
      <c r="P19">
        <v>300.50240000000002</v>
      </c>
      <c r="Q19">
        <v>279.85610000000003</v>
      </c>
      <c r="R19">
        <v>261.59769999999997</v>
      </c>
      <c r="S19">
        <v>242.77889999999999</v>
      </c>
      <c r="T19">
        <v>227.36420000000001</v>
      </c>
      <c r="U19">
        <v>216.80770000000001</v>
      </c>
    </row>
    <row r="20" spans="1:21">
      <c r="A20" t="s">
        <v>17</v>
      </c>
      <c r="B20">
        <v>7066.8419999999996</v>
      </c>
      <c r="C20">
        <v>4501.9520000000002</v>
      </c>
      <c r="D20">
        <v>2550.154</v>
      </c>
      <c r="E20">
        <v>1672.9369999999999</v>
      </c>
      <c r="F20">
        <v>1209.739</v>
      </c>
      <c r="G20">
        <v>935.04510000000005</v>
      </c>
      <c r="H20">
        <v>758.80089999999996</v>
      </c>
      <c r="I20">
        <v>633.54110000000003</v>
      </c>
      <c r="J20">
        <v>542.38120000000004</v>
      </c>
      <c r="K20">
        <v>477.97859999999997</v>
      </c>
      <c r="L20">
        <v>428.15269999999998</v>
      </c>
      <c r="M20">
        <v>381.7645</v>
      </c>
      <c r="N20">
        <v>347.98320000000001</v>
      </c>
      <c r="O20">
        <v>321.42009999999999</v>
      </c>
      <c r="P20">
        <v>294.36770000000001</v>
      </c>
      <c r="Q20">
        <v>275.06400000000002</v>
      </c>
      <c r="R20">
        <v>259.74459999999999</v>
      </c>
      <c r="S20">
        <v>244.29349999999999</v>
      </c>
      <c r="T20">
        <v>227.30420000000001</v>
      </c>
      <c r="U20">
        <v>216.71559999999999</v>
      </c>
    </row>
    <row r="21" spans="1:21">
      <c r="A21" t="s">
        <v>18</v>
      </c>
      <c r="B21">
        <v>7096.92</v>
      </c>
      <c r="C21">
        <v>4519.7370000000001</v>
      </c>
      <c r="D21">
        <v>2568.8939999999998</v>
      </c>
      <c r="E21">
        <v>1673.2539999999999</v>
      </c>
      <c r="F21">
        <v>1212.473</v>
      </c>
      <c r="G21">
        <v>939.83389999999997</v>
      </c>
      <c r="H21">
        <v>758.11540000000002</v>
      </c>
      <c r="I21">
        <v>637.99580000000003</v>
      </c>
      <c r="J21">
        <v>551.22389999999996</v>
      </c>
      <c r="K21">
        <v>483.91930000000002</v>
      </c>
      <c r="L21">
        <v>429.44380000000001</v>
      </c>
      <c r="M21">
        <v>386.0582</v>
      </c>
      <c r="N21">
        <v>350.97460000000001</v>
      </c>
      <c r="O21">
        <v>325.58620000000002</v>
      </c>
      <c r="P21">
        <v>303.27960000000002</v>
      </c>
      <c r="Q21">
        <v>281.75380000000001</v>
      </c>
      <c r="R21">
        <v>264.4237</v>
      </c>
      <c r="S21">
        <v>250.6026</v>
      </c>
      <c r="T21">
        <v>230.68100000000001</v>
      </c>
      <c r="U21">
        <v>216.96559999999999</v>
      </c>
    </row>
    <row r="22" spans="1:21">
      <c r="A22" t="s">
        <v>19</v>
      </c>
      <c r="B22">
        <v>6994.9849999999997</v>
      </c>
      <c r="C22">
        <v>4479.0140000000001</v>
      </c>
      <c r="D22">
        <v>2583.4699999999998</v>
      </c>
      <c r="E22">
        <v>1699.701</v>
      </c>
      <c r="F22">
        <v>1231.3530000000001</v>
      </c>
      <c r="G22">
        <v>960.97230000000002</v>
      </c>
      <c r="H22">
        <v>783.49270000000001</v>
      </c>
      <c r="I22">
        <v>654.14509999999996</v>
      </c>
      <c r="J22">
        <v>560.12869999999998</v>
      </c>
      <c r="K22">
        <v>486.95479999999998</v>
      </c>
      <c r="L22">
        <v>427.82459999999998</v>
      </c>
      <c r="M22">
        <v>390.63929999999999</v>
      </c>
      <c r="N22">
        <v>354.76479999999998</v>
      </c>
      <c r="O22">
        <v>324.99919999999997</v>
      </c>
      <c r="P22">
        <v>300.35050000000001</v>
      </c>
      <c r="Q22">
        <v>281.149</v>
      </c>
      <c r="R22">
        <v>260.43860000000001</v>
      </c>
      <c r="S22">
        <v>246.2987</v>
      </c>
      <c r="T22">
        <v>231.4641</v>
      </c>
      <c r="U22">
        <v>219.02850000000001</v>
      </c>
    </row>
    <row r="23" spans="1:21">
      <c r="A23" t="s">
        <v>20</v>
      </c>
      <c r="B23">
        <v>7081.0159999999996</v>
      </c>
      <c r="C23">
        <v>4527.1319999999996</v>
      </c>
      <c r="D23">
        <v>2560.3020000000001</v>
      </c>
      <c r="E23">
        <v>1672.2819999999999</v>
      </c>
      <c r="F23">
        <v>1216.373</v>
      </c>
      <c r="G23">
        <v>942.02250000000004</v>
      </c>
      <c r="H23">
        <v>761.11310000000003</v>
      </c>
      <c r="I23">
        <v>641.7106</v>
      </c>
      <c r="J23">
        <v>549.5462</v>
      </c>
      <c r="K23">
        <v>478.94510000000002</v>
      </c>
      <c r="L23">
        <v>428.2174</v>
      </c>
      <c r="M23">
        <v>384.2106</v>
      </c>
      <c r="N23">
        <v>349.89049999999997</v>
      </c>
      <c r="O23">
        <v>319.64499999999998</v>
      </c>
      <c r="P23">
        <v>296.73090000000002</v>
      </c>
      <c r="Q23">
        <v>276.24509999999998</v>
      </c>
      <c r="R23">
        <v>256.70260000000002</v>
      </c>
      <c r="S23">
        <v>243.50049999999999</v>
      </c>
      <c r="T23">
        <v>224.65520000000001</v>
      </c>
      <c r="U23">
        <v>214.06379999999999</v>
      </c>
    </row>
    <row r="24" spans="1:21">
      <c r="A24" t="s">
        <v>21</v>
      </c>
      <c r="B24">
        <v>6985.5770000000002</v>
      </c>
      <c r="C24">
        <v>4492.4750000000004</v>
      </c>
      <c r="D24">
        <v>2564.498</v>
      </c>
      <c r="E24">
        <v>1726.366</v>
      </c>
      <c r="F24">
        <v>1259.9010000000001</v>
      </c>
      <c r="G24">
        <v>967.654</v>
      </c>
      <c r="H24">
        <v>778.89409999999998</v>
      </c>
      <c r="I24">
        <v>650.6087</v>
      </c>
      <c r="J24">
        <v>563.1019</v>
      </c>
      <c r="K24">
        <v>493.01350000000002</v>
      </c>
      <c r="L24">
        <v>436.30810000000002</v>
      </c>
      <c r="M24">
        <v>393.82339999999999</v>
      </c>
      <c r="N24">
        <v>360.66340000000002</v>
      </c>
      <c r="O24">
        <v>331.06130000000002</v>
      </c>
      <c r="P24">
        <v>308.08670000000001</v>
      </c>
      <c r="Q24">
        <v>288.9042</v>
      </c>
      <c r="R24">
        <v>268.54700000000003</v>
      </c>
      <c r="S24">
        <v>252.99700000000001</v>
      </c>
      <c r="T24">
        <v>236.898</v>
      </c>
      <c r="U24">
        <v>225.99860000000001</v>
      </c>
    </row>
    <row r="25" spans="1:21">
      <c r="A25" t="s">
        <v>34</v>
      </c>
      <c r="B25">
        <v>7065.1419999999998</v>
      </c>
      <c r="C25">
        <v>4525.8090000000002</v>
      </c>
      <c r="D25">
        <v>2568.0610000000001</v>
      </c>
      <c r="E25">
        <v>1672.415</v>
      </c>
      <c r="F25">
        <v>1216.4949999999999</v>
      </c>
      <c r="G25">
        <v>941.89469999999994</v>
      </c>
      <c r="H25">
        <v>760.53489999999999</v>
      </c>
      <c r="I25">
        <v>639.25900000000001</v>
      </c>
      <c r="J25">
        <v>550.94169999999997</v>
      </c>
      <c r="K25">
        <v>477.63080000000002</v>
      </c>
      <c r="L25">
        <v>420.60270000000003</v>
      </c>
      <c r="M25">
        <v>379.45330000000001</v>
      </c>
      <c r="N25">
        <v>345.98160000000001</v>
      </c>
      <c r="O25">
        <v>321.23970000000003</v>
      </c>
      <c r="P25">
        <v>296.58179999999999</v>
      </c>
      <c r="Q25">
        <v>277.21010000000001</v>
      </c>
      <c r="R25">
        <v>257.37090000000001</v>
      </c>
      <c r="S25">
        <v>242.40469999999999</v>
      </c>
      <c r="T25">
        <v>223.9701</v>
      </c>
      <c r="U25">
        <v>211.57859999999999</v>
      </c>
    </row>
    <row r="26" spans="1:21">
      <c r="A26" t="s">
        <v>22</v>
      </c>
      <c r="B26">
        <v>6211.9030000000002</v>
      </c>
      <c r="C26">
        <v>3224.2</v>
      </c>
      <c r="D26">
        <v>1645.742</v>
      </c>
      <c r="E26">
        <v>1020.4059999999999</v>
      </c>
      <c r="F26">
        <v>698.96119999999996</v>
      </c>
      <c r="G26">
        <v>522.00199999999995</v>
      </c>
      <c r="H26">
        <v>416.20890000000003</v>
      </c>
      <c r="I26">
        <v>340.06180000000001</v>
      </c>
      <c r="J26">
        <v>282.43200000000002</v>
      </c>
      <c r="K26">
        <v>248.19049999999999</v>
      </c>
      <c r="L26">
        <v>218.13489999999999</v>
      </c>
      <c r="M26">
        <v>195.06620000000001</v>
      </c>
      <c r="N26">
        <v>179.5849</v>
      </c>
      <c r="O26">
        <v>161.77500000000001</v>
      </c>
      <c r="P26">
        <v>149.10059999999999</v>
      </c>
      <c r="Q26">
        <v>137.51159999999999</v>
      </c>
      <c r="R26">
        <v>126.8334</v>
      </c>
      <c r="S26">
        <v>117.81829999999999</v>
      </c>
      <c r="T26">
        <v>110.2992</v>
      </c>
      <c r="U26">
        <v>104.9492</v>
      </c>
    </row>
    <row r="27" spans="1:21">
      <c r="A27" t="s">
        <v>23</v>
      </c>
      <c r="B27">
        <v>6929.25</v>
      </c>
      <c r="C27">
        <v>4446.5230000000001</v>
      </c>
      <c r="D27">
        <v>2541.1129999999998</v>
      </c>
      <c r="E27">
        <v>1704.76</v>
      </c>
      <c r="F27">
        <v>1238.336</v>
      </c>
      <c r="G27">
        <v>963.67629999999997</v>
      </c>
      <c r="H27">
        <v>778.89940000000001</v>
      </c>
      <c r="I27">
        <v>650.5548</v>
      </c>
      <c r="J27">
        <v>565.54369999999994</v>
      </c>
      <c r="K27">
        <v>491.99849999999998</v>
      </c>
      <c r="L27">
        <v>443.2801</v>
      </c>
      <c r="M27">
        <v>392.72829999999999</v>
      </c>
      <c r="N27">
        <v>353.69479999999999</v>
      </c>
      <c r="O27">
        <v>325.96730000000002</v>
      </c>
      <c r="P27">
        <v>301.97570000000002</v>
      </c>
      <c r="Q27">
        <v>287.666</v>
      </c>
      <c r="R27">
        <v>267.00569999999999</v>
      </c>
      <c r="S27">
        <v>249.81790000000001</v>
      </c>
      <c r="T27">
        <v>235.44290000000001</v>
      </c>
      <c r="U27">
        <v>223.57859999999999</v>
      </c>
    </row>
    <row r="28" spans="1:21">
      <c r="A28" t="s">
        <v>24</v>
      </c>
      <c r="B28">
        <v>6970.317</v>
      </c>
      <c r="C28">
        <v>4468.7129999999997</v>
      </c>
      <c r="D28">
        <v>2554.0949999999998</v>
      </c>
      <c r="E28">
        <v>1690.329</v>
      </c>
      <c r="F28">
        <v>1242.2429999999999</v>
      </c>
      <c r="G28">
        <v>957.28150000000005</v>
      </c>
      <c r="H28">
        <v>771.66790000000003</v>
      </c>
      <c r="I28">
        <v>649.07479999999998</v>
      </c>
      <c r="J28">
        <v>560.08500000000004</v>
      </c>
      <c r="K28">
        <v>483.62240000000003</v>
      </c>
      <c r="L28">
        <v>430.71390000000002</v>
      </c>
      <c r="M28">
        <v>385.55709999999999</v>
      </c>
      <c r="N28">
        <v>353.05040000000002</v>
      </c>
      <c r="O28">
        <v>322.76479999999998</v>
      </c>
      <c r="P28">
        <v>297.18349999999998</v>
      </c>
      <c r="Q28">
        <v>277.70940000000002</v>
      </c>
      <c r="R28">
        <v>260.49489999999997</v>
      </c>
      <c r="S28">
        <v>245.30690000000001</v>
      </c>
      <c r="T28">
        <v>231.43109999999999</v>
      </c>
      <c r="U28">
        <v>219.1216</v>
      </c>
    </row>
    <row r="29" spans="1:21">
      <c r="A29" t="s">
        <v>25</v>
      </c>
      <c r="B29">
        <v>7597.7690000000002</v>
      </c>
      <c r="C29">
        <v>4921.55</v>
      </c>
      <c r="D29">
        <v>2859.3290000000002</v>
      </c>
      <c r="E29">
        <v>1948.2349999999999</v>
      </c>
      <c r="F29">
        <v>1414.6179999999999</v>
      </c>
      <c r="G29">
        <v>1102.087</v>
      </c>
      <c r="H29">
        <v>895.65599999999995</v>
      </c>
      <c r="I29">
        <v>746.05020000000002</v>
      </c>
      <c r="J29">
        <v>636.93140000000005</v>
      </c>
      <c r="K29">
        <v>566.03480000000002</v>
      </c>
      <c r="L29">
        <v>502.97190000000001</v>
      </c>
      <c r="M29">
        <v>457.51870000000002</v>
      </c>
      <c r="N29">
        <v>417.11070000000001</v>
      </c>
      <c r="O29">
        <v>385.06130000000002</v>
      </c>
      <c r="P29">
        <v>356.70800000000003</v>
      </c>
      <c r="Q29">
        <v>332.69810000000001</v>
      </c>
      <c r="R29">
        <v>310.34910000000002</v>
      </c>
      <c r="S29">
        <v>293.95420000000001</v>
      </c>
      <c r="T29">
        <v>273.55579999999998</v>
      </c>
      <c r="U29">
        <v>257.67219999999998</v>
      </c>
    </row>
    <row r="30" spans="1:21">
      <c r="A30" t="s">
        <v>26</v>
      </c>
      <c r="B30">
        <v>7285.1419999999998</v>
      </c>
      <c r="C30">
        <v>4491.7439999999997</v>
      </c>
      <c r="D30">
        <v>2466.788</v>
      </c>
      <c r="E30">
        <v>1657.431</v>
      </c>
      <c r="F30">
        <v>1209.47</v>
      </c>
      <c r="G30">
        <v>925.32650000000001</v>
      </c>
      <c r="H30">
        <v>750.92079999999999</v>
      </c>
      <c r="I30">
        <v>624.83619999999996</v>
      </c>
      <c r="J30">
        <v>526.25850000000003</v>
      </c>
      <c r="K30">
        <v>456.1893</v>
      </c>
      <c r="L30">
        <v>401.39760000000001</v>
      </c>
      <c r="M30">
        <v>360.32170000000002</v>
      </c>
      <c r="N30">
        <v>324.9622</v>
      </c>
      <c r="O30">
        <v>297.8306</v>
      </c>
      <c r="P30">
        <v>271.24079999999998</v>
      </c>
      <c r="Q30">
        <v>253.54310000000001</v>
      </c>
      <c r="R30">
        <v>236.31559999999999</v>
      </c>
      <c r="S30">
        <v>219.88480000000001</v>
      </c>
      <c r="T30">
        <v>208.09620000000001</v>
      </c>
      <c r="U30">
        <v>195.97970000000001</v>
      </c>
    </row>
    <row r="31" spans="1:21">
      <c r="A31" t="s">
        <v>27</v>
      </c>
      <c r="B31">
        <v>7173.9589999999998</v>
      </c>
      <c r="C31">
        <v>4314.7290000000003</v>
      </c>
      <c r="D31">
        <v>2468.364</v>
      </c>
      <c r="E31">
        <v>1639.979</v>
      </c>
      <c r="F31">
        <v>1185.1089999999999</v>
      </c>
      <c r="G31">
        <v>891.62620000000004</v>
      </c>
      <c r="H31">
        <v>707.36760000000004</v>
      </c>
      <c r="I31">
        <v>580.35810000000004</v>
      </c>
      <c r="J31">
        <v>488.64249999999998</v>
      </c>
      <c r="K31">
        <v>422.52820000000003</v>
      </c>
      <c r="L31">
        <v>366.57619999999997</v>
      </c>
      <c r="M31">
        <v>323.54160000000002</v>
      </c>
      <c r="N31">
        <v>290.12479999999999</v>
      </c>
      <c r="O31">
        <v>265.46370000000002</v>
      </c>
      <c r="P31">
        <v>241.12549999999999</v>
      </c>
      <c r="Q31">
        <v>220.83779999999999</v>
      </c>
      <c r="R31">
        <v>204.11060000000001</v>
      </c>
      <c r="S31">
        <v>190.84880000000001</v>
      </c>
      <c r="T31">
        <v>178.88839999999999</v>
      </c>
      <c r="U31">
        <v>169.03059999999999</v>
      </c>
    </row>
    <row r="32" spans="1:21">
      <c r="A32" t="s">
        <v>28</v>
      </c>
      <c r="B32">
        <v>6619.8639999999996</v>
      </c>
      <c r="C32">
        <v>3407.5250000000001</v>
      </c>
      <c r="D32">
        <v>1635.93</v>
      </c>
      <c r="E32">
        <v>997.38900000000001</v>
      </c>
      <c r="F32">
        <v>684.57429999999999</v>
      </c>
      <c r="G32">
        <v>519.40859999999998</v>
      </c>
      <c r="H32">
        <v>410.947</v>
      </c>
      <c r="I32">
        <v>325.52420000000001</v>
      </c>
      <c r="J32">
        <v>270.03019999999998</v>
      </c>
      <c r="K32">
        <v>229.10130000000001</v>
      </c>
      <c r="L32">
        <v>197.9008</v>
      </c>
      <c r="M32">
        <v>173.9975</v>
      </c>
      <c r="N32">
        <v>157.21420000000001</v>
      </c>
      <c r="O32">
        <v>143.29429999999999</v>
      </c>
      <c r="P32">
        <v>127.42570000000001</v>
      </c>
      <c r="Q32">
        <v>116.5776</v>
      </c>
      <c r="R32">
        <v>106.1502</v>
      </c>
      <c r="S32">
        <v>98.517039999999994</v>
      </c>
      <c r="T32">
        <v>92.669970000000006</v>
      </c>
      <c r="U32">
        <v>85.234949999999998</v>
      </c>
    </row>
    <row r="33" spans="1:21">
      <c r="A33" t="s">
        <v>29</v>
      </c>
      <c r="B33">
        <v>6471.5190000000002</v>
      </c>
      <c r="C33">
        <v>3239.8069999999998</v>
      </c>
      <c r="D33">
        <v>1583.3579999999999</v>
      </c>
      <c r="E33">
        <v>969.57539999999995</v>
      </c>
      <c r="F33">
        <v>698.52359999999999</v>
      </c>
      <c r="G33">
        <v>524.63599999999997</v>
      </c>
      <c r="H33">
        <v>409.40660000000003</v>
      </c>
      <c r="I33">
        <v>327.80110000000002</v>
      </c>
      <c r="J33">
        <v>275.12419999999997</v>
      </c>
      <c r="K33">
        <v>234.14519999999999</v>
      </c>
      <c r="L33">
        <v>201.5318</v>
      </c>
      <c r="M33">
        <v>175.65450000000001</v>
      </c>
      <c r="N33">
        <v>158.4051</v>
      </c>
      <c r="O33">
        <v>140.38730000000001</v>
      </c>
      <c r="P33">
        <v>125.6576</v>
      </c>
      <c r="Q33">
        <v>116.90260000000001</v>
      </c>
      <c r="R33">
        <v>107.6071</v>
      </c>
      <c r="S33">
        <v>98.846040000000002</v>
      </c>
      <c r="T33">
        <v>92.520020000000002</v>
      </c>
      <c r="U33">
        <v>86.480999999999995</v>
      </c>
    </row>
    <row r="34" spans="1:21">
      <c r="A34" t="s">
        <v>30</v>
      </c>
      <c r="B34">
        <v>6443.7139999999999</v>
      </c>
      <c r="C34">
        <v>3200.4070000000002</v>
      </c>
      <c r="D34">
        <v>1572.2860000000001</v>
      </c>
      <c r="E34">
        <v>984.54409999999996</v>
      </c>
      <c r="F34">
        <v>692.33040000000005</v>
      </c>
      <c r="G34">
        <v>517.8116</v>
      </c>
      <c r="H34">
        <v>409.15050000000002</v>
      </c>
      <c r="I34">
        <v>333.37920000000003</v>
      </c>
      <c r="J34">
        <v>277.58440000000002</v>
      </c>
      <c r="K34">
        <v>233.1224</v>
      </c>
      <c r="L34">
        <v>199.54480000000001</v>
      </c>
      <c r="M34">
        <v>176.3664</v>
      </c>
      <c r="N34">
        <v>158.1311</v>
      </c>
      <c r="O34">
        <v>140.9973</v>
      </c>
      <c r="P34">
        <v>129.25059999999999</v>
      </c>
      <c r="Q34">
        <v>118.20959999999999</v>
      </c>
      <c r="R34">
        <v>108.17919999999999</v>
      </c>
      <c r="S34">
        <v>100.85809999999999</v>
      </c>
      <c r="T34">
        <v>94.736000000000004</v>
      </c>
      <c r="U34">
        <v>89.159970000000001</v>
      </c>
    </row>
    <row r="35" spans="1:21">
      <c r="A35" t="s">
        <v>31</v>
      </c>
      <c r="B35">
        <v>14808.66</v>
      </c>
      <c r="C35">
        <v>9580.1219999999994</v>
      </c>
      <c r="D35">
        <v>5628.442</v>
      </c>
      <c r="E35">
        <v>3751.6179999999999</v>
      </c>
      <c r="F35">
        <v>2717.8319999999999</v>
      </c>
      <c r="G35">
        <v>2067.1170000000002</v>
      </c>
      <c r="H35">
        <v>1610.078</v>
      </c>
      <c r="I35">
        <v>1299.3879999999999</v>
      </c>
      <c r="J35">
        <v>1059.4939999999999</v>
      </c>
      <c r="K35">
        <v>886.89179999999999</v>
      </c>
      <c r="L35">
        <v>769.09159999999997</v>
      </c>
      <c r="M35">
        <v>683.59500000000003</v>
      </c>
      <c r="N35">
        <v>606.19669999999996</v>
      </c>
      <c r="O35">
        <v>543.46799999999996</v>
      </c>
      <c r="P35">
        <v>490.95940000000002</v>
      </c>
      <c r="Q35">
        <v>452.45240000000001</v>
      </c>
      <c r="R35">
        <v>413.80439999999999</v>
      </c>
      <c r="S35">
        <v>380.95819999999998</v>
      </c>
      <c r="T35">
        <v>352.11079999999998</v>
      </c>
      <c r="U35">
        <v>326.58010000000002</v>
      </c>
    </row>
    <row r="36" spans="1:21">
      <c r="A36" t="s">
        <v>32</v>
      </c>
      <c r="B36">
        <v>15474.77</v>
      </c>
      <c r="C36">
        <v>10020.16</v>
      </c>
      <c r="D36">
        <v>5926.0969999999998</v>
      </c>
      <c r="E36">
        <v>3981.4639999999999</v>
      </c>
      <c r="F36">
        <v>2904.904</v>
      </c>
      <c r="G36">
        <v>2212.7109999999998</v>
      </c>
      <c r="H36">
        <v>1755.8530000000001</v>
      </c>
      <c r="I36">
        <v>1426.665</v>
      </c>
      <c r="J36">
        <v>1203.0719999999999</v>
      </c>
      <c r="K36">
        <v>1023.693</v>
      </c>
      <c r="L36">
        <v>894.84130000000005</v>
      </c>
      <c r="M36">
        <v>790.03300000000002</v>
      </c>
      <c r="N36">
        <v>702.53089999999997</v>
      </c>
      <c r="O36">
        <v>633.66909999999996</v>
      </c>
      <c r="P36">
        <v>579.33759999999995</v>
      </c>
      <c r="Q36">
        <v>533.22069999999997</v>
      </c>
      <c r="R36">
        <v>492.79419999999999</v>
      </c>
      <c r="S36">
        <v>454.9101</v>
      </c>
      <c r="T36">
        <v>421.29250000000002</v>
      </c>
      <c r="U36">
        <v>392.48829999999998</v>
      </c>
    </row>
    <row r="37" spans="1:21">
      <c r="A37" t="s">
        <v>33</v>
      </c>
      <c r="B37">
        <v>15716.65</v>
      </c>
      <c r="C37">
        <v>10330.219999999999</v>
      </c>
      <c r="D37">
        <v>6103.2610000000004</v>
      </c>
      <c r="E37">
        <v>4036.0070000000001</v>
      </c>
      <c r="F37">
        <v>2911.04</v>
      </c>
      <c r="G37">
        <v>2210.9650000000001</v>
      </c>
      <c r="H37">
        <v>1744.3050000000001</v>
      </c>
      <c r="I37">
        <v>1442.8489999999999</v>
      </c>
      <c r="J37">
        <v>1211.973</v>
      </c>
      <c r="K37">
        <v>1026.6990000000001</v>
      </c>
      <c r="L37">
        <v>901.56230000000005</v>
      </c>
      <c r="M37">
        <v>790.73649999999998</v>
      </c>
      <c r="N37">
        <v>699.65890000000002</v>
      </c>
      <c r="O37">
        <v>632.95950000000005</v>
      </c>
      <c r="P37">
        <v>573.50289999999995</v>
      </c>
      <c r="Q37">
        <v>523.26930000000004</v>
      </c>
      <c r="R37">
        <v>482.8963</v>
      </c>
      <c r="S37">
        <v>444.90309999999999</v>
      </c>
      <c r="T37">
        <v>408.45549999999997</v>
      </c>
      <c r="U37">
        <v>378.96319999999997</v>
      </c>
    </row>
  </sheetData>
  <phoneticPr fontId="0" type="noConversion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64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"Chg_T_neg_den _1.4A"</f>
        <v>Chg_T_neg_den _1.4A</v>
      </c>
      <c r="C1" s="1" t="str">
        <f>"Chg_T_neg_den _2A"</f>
        <v>Chg_T_neg_den _2A</v>
      </c>
      <c r="D1" s="1" t="str">
        <f>"Chg_T_neg_den _3A"</f>
        <v>Chg_T_neg_den _3A</v>
      </c>
      <c r="E1" s="1" t="str">
        <f>"Chg_T_neg_den _4A"</f>
        <v>Chg_T_neg_den _4A</v>
      </c>
      <c r="F1" s="1" t="str">
        <f>"Chg_T_neg_den _5A"</f>
        <v>Chg_T_neg_den _5A</v>
      </c>
      <c r="G1" s="1" t="str">
        <f>"Chg_T_neg_den _6A"</f>
        <v>Chg_T_neg_den _6A</v>
      </c>
      <c r="H1" s="1" t="str">
        <f>"Chg_T_neg_den _7A"</f>
        <v>Chg_T_neg_den _7A</v>
      </c>
      <c r="I1" s="1" t="str">
        <f>"Chg_T_neg_den _8A"</f>
        <v>Chg_T_neg_den _8A</v>
      </c>
      <c r="J1" s="1" t="str">
        <f>"Chg_T_neg_den _9A"</f>
        <v>Chg_T_neg_den _9A</v>
      </c>
      <c r="K1" s="1" t="str">
        <f>"Chg_T_neg_den _10A"</f>
        <v>Chg_T_neg_den _10A</v>
      </c>
      <c r="L1" s="1" t="str">
        <f>"Chg_T_neg_den _11A"</f>
        <v>Chg_T_neg_den _11A</v>
      </c>
      <c r="M1" s="1" t="str">
        <f>"Chg_T_neg_den _12A"</f>
        <v>Chg_T_neg_den _12A</v>
      </c>
      <c r="N1" s="1" t="str">
        <f>"Chg_T_neg_den _13A"</f>
        <v>Chg_T_neg_den _13A</v>
      </c>
      <c r="O1" s="1" t="str">
        <f>"Chg_T_neg_den _14A"</f>
        <v>Chg_T_neg_den _14A</v>
      </c>
      <c r="P1" s="1" t="str">
        <f>"Chg_T_neg_den _15A"</f>
        <v>Chg_T_neg_den _15A</v>
      </c>
      <c r="Q1" s="1" t="str">
        <f>"Chg_T_neg_den _16A"</f>
        <v>Chg_T_neg_den _16A</v>
      </c>
      <c r="R1" s="1" t="str">
        <f>"Chg_T_neg_den _17A"</f>
        <v>Chg_T_neg_den _17A</v>
      </c>
      <c r="S1" s="1" t="str">
        <f>"Chg_T_neg_den _18A"</f>
        <v>Chg_T_neg_den _18A</v>
      </c>
      <c r="T1" s="1" t="str">
        <f>"Chg_T_neg_den _19A"</f>
        <v>Chg_T_neg_den _19A</v>
      </c>
      <c r="U1" s="1" t="str">
        <f>"Chg_T_neg_den _20A"</f>
        <v>Chg_T_neg_den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-9.3573260366138951E-3</v>
      </c>
      <c r="C3">
        <v>-9.5042629617319886E-3</v>
      </c>
      <c r="D3">
        <v>-9.8919559408373655E-3</v>
      </c>
      <c r="E3">
        <v>-1.0150803961670738E-2</v>
      </c>
      <c r="F3">
        <v>-1.0440611647291768E-2</v>
      </c>
      <c r="G3">
        <v>-1.0687471487954688E-2</v>
      </c>
      <c r="H3">
        <v>-1.0792925629776394E-2</v>
      </c>
      <c r="I3">
        <v>-1.1060538360913176E-2</v>
      </c>
      <c r="J3">
        <v>-1.0969670078041869E-2</v>
      </c>
      <c r="K3">
        <v>-1.088905631043513E-2</v>
      </c>
      <c r="L3">
        <v>-1.0951080949895973E-2</v>
      </c>
      <c r="M3">
        <v>-1.1111257032996171E-2</v>
      </c>
      <c r="N3">
        <v>-1.1204415857853998E-2</v>
      </c>
      <c r="O3">
        <v>-1.1459501883316212E-2</v>
      </c>
      <c r="P3">
        <v>-1.1365053137638593E-2</v>
      </c>
      <c r="Q3">
        <v>-1.1498766243681152E-2</v>
      </c>
      <c r="R3">
        <v>-1.1483042132067611E-2</v>
      </c>
      <c r="S3">
        <v>-1.1554640090060261E-2</v>
      </c>
      <c r="T3">
        <v>-1.1443101733417147E-2</v>
      </c>
      <c r="U3">
        <v>-1.1299753871348135E-2</v>
      </c>
    </row>
    <row r="4" spans="1:24">
      <c r="A4" t="s">
        <v>1</v>
      </c>
      <c r="B4">
        <v>-9.1827447730484912E-3</v>
      </c>
      <c r="C4">
        <v>-9.5534524388415313E-3</v>
      </c>
      <c r="D4">
        <v>-9.9719977837511055E-3</v>
      </c>
      <c r="E4">
        <v>-1.0318719407035657E-2</v>
      </c>
      <c r="F4">
        <v>-1.0460420131326793E-2</v>
      </c>
      <c r="G4">
        <v>-1.0504537533774522E-2</v>
      </c>
      <c r="H4">
        <v>-1.0655715254590985E-2</v>
      </c>
      <c r="I4">
        <v>-1.0541344582376707E-2</v>
      </c>
      <c r="J4">
        <v>-1.062449968154913E-2</v>
      </c>
      <c r="K4">
        <v>-1.0596911695503246E-2</v>
      </c>
      <c r="L4">
        <v>-1.0562331012536896E-2</v>
      </c>
      <c r="M4">
        <v>-1.0651363638542485E-2</v>
      </c>
      <c r="N4">
        <v>-1.0674094319741062E-2</v>
      </c>
      <c r="O4">
        <v>-1.0557820293260503E-2</v>
      </c>
      <c r="P4">
        <v>-1.0603882252741949E-2</v>
      </c>
      <c r="Q4">
        <v>-1.066291569978179E-2</v>
      </c>
      <c r="R4">
        <v>-1.0763373885814172E-2</v>
      </c>
      <c r="S4">
        <v>-1.0859276653620322E-2</v>
      </c>
      <c r="T4">
        <v>-1.0983642490267283E-2</v>
      </c>
      <c r="U4">
        <v>-1.1017838658630357E-2</v>
      </c>
    </row>
    <row r="5" spans="1:24">
      <c r="A5" t="s">
        <v>2</v>
      </c>
      <c r="B5">
        <v>-9.7298510466774357E-3</v>
      </c>
      <c r="C5">
        <v>-1.0251163751716761E-2</v>
      </c>
      <c r="D5">
        <v>-1.1004985765316952E-2</v>
      </c>
      <c r="E5">
        <v>-1.1594908510503925E-2</v>
      </c>
      <c r="F5">
        <v>-1.1971857407779772E-2</v>
      </c>
      <c r="G5">
        <v>-1.2154286352076665E-2</v>
      </c>
      <c r="H5">
        <v>-1.2225068425504667E-2</v>
      </c>
      <c r="I5">
        <v>-1.2432782431407444E-2</v>
      </c>
      <c r="J5">
        <v>-1.2612706267382801E-2</v>
      </c>
      <c r="K5">
        <v>-1.2805268837500404E-2</v>
      </c>
      <c r="L5">
        <v>-1.2903124572816994E-2</v>
      </c>
      <c r="M5">
        <v>-1.2993499300936899E-2</v>
      </c>
      <c r="N5">
        <v>-1.2999344268278468E-2</v>
      </c>
      <c r="O5">
        <v>-1.3236790363751819E-2</v>
      </c>
      <c r="P5">
        <v>-1.3418643585845104E-2</v>
      </c>
      <c r="Q5">
        <v>-1.3503061319085102E-2</v>
      </c>
      <c r="R5">
        <v>-1.3483186329647909E-2</v>
      </c>
      <c r="S5">
        <v>-1.3603760627999117E-2</v>
      </c>
      <c r="T5">
        <v>-1.3522573526514205E-2</v>
      </c>
      <c r="U5">
        <v>-1.3559648590618334E-2</v>
      </c>
    </row>
    <row r="6" spans="1:24">
      <c r="A6" t="s">
        <v>3</v>
      </c>
      <c r="B6">
        <v>-9.6437717587047889E-3</v>
      </c>
      <c r="C6">
        <v>-1.043865916101031E-2</v>
      </c>
      <c r="D6">
        <v>-1.0719977922963971E-2</v>
      </c>
      <c r="E6">
        <v>-1.0952048920804853E-2</v>
      </c>
      <c r="F6">
        <v>-1.1110185923717958E-2</v>
      </c>
      <c r="G6">
        <v>-1.1212878289421406E-2</v>
      </c>
      <c r="H6">
        <v>-1.1279774576254563E-2</v>
      </c>
      <c r="I6">
        <v>-1.1335369602036511E-2</v>
      </c>
      <c r="J6">
        <v>-1.1651727508287951E-2</v>
      </c>
      <c r="K6">
        <v>-1.1686542727258576E-2</v>
      </c>
      <c r="L6">
        <v>-1.1893345021418113E-2</v>
      </c>
      <c r="M6">
        <v>-1.1849547615114978E-2</v>
      </c>
      <c r="N6">
        <v>-1.1895075709106419E-2</v>
      </c>
      <c r="O6">
        <v>-1.1974666635198602E-2</v>
      </c>
      <c r="P6">
        <v>-1.2195507632414712E-2</v>
      </c>
      <c r="Q6">
        <v>-1.2070033537186824E-2</v>
      </c>
      <c r="R6">
        <v>-1.222475041108762E-2</v>
      </c>
      <c r="S6">
        <v>-1.2320116355038421E-2</v>
      </c>
      <c r="T6">
        <v>-1.2280375570969379E-2</v>
      </c>
      <c r="U6">
        <v>-1.2226481636848216E-2</v>
      </c>
    </row>
    <row r="7" spans="1:24">
      <c r="A7" t="s">
        <v>4</v>
      </c>
      <c r="B7">
        <v>-9.7509524231416678E-3</v>
      </c>
      <c r="C7">
        <v>-1.0250474964730904E-2</v>
      </c>
      <c r="D7">
        <v>-1.0394375369651798E-2</v>
      </c>
      <c r="E7">
        <v>-1.0522134298200677E-2</v>
      </c>
      <c r="F7">
        <v>-1.0474707032993229E-2</v>
      </c>
      <c r="G7">
        <v>-1.059914525792076E-2</v>
      </c>
      <c r="H7">
        <v>-1.0475682794240937E-2</v>
      </c>
      <c r="I7">
        <v>-1.0530810189162387E-2</v>
      </c>
      <c r="J7">
        <v>-1.0585784441774201E-2</v>
      </c>
      <c r="K7">
        <v>-1.0628832456627459E-2</v>
      </c>
      <c r="L7">
        <v>-1.0515525836230631E-2</v>
      </c>
      <c r="M7">
        <v>-1.0662756622934807E-2</v>
      </c>
      <c r="N7">
        <v>-1.0498005597875623E-2</v>
      </c>
      <c r="O7">
        <v>-1.0775613715892241E-2</v>
      </c>
      <c r="P7">
        <v>-1.0709170097565496E-2</v>
      </c>
      <c r="Q7">
        <v>-1.0551348139171773E-2</v>
      </c>
      <c r="R7">
        <v>-1.0589838836477988E-2</v>
      </c>
      <c r="S7">
        <v>-1.0480042255810174E-2</v>
      </c>
      <c r="T7">
        <v>-1.0566262436133374E-2</v>
      </c>
      <c r="U7">
        <v>-1.0629319464554829E-2</v>
      </c>
    </row>
    <row r="8" spans="1:24">
      <c r="A8" t="s">
        <v>5</v>
      </c>
      <c r="B8">
        <v>-1.0200096450801001E-2</v>
      </c>
      <c r="C8">
        <v>-1.0912481329174646E-2</v>
      </c>
      <c r="D8">
        <v>-1.1242336580520363E-2</v>
      </c>
      <c r="E8">
        <v>-1.162991984739504E-2</v>
      </c>
      <c r="F8">
        <v>-1.1784922267151084E-2</v>
      </c>
      <c r="G8">
        <v>-1.1833859376041466E-2</v>
      </c>
      <c r="H8">
        <v>-1.1984624115087833E-2</v>
      </c>
      <c r="I8">
        <v>-1.2099233345441282E-2</v>
      </c>
      <c r="J8">
        <v>-1.2078769082330017E-2</v>
      </c>
      <c r="K8">
        <v>-1.236099278036085E-2</v>
      </c>
      <c r="L8">
        <v>-1.2514318531748364E-2</v>
      </c>
      <c r="M8">
        <v>-1.2445239784559138E-2</v>
      </c>
      <c r="N8">
        <v>-1.2566861651206983E-2</v>
      </c>
      <c r="O8">
        <v>-1.2500778575920923E-2</v>
      </c>
      <c r="P8">
        <v>-1.213333099353071E-2</v>
      </c>
      <c r="Q8">
        <v>-1.2034303315166212E-2</v>
      </c>
      <c r="R8">
        <v>-1.207289876718008E-2</v>
      </c>
      <c r="S8">
        <v>-1.2089367680071444E-2</v>
      </c>
      <c r="T8">
        <v>-1.2202257213269259E-2</v>
      </c>
      <c r="U8">
        <v>-1.2156432552954293E-2</v>
      </c>
    </row>
    <row r="9" spans="1:24">
      <c r="A9" t="s">
        <v>6</v>
      </c>
      <c r="B9">
        <v>-1.0167273611836504E-2</v>
      </c>
      <c r="C9">
        <v>-1.1069849438543212E-2</v>
      </c>
      <c r="D9">
        <v>-1.1507648395457397E-2</v>
      </c>
      <c r="E9">
        <v>-1.1352012629330159E-2</v>
      </c>
      <c r="F9">
        <v>-1.1665866113069185E-2</v>
      </c>
      <c r="G9">
        <v>-1.1809467827155711E-2</v>
      </c>
      <c r="H9">
        <v>-1.1816178800750568E-2</v>
      </c>
      <c r="I9">
        <v>-1.1661412657014014E-2</v>
      </c>
      <c r="J9">
        <v>-1.1439181421199519E-2</v>
      </c>
      <c r="K9">
        <v>-1.1342978846025632E-2</v>
      </c>
      <c r="L9">
        <v>-1.1463959230405539E-2</v>
      </c>
      <c r="M9">
        <v>-1.1419330954334676E-2</v>
      </c>
      <c r="N9">
        <v>-1.1300801909892261E-2</v>
      </c>
      <c r="O9">
        <v>-1.1196030847841411E-2</v>
      </c>
      <c r="P9">
        <v>-1.1287620214085898E-2</v>
      </c>
      <c r="Q9">
        <v>-1.1441552701367583E-2</v>
      </c>
      <c r="R9">
        <v>-1.1286711586034875E-2</v>
      </c>
      <c r="S9">
        <v>-1.1200371889144047E-2</v>
      </c>
      <c r="T9">
        <v>-1.105905646015831E-2</v>
      </c>
      <c r="U9">
        <v>-1.1000424049176555E-2</v>
      </c>
    </row>
    <row r="10" spans="1:24">
      <c r="A10" t="s">
        <v>7</v>
      </c>
      <c r="B10">
        <v>-1.0052478736063294E-2</v>
      </c>
      <c r="C10">
        <v>-1.087255809016043E-2</v>
      </c>
      <c r="D10">
        <v>-1.1178058388426547E-2</v>
      </c>
      <c r="E10">
        <v>-1.1314902813638958E-2</v>
      </c>
      <c r="F10">
        <v>-1.1284645261639605E-2</v>
      </c>
      <c r="G10">
        <v>-1.1427628990412065E-2</v>
      </c>
      <c r="H10">
        <v>-1.1504772257297652E-2</v>
      </c>
      <c r="I10">
        <v>-1.1302944182460419E-2</v>
      </c>
      <c r="J10">
        <v>-1.153496782514239E-2</v>
      </c>
      <c r="K10">
        <v>-1.1459198567828267E-2</v>
      </c>
      <c r="L10">
        <v>-1.1645862331515058E-2</v>
      </c>
      <c r="M10">
        <v>-1.1523784345280376E-2</v>
      </c>
      <c r="N10">
        <v>-1.1464061372769081E-2</v>
      </c>
      <c r="O10">
        <v>-1.1232196556205385E-2</v>
      </c>
      <c r="P10">
        <v>-1.1411290238724574E-2</v>
      </c>
      <c r="Q10">
        <v>-1.1277713643792002E-2</v>
      </c>
      <c r="R10">
        <v>-1.1304229272968629E-2</v>
      </c>
      <c r="S10">
        <v>-1.1134828551325297E-2</v>
      </c>
      <c r="T10">
        <v>-1.1188033722930544E-2</v>
      </c>
      <c r="U10">
        <v>-1.1331339564984923E-2</v>
      </c>
    </row>
    <row r="11" spans="1:24">
      <c r="A11" t="s">
        <v>8</v>
      </c>
      <c r="B11">
        <v>-1.0140466131063954E-2</v>
      </c>
      <c r="C11">
        <v>-1.1055908893620955E-2</v>
      </c>
      <c r="D11">
        <v>-1.1358490093352698E-2</v>
      </c>
      <c r="E11">
        <v>-1.1750040178915191E-2</v>
      </c>
      <c r="F11">
        <v>-1.1987194398772043E-2</v>
      </c>
      <c r="G11">
        <v>-1.2219539393774972E-2</v>
      </c>
      <c r="H11">
        <v>-1.2310676219012589E-2</v>
      </c>
      <c r="I11">
        <v>-1.2104230450447402E-2</v>
      </c>
      <c r="J11">
        <v>-1.2343151458538476E-2</v>
      </c>
      <c r="K11">
        <v>-1.2223590635366852E-2</v>
      </c>
      <c r="L11">
        <v>-1.2745482596415236E-2</v>
      </c>
      <c r="M11">
        <v>-1.2954568751244193E-2</v>
      </c>
      <c r="N11">
        <v>-1.2830506607985579E-2</v>
      </c>
      <c r="O11">
        <v>-1.287516587029674E-2</v>
      </c>
      <c r="P11">
        <v>-1.2961205583648903E-2</v>
      </c>
      <c r="Q11">
        <v>-1.2716112882463092E-2</v>
      </c>
      <c r="R11">
        <v>-1.2866400431802726E-2</v>
      </c>
      <c r="S11">
        <v>-1.2892322341054467E-2</v>
      </c>
      <c r="T11">
        <v>-1.288761092421393E-2</v>
      </c>
      <c r="U11">
        <v>-1.288535761319305E-2</v>
      </c>
    </row>
    <row r="12" spans="1:24">
      <c r="A12" t="s">
        <v>9</v>
      </c>
      <c r="B12">
        <v>-1.0606281260753211E-2</v>
      </c>
      <c r="C12">
        <v>-1.1003640887137034E-2</v>
      </c>
      <c r="D12">
        <v>-1.122728790324992E-2</v>
      </c>
      <c r="E12">
        <v>-1.1274910894101755E-2</v>
      </c>
      <c r="F12">
        <v>-1.1213561963006534E-2</v>
      </c>
      <c r="G12">
        <v>-1.1237445533700905E-2</v>
      </c>
      <c r="H12">
        <v>-1.1637633283354036E-2</v>
      </c>
      <c r="I12">
        <v>-1.1473738666853726E-2</v>
      </c>
      <c r="J12">
        <v>-1.1404998309945898E-2</v>
      </c>
      <c r="K12">
        <v>-1.1338403964272803E-2</v>
      </c>
      <c r="L12">
        <v>-1.159833534491833E-2</v>
      </c>
      <c r="M12">
        <v>-1.1649871729659927E-2</v>
      </c>
      <c r="N12">
        <v>-1.1566859793830481E-2</v>
      </c>
      <c r="O12">
        <v>-1.1483953778095045E-2</v>
      </c>
      <c r="P12">
        <v>-1.1508755848921467E-2</v>
      </c>
      <c r="Q12">
        <v>-1.1525118616143174E-2</v>
      </c>
      <c r="R12">
        <v>-1.1399987026002275E-2</v>
      </c>
      <c r="S12">
        <v>-1.1405743361213191E-2</v>
      </c>
      <c r="T12">
        <v>-1.1392581557482198E-2</v>
      </c>
      <c r="U12">
        <v>-1.148710016155635E-2</v>
      </c>
    </row>
    <row r="13" spans="1:24">
      <c r="A13" t="s">
        <v>10</v>
      </c>
      <c r="B13">
        <v>-1.0600004934251103E-2</v>
      </c>
      <c r="C13">
        <v>-1.1051606451992496E-2</v>
      </c>
      <c r="D13">
        <v>-1.1026723273959508E-2</v>
      </c>
      <c r="E13">
        <v>-1.1175199592710199E-2</v>
      </c>
      <c r="F13">
        <v>-1.1155234843855331E-2</v>
      </c>
      <c r="G13">
        <v>-1.1358365172713878E-2</v>
      </c>
      <c r="H13">
        <v>-1.1321087879825662E-2</v>
      </c>
      <c r="I13">
        <v>-1.1379776932388034E-2</v>
      </c>
      <c r="J13">
        <v>-1.1404752842355592E-2</v>
      </c>
      <c r="K13">
        <v>-1.1649365484240622E-2</v>
      </c>
      <c r="L13">
        <v>-1.1518022040670688E-2</v>
      </c>
      <c r="M13">
        <v>-1.1711146083114965E-2</v>
      </c>
      <c r="N13">
        <v>-1.174480747652513E-2</v>
      </c>
      <c r="O13">
        <v>-1.1907174262004119E-2</v>
      </c>
      <c r="P13">
        <v>-1.1785622171352685E-2</v>
      </c>
      <c r="Q13">
        <v>-1.1864840501858053E-2</v>
      </c>
      <c r="R13">
        <v>-1.1788828773310849E-2</v>
      </c>
      <c r="S13">
        <v>-1.1833969505697085E-2</v>
      </c>
      <c r="T13">
        <v>-1.2102784440208682E-2</v>
      </c>
      <c r="U13">
        <v>-1.2077639714707046E-2</v>
      </c>
    </row>
    <row r="14" spans="1:24">
      <c r="A14" t="s">
        <v>11</v>
      </c>
      <c r="B14">
        <v>-1.050185949060976E-2</v>
      </c>
      <c r="C14">
        <v>-1.0888513461917474E-2</v>
      </c>
      <c r="D14">
        <v>-1.1003198833224875E-2</v>
      </c>
      <c r="E14">
        <v>-1.102535711761608E-2</v>
      </c>
      <c r="F14">
        <v>-1.1189947967879383E-2</v>
      </c>
      <c r="G14">
        <v>-1.1335205122323109E-2</v>
      </c>
      <c r="H14">
        <v>-1.1360799780630875E-2</v>
      </c>
      <c r="I14">
        <v>-1.1599293239225223E-2</v>
      </c>
      <c r="J14">
        <v>-1.1368649041003421E-2</v>
      </c>
      <c r="K14">
        <v>-1.1440543741803691E-2</v>
      </c>
      <c r="L14">
        <v>-1.1667458439917767E-2</v>
      </c>
      <c r="M14">
        <v>-1.1795770739776997E-2</v>
      </c>
      <c r="N14">
        <v>-1.192164304506925E-2</v>
      </c>
      <c r="O14">
        <v>-1.2016737521238632E-2</v>
      </c>
      <c r="P14">
        <v>-1.2003951651280098E-2</v>
      </c>
      <c r="Q14">
        <v>-1.2111076450244524E-2</v>
      </c>
      <c r="R14">
        <v>-1.2433972136552163E-2</v>
      </c>
      <c r="S14">
        <v>-1.2467143042461559E-2</v>
      </c>
      <c r="T14">
        <v>-1.2551716987332992E-2</v>
      </c>
      <c r="U14">
        <v>-1.271568001377732E-2</v>
      </c>
    </row>
    <row r="15" spans="1:24">
      <c r="A15" t="s">
        <v>12</v>
      </c>
      <c r="B15">
        <v>-8.7009527251303356E-3</v>
      </c>
      <c r="C15">
        <v>-8.5905718214633591E-3</v>
      </c>
      <c r="D15">
        <v>-8.6065779125754499E-3</v>
      </c>
      <c r="E15">
        <v>-8.5773969189852101E-3</v>
      </c>
      <c r="F15">
        <v>-8.624483595415712E-3</v>
      </c>
      <c r="G15">
        <v>-8.715390497053976E-3</v>
      </c>
      <c r="H15">
        <v>-8.7656382404719402E-3</v>
      </c>
      <c r="I15">
        <v>-8.8238996846627827E-3</v>
      </c>
      <c r="J15">
        <v>-8.8598441019114692E-3</v>
      </c>
      <c r="K15">
        <v>-8.809221020806746E-3</v>
      </c>
      <c r="L15">
        <v>-8.9152461130248776E-3</v>
      </c>
      <c r="M15">
        <v>-8.8608180526165894E-3</v>
      </c>
      <c r="N15">
        <v>-8.9264818226755943E-3</v>
      </c>
      <c r="O15">
        <v>-8.8918833523284613E-3</v>
      </c>
      <c r="P15">
        <v>-9.059795205906284E-3</v>
      </c>
      <c r="Q15">
        <v>-9.1178205616085951E-3</v>
      </c>
      <c r="R15">
        <v>-9.1431301422985785E-3</v>
      </c>
      <c r="S15">
        <v>-9.065156971418329E-3</v>
      </c>
      <c r="T15">
        <v>-9.0339744571057441E-3</v>
      </c>
      <c r="U15">
        <v>-9.0499302139054327E-3</v>
      </c>
    </row>
    <row r="16" spans="1:24">
      <c r="A16" t="s">
        <v>13</v>
      </c>
      <c r="B16">
        <v>-9.2133062377532434E-3</v>
      </c>
      <c r="C16">
        <v>-9.8917657271969175E-3</v>
      </c>
      <c r="D16">
        <v>-1.0536539236135706E-2</v>
      </c>
      <c r="E16">
        <v>-1.082893981011792E-2</v>
      </c>
      <c r="F16">
        <v>-1.093577233469707E-2</v>
      </c>
      <c r="G16">
        <v>-1.0945830705707175E-2</v>
      </c>
      <c r="H16">
        <v>-1.1154949358560293E-2</v>
      </c>
      <c r="I16">
        <v>-1.125919629941402E-2</v>
      </c>
      <c r="J16">
        <v>-1.139082975742225E-2</v>
      </c>
      <c r="K16">
        <v>-1.1225034597051134E-2</v>
      </c>
      <c r="L16">
        <v>-1.1430661107917704E-2</v>
      </c>
      <c r="M16">
        <v>-1.1478312103697883E-2</v>
      </c>
      <c r="N16">
        <v>-1.1523541633785276E-2</v>
      </c>
      <c r="O16">
        <v>-1.1495126896018313E-2</v>
      </c>
      <c r="P16">
        <v>-1.1557378786016688E-2</v>
      </c>
      <c r="Q16">
        <v>-1.1421829583686174E-2</v>
      </c>
      <c r="R16">
        <v>-1.1446687081587192E-2</v>
      </c>
      <c r="S16">
        <v>-1.1374470237541873E-2</v>
      </c>
      <c r="T16">
        <v>-1.1477012498745729E-2</v>
      </c>
      <c r="U16">
        <v>-1.1599679454621384E-2</v>
      </c>
    </row>
    <row r="17" spans="1:21">
      <c r="A17" t="s">
        <v>14</v>
      </c>
      <c r="B17">
        <v>-9.1748801968088746E-3</v>
      </c>
      <c r="C17">
        <v>-9.8489138289260866E-3</v>
      </c>
      <c r="D17">
        <v>-1.0514034173786206E-2</v>
      </c>
      <c r="E17">
        <v>-1.0825156165812776E-2</v>
      </c>
      <c r="F17">
        <v>-1.106658348671263E-2</v>
      </c>
      <c r="G17">
        <v>-1.1069052638079635E-2</v>
      </c>
      <c r="H17">
        <v>-1.1063510793084964E-2</v>
      </c>
      <c r="I17">
        <v>-1.1024733778804325E-2</v>
      </c>
      <c r="J17">
        <v>-1.108911179960265E-2</v>
      </c>
      <c r="K17">
        <v>-1.1171400549456471E-2</v>
      </c>
      <c r="L17">
        <v>-1.1068837407662315E-2</v>
      </c>
      <c r="M17">
        <v>-1.1148301651684759E-2</v>
      </c>
      <c r="N17">
        <v>-1.1080408573734683E-2</v>
      </c>
      <c r="O17">
        <v>-1.1065418173759865E-2</v>
      </c>
      <c r="P17">
        <v>-1.1258280704409238E-2</v>
      </c>
      <c r="Q17">
        <v>-1.1338207049834082E-2</v>
      </c>
      <c r="R17">
        <v>-1.1238754465511237E-2</v>
      </c>
      <c r="S17">
        <v>-1.1182750094573986E-2</v>
      </c>
      <c r="T17">
        <v>-1.1142351429611655E-2</v>
      </c>
      <c r="U17">
        <v>-1.1101708535887083E-2</v>
      </c>
    </row>
    <row r="18" spans="1:21">
      <c r="A18" t="s">
        <v>15</v>
      </c>
      <c r="B18">
        <v>-9.1864718541171137E-3</v>
      </c>
      <c r="C18">
        <v>-9.8836309409318125E-3</v>
      </c>
      <c r="D18">
        <v>-1.042564310362885E-2</v>
      </c>
      <c r="E18">
        <v>-1.0835271669862775E-2</v>
      </c>
      <c r="F18">
        <v>-1.0986822494114302E-2</v>
      </c>
      <c r="G18">
        <v>-1.1104618052144029E-2</v>
      </c>
      <c r="H18">
        <v>-1.1189077626157191E-2</v>
      </c>
      <c r="I18">
        <v>-1.1266993600784982E-2</v>
      </c>
      <c r="J18">
        <v>-1.1445286940840396E-2</v>
      </c>
      <c r="K18">
        <v>-1.1560287411664033E-2</v>
      </c>
      <c r="L18">
        <v>-1.1534473853286133E-2</v>
      </c>
      <c r="M18">
        <v>-1.1573029983946421E-2</v>
      </c>
      <c r="N18">
        <v>-1.159766918228688E-2</v>
      </c>
      <c r="O18">
        <v>-1.1578747183943357E-2</v>
      </c>
      <c r="P18">
        <v>-1.1707114360210205E-2</v>
      </c>
      <c r="Q18">
        <v>-1.1815564123669655E-2</v>
      </c>
      <c r="R18">
        <v>-1.1791842978545885E-2</v>
      </c>
      <c r="S18">
        <v>-1.1997656558507746E-2</v>
      </c>
      <c r="T18">
        <v>-1.2168056226080096E-2</v>
      </c>
      <c r="U18">
        <v>-1.2283171688534001E-2</v>
      </c>
    </row>
    <row r="19" spans="1:21">
      <c r="A19" t="s">
        <v>16</v>
      </c>
      <c r="B19">
        <v>-7.6095399621074807E-3</v>
      </c>
      <c r="C19">
        <v>-7.7432563798954298E-3</v>
      </c>
      <c r="D19">
        <v>-7.9482750742877663E-3</v>
      </c>
      <c r="E19">
        <v>-8.0562506373630001E-3</v>
      </c>
      <c r="F19">
        <v>-8.1169257682947079E-3</v>
      </c>
      <c r="G19">
        <v>-8.1604588428514299E-3</v>
      </c>
      <c r="H19">
        <v>-8.0717720276316917E-3</v>
      </c>
      <c r="I19">
        <v>-8.1396842785340841E-3</v>
      </c>
      <c r="J19">
        <v>-8.1835424255695122E-3</v>
      </c>
      <c r="K19">
        <v>-8.0528789039321196E-3</v>
      </c>
      <c r="L19">
        <v>-8.0373676543124915E-3</v>
      </c>
      <c r="M19">
        <v>-8.0675439276555218E-3</v>
      </c>
      <c r="N19">
        <v>-8.032582914692608E-3</v>
      </c>
      <c r="O19">
        <v>-8.1177851832385031E-3</v>
      </c>
      <c r="P19">
        <v>-8.0852931623840597E-3</v>
      </c>
      <c r="Q19">
        <v>-8.1804827552445693E-3</v>
      </c>
      <c r="R19">
        <v>-8.2029352704553592E-3</v>
      </c>
      <c r="S19">
        <v>-8.3018746686800218E-3</v>
      </c>
      <c r="T19">
        <v>-8.2729778918580847E-3</v>
      </c>
      <c r="U19">
        <v>-8.2587795544161943E-3</v>
      </c>
    </row>
    <row r="20" spans="1:21">
      <c r="A20" t="s">
        <v>17</v>
      </c>
      <c r="B20">
        <v>-7.4898306768426412E-3</v>
      </c>
      <c r="C20">
        <v>-7.526599572807529E-3</v>
      </c>
      <c r="D20">
        <v>-7.9022129643935221E-3</v>
      </c>
      <c r="E20">
        <v>-8.0678292129350952E-3</v>
      </c>
      <c r="F20">
        <v>-8.1864922929656726E-3</v>
      </c>
      <c r="G20">
        <v>-8.1205494793780524E-3</v>
      </c>
      <c r="H20">
        <v>-8.1247307429392884E-3</v>
      </c>
      <c r="I20">
        <v>-8.1415712413922311E-3</v>
      </c>
      <c r="J20">
        <v>-8.0827635618638694E-3</v>
      </c>
      <c r="K20">
        <v>-8.1350378447905426E-3</v>
      </c>
      <c r="L20">
        <v>-8.146107685412237E-3</v>
      </c>
      <c r="M20">
        <v>-8.0337773679847128E-3</v>
      </c>
      <c r="N20">
        <v>-8.0345143098862239E-3</v>
      </c>
      <c r="O20">
        <v>-7.9833059600193015E-3</v>
      </c>
      <c r="P20">
        <v>-7.9276055083489123E-3</v>
      </c>
      <c r="Q20">
        <v>-7.7697408603088734E-3</v>
      </c>
      <c r="R20">
        <v>-7.7765197043557412E-3</v>
      </c>
      <c r="S20">
        <v>-7.7382001567786298E-3</v>
      </c>
      <c r="T20">
        <v>-7.8098028984946166E-3</v>
      </c>
      <c r="U20">
        <v>-7.8339584229284824E-3</v>
      </c>
    </row>
    <row r="21" spans="1:21">
      <c r="A21" t="s">
        <v>18</v>
      </c>
      <c r="B21">
        <v>-7.4734321367579178E-3</v>
      </c>
      <c r="C21">
        <v>-7.5432884701034592E-3</v>
      </c>
      <c r="D21">
        <v>-7.9115370272187183E-3</v>
      </c>
      <c r="E21">
        <v>-8.0921366391474344E-3</v>
      </c>
      <c r="F21">
        <v>-8.2142340489231511E-3</v>
      </c>
      <c r="G21">
        <v>-8.0788445703011986E-3</v>
      </c>
      <c r="H21">
        <v>-8.1640037915072031E-3</v>
      </c>
      <c r="I21">
        <v>-8.1090251691312062E-3</v>
      </c>
      <c r="J21">
        <v>-8.0644852300489882E-3</v>
      </c>
      <c r="K21">
        <v>-7.9528012211953526E-3</v>
      </c>
      <c r="L21">
        <v>-7.970649477300638E-3</v>
      </c>
      <c r="M21">
        <v>-7.9356713573238442E-3</v>
      </c>
      <c r="N21">
        <v>-8.0147623218318371E-3</v>
      </c>
      <c r="O21">
        <v>-7.9768399274907833E-3</v>
      </c>
      <c r="P21">
        <v>-7.9054971056411304E-3</v>
      </c>
      <c r="Q21">
        <v>-7.9568935716217478E-3</v>
      </c>
      <c r="R21">
        <v>-7.9047188281534519E-3</v>
      </c>
      <c r="S21">
        <v>-7.8795830530090268E-3</v>
      </c>
      <c r="T21">
        <v>-7.9297514749806005E-3</v>
      </c>
      <c r="U21">
        <v>-7.8286557869081553E-3</v>
      </c>
    </row>
    <row r="22" spans="1:21">
      <c r="A22" t="s">
        <v>19</v>
      </c>
      <c r="B22">
        <v>-7.5742335401719953E-3</v>
      </c>
      <c r="C22">
        <v>-7.6526507843020812E-3</v>
      </c>
      <c r="D22">
        <v>-7.9096138139788733E-3</v>
      </c>
      <c r="E22">
        <v>-8.0749378861340905E-3</v>
      </c>
      <c r="F22">
        <v>-8.1774600784665329E-3</v>
      </c>
      <c r="G22">
        <v>-8.2346046811130769E-3</v>
      </c>
      <c r="H22">
        <v>-8.2100356518956703E-3</v>
      </c>
      <c r="I22">
        <v>-8.2256551337004605E-3</v>
      </c>
      <c r="J22">
        <v>-8.0917207063305272E-3</v>
      </c>
      <c r="K22">
        <v>-8.0264102540933985E-3</v>
      </c>
      <c r="L22">
        <v>-7.9243970543068348E-3</v>
      </c>
      <c r="M22">
        <v>-7.9578577987417052E-3</v>
      </c>
      <c r="N22">
        <v>-7.9370980435488521E-3</v>
      </c>
      <c r="O22">
        <v>-7.9021056051830282E-3</v>
      </c>
      <c r="P22">
        <v>-7.8790945911526699E-3</v>
      </c>
      <c r="Q22">
        <v>-7.8781108949347155E-3</v>
      </c>
      <c r="R22">
        <v>-7.8801951784412908E-3</v>
      </c>
      <c r="S22">
        <v>-7.8112673757514762E-3</v>
      </c>
      <c r="T22">
        <v>-7.805931891813893E-3</v>
      </c>
      <c r="U22">
        <v>-7.7511374090586376E-3</v>
      </c>
    </row>
    <row r="23" spans="1:21">
      <c r="A23" t="s">
        <v>20</v>
      </c>
      <c r="B23">
        <v>-7.5226309331881194E-3</v>
      </c>
      <c r="C23">
        <v>-7.6076354742914505E-3</v>
      </c>
      <c r="D23">
        <v>-7.9932133006184423E-3</v>
      </c>
      <c r="E23">
        <v>-8.1399548640719681E-3</v>
      </c>
      <c r="F23">
        <v>-8.2101353778816204E-3</v>
      </c>
      <c r="G23">
        <v>-8.169204026443104E-3</v>
      </c>
      <c r="H23">
        <v>-8.1772748360263402E-3</v>
      </c>
      <c r="I23">
        <v>-8.2295555036803192E-3</v>
      </c>
      <c r="J23">
        <v>-8.1933566277048227E-3</v>
      </c>
      <c r="K23">
        <v>-8.1528321304466835E-3</v>
      </c>
      <c r="L23">
        <v>-8.1028094608019199E-3</v>
      </c>
      <c r="M23">
        <v>-8.0888137911863962E-3</v>
      </c>
      <c r="N23">
        <v>-8.0789389823387615E-3</v>
      </c>
      <c r="O23">
        <v>-8.0478812432542342E-3</v>
      </c>
      <c r="P23">
        <v>-7.9988332863210401E-3</v>
      </c>
      <c r="Q23">
        <v>-7.9076226148445724E-3</v>
      </c>
      <c r="R23">
        <v>-7.7401008014722087E-3</v>
      </c>
      <c r="S23">
        <v>-7.7541319217003662E-3</v>
      </c>
      <c r="T23">
        <v>-7.9024834501938961E-3</v>
      </c>
      <c r="U23">
        <v>-7.8421526666348999E-3</v>
      </c>
    </row>
    <row r="24" spans="1:21">
      <c r="A24" t="s">
        <v>21</v>
      </c>
      <c r="B24">
        <v>-7.5192070748057033E-3</v>
      </c>
      <c r="C24">
        <v>-7.5613197624917212E-3</v>
      </c>
      <c r="D24">
        <v>-7.7588284334789894E-3</v>
      </c>
      <c r="E24">
        <v>-7.7632321303825486E-3</v>
      </c>
      <c r="F24">
        <v>-7.8611533763367127E-3</v>
      </c>
      <c r="G24">
        <v>-7.8001062363200072E-3</v>
      </c>
      <c r="H24">
        <v>-7.6897064697241902E-3</v>
      </c>
      <c r="I24">
        <v>-7.6815219347666263E-3</v>
      </c>
      <c r="J24">
        <v>-7.6871788214530976E-3</v>
      </c>
      <c r="K24">
        <v>-7.6668894462322019E-3</v>
      </c>
      <c r="L24">
        <v>-7.6290492887938583E-3</v>
      </c>
      <c r="M24">
        <v>-7.6153016809057056E-3</v>
      </c>
      <c r="N24">
        <v>-7.5771841556420754E-3</v>
      </c>
      <c r="O24">
        <v>-7.5479103114740381E-3</v>
      </c>
      <c r="P24">
        <v>-7.6243018604827805E-3</v>
      </c>
      <c r="Q24">
        <v>-7.6107858591186973E-3</v>
      </c>
      <c r="R24">
        <v>-7.4693033249300864E-3</v>
      </c>
      <c r="S24">
        <v>-7.4386889963122087E-3</v>
      </c>
      <c r="T24">
        <v>-7.4382856756916487E-3</v>
      </c>
      <c r="U24">
        <v>-7.4376788174794007E-3</v>
      </c>
    </row>
    <row r="25" spans="1:21">
      <c r="A25" t="s">
        <v>34</v>
      </c>
      <c r="B25">
        <v>-7.528209624095312E-3</v>
      </c>
      <c r="C25">
        <v>-7.6006389133964772E-3</v>
      </c>
      <c r="D25">
        <v>-7.9456251233907607E-3</v>
      </c>
      <c r="E25">
        <v>-8.1041727083289734E-3</v>
      </c>
      <c r="F25">
        <v>-8.2196277008947851E-3</v>
      </c>
      <c r="G25">
        <v>-8.1653766604695838E-3</v>
      </c>
      <c r="H25">
        <v>-8.1093793328879445E-3</v>
      </c>
      <c r="I25">
        <v>-8.1959784688209313E-3</v>
      </c>
      <c r="J25">
        <v>-8.0857393804099429E-3</v>
      </c>
      <c r="K25">
        <v>-8.1219615652926899E-3</v>
      </c>
      <c r="L25">
        <v>-8.1349667988341486E-3</v>
      </c>
      <c r="M25">
        <v>-8.0556737812004786E-3</v>
      </c>
      <c r="N25">
        <v>-7.9991681638561119E-3</v>
      </c>
      <c r="O25">
        <v>-8.0665714729530619E-3</v>
      </c>
      <c r="P25">
        <v>-8.0458612092852624E-3</v>
      </c>
      <c r="Q25">
        <v>-8.0440539504152263E-3</v>
      </c>
      <c r="R25">
        <v>-7.9876629409152307E-3</v>
      </c>
      <c r="S25">
        <v>-7.9429441755873558E-3</v>
      </c>
      <c r="T25">
        <v>-7.9831638240997344E-3</v>
      </c>
      <c r="U25">
        <v>-7.8832641864536399E-3</v>
      </c>
    </row>
    <row r="26" spans="1:21">
      <c r="A26" t="s">
        <v>22</v>
      </c>
      <c r="B26">
        <v>-8.9960628812136949E-3</v>
      </c>
      <c r="C26">
        <v>-9.627126108802184E-3</v>
      </c>
      <c r="D26">
        <v>-1.0228006576972575E-2</v>
      </c>
      <c r="E26">
        <v>-1.0555092776796686E-2</v>
      </c>
      <c r="F26">
        <v>-1.0889770419302244E-2</v>
      </c>
      <c r="G26">
        <v>-1.1027603342515931E-2</v>
      </c>
      <c r="H26">
        <v>-1.1107554403569938E-2</v>
      </c>
      <c r="I26">
        <v>-1.1181846946643228E-2</v>
      </c>
      <c r="J26">
        <v>-1.1046938732154996E-2</v>
      </c>
      <c r="K26">
        <v>-1.1045438886661657E-2</v>
      </c>
      <c r="L26">
        <v>-1.0891324588591739E-2</v>
      </c>
      <c r="M26">
        <v>-1.0859349287575192E-2</v>
      </c>
      <c r="N26">
        <v>-1.1078954856449512E-2</v>
      </c>
      <c r="O26">
        <v>-1.0984070468242929E-2</v>
      </c>
      <c r="P26">
        <v>-1.0968299255670335E-2</v>
      </c>
      <c r="Q26">
        <v>-1.0968121962074473E-2</v>
      </c>
      <c r="R26">
        <v>-1.1107050666464826E-2</v>
      </c>
      <c r="S26">
        <v>-1.0942077758718298E-2</v>
      </c>
      <c r="T26">
        <v>-1.0854031579558146E-2</v>
      </c>
      <c r="U26">
        <v>-1.0881502669863133E-2</v>
      </c>
    </row>
    <row r="27" spans="1:21">
      <c r="A27" t="s">
        <v>23</v>
      </c>
      <c r="B27">
        <v>-7.6284836021214423E-3</v>
      </c>
      <c r="C27">
        <v>-7.7442554553299276E-3</v>
      </c>
      <c r="D27">
        <v>-8.0740486550578434E-3</v>
      </c>
      <c r="E27">
        <v>-8.2014653088997858E-3</v>
      </c>
      <c r="F27">
        <v>-8.3347411364928427E-3</v>
      </c>
      <c r="G27">
        <v>-8.387059015563629E-3</v>
      </c>
      <c r="H27">
        <v>-8.3357658254711708E-3</v>
      </c>
      <c r="I27">
        <v>-8.3348704828555571E-3</v>
      </c>
      <c r="J27">
        <v>-8.2056824256021253E-3</v>
      </c>
      <c r="K27">
        <v>-8.1452260525184533E-3</v>
      </c>
      <c r="L27">
        <v>-8.1336247668235048E-3</v>
      </c>
      <c r="M27">
        <v>-8.0030850845228124E-3</v>
      </c>
      <c r="N27">
        <v>-7.9387652857774559E-3</v>
      </c>
      <c r="O27">
        <v>-7.8316690048357614E-3</v>
      </c>
      <c r="P27">
        <v>-7.8752661224065369E-3</v>
      </c>
      <c r="Q27">
        <v>-7.8028164607565715E-3</v>
      </c>
      <c r="R27">
        <v>-7.8531956433888876E-3</v>
      </c>
      <c r="S27">
        <v>-7.7905826604098422E-3</v>
      </c>
      <c r="T27">
        <v>-7.7711708443958171E-3</v>
      </c>
      <c r="U27">
        <v>-7.7759052073856803E-3</v>
      </c>
    </row>
    <row r="28" spans="1:21">
      <c r="A28" t="s">
        <v>24</v>
      </c>
      <c r="B28">
        <v>-7.512724313686164E-3</v>
      </c>
      <c r="C28">
        <v>-7.5269859577019151E-3</v>
      </c>
      <c r="D28">
        <v>-7.7532433210197749E-3</v>
      </c>
      <c r="E28">
        <v>-7.813342846274305E-3</v>
      </c>
      <c r="F28">
        <v>-7.8545558316690054E-3</v>
      </c>
      <c r="G28">
        <v>-7.83475498064049E-3</v>
      </c>
      <c r="H28">
        <v>-7.7528532675779308E-3</v>
      </c>
      <c r="I28">
        <v>-7.6353619028192128E-3</v>
      </c>
      <c r="J28">
        <v>-7.6195381058232229E-3</v>
      </c>
      <c r="K28">
        <v>-7.5977084601540372E-3</v>
      </c>
      <c r="L28">
        <v>-7.6761975873079549E-3</v>
      </c>
      <c r="M28">
        <v>-7.6805458906086801E-3</v>
      </c>
      <c r="N28">
        <v>-7.6332982486353226E-3</v>
      </c>
      <c r="O28">
        <v>-7.661324902839467E-3</v>
      </c>
      <c r="P28">
        <v>-7.6268130633093704E-3</v>
      </c>
      <c r="Q28">
        <v>-7.6237822702436425E-3</v>
      </c>
      <c r="R28">
        <v>-7.6005288395281454E-3</v>
      </c>
      <c r="S28">
        <v>-7.5299838691859052E-3</v>
      </c>
      <c r="T28">
        <v>-7.5159388690629741E-3</v>
      </c>
      <c r="U28">
        <v>-7.4399648414396396E-3</v>
      </c>
    </row>
    <row r="29" spans="1:21">
      <c r="A29" t="s">
        <v>25</v>
      </c>
      <c r="B29">
        <v>-7.3921502483163147E-3</v>
      </c>
      <c r="C29">
        <v>-7.4052727291198904E-3</v>
      </c>
      <c r="D29">
        <v>-7.6313114020806977E-3</v>
      </c>
      <c r="E29">
        <v>-7.7289495363752321E-3</v>
      </c>
      <c r="F29">
        <v>-7.7690938472435665E-3</v>
      </c>
      <c r="G29">
        <v>-7.6945377270578458E-3</v>
      </c>
      <c r="H29">
        <v>-7.5822157167483957E-3</v>
      </c>
      <c r="I29">
        <v>-7.4749112057070693E-3</v>
      </c>
      <c r="J29">
        <v>-7.4721767524728719E-3</v>
      </c>
      <c r="K29">
        <v>-7.4360180681470461E-3</v>
      </c>
      <c r="L29">
        <v>-7.3325885601163805E-3</v>
      </c>
      <c r="M29">
        <v>-7.4562416793018506E-3</v>
      </c>
      <c r="N29">
        <v>-7.4368914535158171E-3</v>
      </c>
      <c r="O29">
        <v>-7.3858292173220206E-3</v>
      </c>
      <c r="P29">
        <v>-7.3810231337676753E-3</v>
      </c>
      <c r="Q29">
        <v>-7.3725699064707611E-3</v>
      </c>
      <c r="R29">
        <v>-7.3347820245007952E-3</v>
      </c>
      <c r="S29">
        <v>-7.3510261122310882E-3</v>
      </c>
      <c r="T29">
        <v>-7.4175213978281591E-3</v>
      </c>
      <c r="U29">
        <v>-7.342157982118366E-3</v>
      </c>
    </row>
    <row r="30" spans="1:21">
      <c r="A30" t="s">
        <v>26</v>
      </c>
      <c r="B30">
        <v>-8.4134324354967968E-3</v>
      </c>
      <c r="C30">
        <v>-8.7689659072289067E-3</v>
      </c>
      <c r="D30">
        <v>-9.4118951446172106E-3</v>
      </c>
      <c r="E30">
        <v>-9.7082291811846164E-3</v>
      </c>
      <c r="F30">
        <v>-9.8107104764897021E-3</v>
      </c>
      <c r="G30">
        <v>-9.8117918377999547E-3</v>
      </c>
      <c r="H30">
        <v>-9.8416690548457312E-3</v>
      </c>
      <c r="I30">
        <v>-9.8778847960473495E-3</v>
      </c>
      <c r="J30">
        <v>-9.9041174631858669E-3</v>
      </c>
      <c r="K30">
        <v>-9.8387774548855042E-3</v>
      </c>
      <c r="L30">
        <v>-9.8158509168963636E-3</v>
      </c>
      <c r="M30">
        <v>-9.7983746191250762E-3</v>
      </c>
      <c r="N30">
        <v>-9.7620092429211765E-3</v>
      </c>
      <c r="O30">
        <v>-9.8966358728753857E-3</v>
      </c>
      <c r="P30">
        <v>-1.001807987588888E-2</v>
      </c>
      <c r="Q30">
        <v>-1.0008546870334865E-2</v>
      </c>
      <c r="R30">
        <v>-9.9256587377219273E-3</v>
      </c>
      <c r="S30">
        <v>-9.8464241275431491E-3</v>
      </c>
      <c r="T30">
        <v>-9.7550507890100824E-3</v>
      </c>
      <c r="U30">
        <v>-9.6974431535511059E-3</v>
      </c>
    </row>
    <row r="31" spans="1:21">
      <c r="A31" t="s">
        <v>27</v>
      </c>
      <c r="B31">
        <v>-8.7378628732057151E-3</v>
      </c>
      <c r="C31">
        <v>-9.1498956249627724E-3</v>
      </c>
      <c r="D31">
        <v>-9.6992542428912427E-3</v>
      </c>
      <c r="E31">
        <v>-1.0125776000790253E-2</v>
      </c>
      <c r="F31">
        <v>-1.0414628527840057E-2</v>
      </c>
      <c r="G31">
        <v>-1.0496756376158529E-2</v>
      </c>
      <c r="H31">
        <v>-1.0626654373200015E-2</v>
      </c>
      <c r="I31">
        <v>-1.0683038627357833E-2</v>
      </c>
      <c r="J31">
        <v>-1.0687019651381123E-2</v>
      </c>
      <c r="K31">
        <v>-1.0776147012199424E-2</v>
      </c>
      <c r="L31">
        <v>-1.087475946338033E-2</v>
      </c>
      <c r="M31">
        <v>-1.0874555234937331E-2</v>
      </c>
      <c r="N31">
        <v>-1.0877839467704932E-2</v>
      </c>
      <c r="O31">
        <v>-1.106280067670269E-2</v>
      </c>
      <c r="P31">
        <v>-1.1022658325228979E-2</v>
      </c>
      <c r="Q31">
        <v>-1.1093345432711248E-2</v>
      </c>
      <c r="R31">
        <v>-1.1158234800152466E-2</v>
      </c>
      <c r="S31">
        <v>-1.1198419900989682E-2</v>
      </c>
      <c r="T31">
        <v>-1.1293879312465203E-2</v>
      </c>
      <c r="U31">
        <v>-1.1373130072306436E-2</v>
      </c>
    </row>
    <row r="32" spans="1:21">
      <c r="A32" t="s">
        <v>28</v>
      </c>
      <c r="B32">
        <v>-1.0753612158799638E-2</v>
      </c>
      <c r="C32">
        <v>-1.2286175449923331E-2</v>
      </c>
      <c r="D32">
        <v>-1.4010391642674197E-2</v>
      </c>
      <c r="E32">
        <v>-1.5068062711740354E-2</v>
      </c>
      <c r="F32">
        <v>-1.5736626396871751E-2</v>
      </c>
      <c r="G32">
        <v>-1.6221181166426586E-2</v>
      </c>
      <c r="H32">
        <v>-1.646250976403283E-2</v>
      </c>
      <c r="I32">
        <v>-1.6938448815786968E-2</v>
      </c>
      <c r="J32">
        <v>-1.7359113906518606E-2</v>
      </c>
      <c r="K32">
        <v>-1.7636482202414389E-2</v>
      </c>
      <c r="L32">
        <v>-1.8076576749563419E-2</v>
      </c>
      <c r="M32">
        <v>-1.8449581172143278E-2</v>
      </c>
      <c r="N32">
        <v>-1.8605653942201147E-2</v>
      </c>
      <c r="O32">
        <v>-1.8660491031394829E-2</v>
      </c>
      <c r="P32">
        <v>-1.892004517142146E-2</v>
      </c>
      <c r="Q32">
        <v>-1.8990552215863082E-2</v>
      </c>
      <c r="R32">
        <v>-1.9063798278288691E-2</v>
      </c>
      <c r="S32">
        <v>-1.9032707438225917E-2</v>
      </c>
      <c r="T32">
        <v>-1.9073158219431816E-2</v>
      </c>
      <c r="U32">
        <v>-1.9266063979623382E-2</v>
      </c>
    </row>
    <row r="33" spans="1:21">
      <c r="A33" t="s">
        <v>29</v>
      </c>
      <c r="B33">
        <v>-1.0952502804982878E-2</v>
      </c>
      <c r="C33">
        <v>-1.2389228741094764E-2</v>
      </c>
      <c r="D33">
        <v>-1.3864741896652559E-2</v>
      </c>
      <c r="E33">
        <v>-1.4839536976701349E-2</v>
      </c>
      <c r="F33">
        <v>-1.5368528708264115E-2</v>
      </c>
      <c r="G33">
        <v>-1.594210652719219E-2</v>
      </c>
      <c r="H33">
        <v>-1.6403355490605183E-2</v>
      </c>
      <c r="I33">
        <v>-1.682277759287568E-2</v>
      </c>
      <c r="J33">
        <v>-1.7100931143098283E-2</v>
      </c>
      <c r="K33">
        <v>-1.7346240708756788E-2</v>
      </c>
      <c r="L33">
        <v>-1.7643687001257367E-2</v>
      </c>
      <c r="M33">
        <v>-1.7722329914690485E-2</v>
      </c>
      <c r="N33">
        <v>-1.8008151252705881E-2</v>
      </c>
      <c r="O33">
        <v>-1.8429110040580593E-2</v>
      </c>
      <c r="P33">
        <v>-1.8665635823062035E-2</v>
      </c>
      <c r="Q33">
        <v>-1.8828186883781885E-2</v>
      </c>
      <c r="R33">
        <v>-1.8743753897280009E-2</v>
      </c>
      <c r="S33">
        <v>-1.881412750576553E-2</v>
      </c>
      <c r="T33">
        <v>-1.869263538853537E-2</v>
      </c>
      <c r="U33">
        <v>-1.8615661243510138E-2</v>
      </c>
    </row>
    <row r="34" spans="1:21">
      <c r="A34" t="s">
        <v>30</v>
      </c>
      <c r="B34">
        <v>-1.0904759273921842E-2</v>
      </c>
      <c r="C34">
        <v>-1.237255136612312E-2</v>
      </c>
      <c r="D34">
        <v>-1.3934544987362348E-2</v>
      </c>
      <c r="E34">
        <v>-1.4746053528734773E-2</v>
      </c>
      <c r="F34">
        <v>-1.5442410155613562E-2</v>
      </c>
      <c r="G34">
        <v>-1.6022099543540547E-2</v>
      </c>
      <c r="H34">
        <v>-1.6434688458159038E-2</v>
      </c>
      <c r="I34">
        <v>-1.6853735925936589E-2</v>
      </c>
      <c r="J34">
        <v>-1.7111638838493804E-2</v>
      </c>
      <c r="K34">
        <v>-1.7359820420517289E-2</v>
      </c>
      <c r="L34">
        <v>-1.7613247751883287E-2</v>
      </c>
      <c r="M34">
        <v>-1.7783324941712253E-2</v>
      </c>
      <c r="N34">
        <v>-1.7913067069033225E-2</v>
      </c>
      <c r="O34">
        <v>-1.8228434161505221E-2</v>
      </c>
      <c r="P34">
        <v>-1.8223141710754148E-2</v>
      </c>
      <c r="Q34">
        <v>-1.8349008879143491E-2</v>
      </c>
      <c r="R34">
        <v>-1.8324603990415904E-2</v>
      </c>
      <c r="S34">
        <v>-1.8532135743187707E-2</v>
      </c>
      <c r="T34">
        <v>-1.8634658419185948E-2</v>
      </c>
      <c r="U34">
        <v>-1.8709180812869274E-2</v>
      </c>
    </row>
    <row r="35" spans="1:21">
      <c r="A35" t="s">
        <v>31</v>
      </c>
      <c r="B35">
        <v>-8.6963168848498106E-3</v>
      </c>
      <c r="C35">
        <v>-8.9120190744961299E-3</v>
      </c>
      <c r="D35">
        <v>-9.0960251522535004E-3</v>
      </c>
      <c r="E35">
        <v>-9.2141337417615543E-3</v>
      </c>
      <c r="F35">
        <v>-9.3259627526646235E-3</v>
      </c>
      <c r="G35">
        <v>-9.4303273593125108E-3</v>
      </c>
      <c r="H35">
        <v>-9.5339604665115596E-3</v>
      </c>
      <c r="I35">
        <v>-9.6572309425668086E-3</v>
      </c>
      <c r="J35">
        <v>-9.6845475292922853E-3</v>
      </c>
      <c r="K35">
        <v>-9.8453159675171206E-3</v>
      </c>
      <c r="L35">
        <v>-9.9602557094629566E-3</v>
      </c>
      <c r="M35">
        <v>-1.0036258310841945E-2</v>
      </c>
      <c r="N35">
        <v>-1.0080538214741188E-2</v>
      </c>
      <c r="O35">
        <v>-1.0095979892100364E-2</v>
      </c>
      <c r="P35">
        <v>-1.0130599393758424E-2</v>
      </c>
      <c r="Q35">
        <v>-1.0180609054123704E-2</v>
      </c>
      <c r="R35">
        <v>-1.0207404754516867E-2</v>
      </c>
      <c r="S35">
        <v>-1.0202780777523625E-2</v>
      </c>
      <c r="T35">
        <v>-1.017760886630004E-2</v>
      </c>
      <c r="U35">
        <v>-1.0178060451325723E-2</v>
      </c>
    </row>
    <row r="36" spans="1:21">
      <c r="A36" t="s">
        <v>32</v>
      </c>
      <c r="B36">
        <v>-8.9118739729249601E-3</v>
      </c>
      <c r="C36">
        <v>-9.0366221697058737E-3</v>
      </c>
      <c r="D36">
        <v>-9.2390387804992067E-3</v>
      </c>
      <c r="E36">
        <v>-9.3750188372920124E-3</v>
      </c>
      <c r="F36">
        <v>-9.4656656467821312E-3</v>
      </c>
      <c r="G36">
        <v>-9.5786209767113745E-3</v>
      </c>
      <c r="H36">
        <v>-9.6543503357057782E-3</v>
      </c>
      <c r="I36">
        <v>-9.7468922276778367E-3</v>
      </c>
      <c r="J36">
        <v>-9.8438164964357918E-3</v>
      </c>
      <c r="K36">
        <v>-9.9184325769542236E-3</v>
      </c>
      <c r="L36">
        <v>-9.9314817051917477E-3</v>
      </c>
      <c r="M36">
        <v>-1.0043061492368041E-2</v>
      </c>
      <c r="N36">
        <v>-1.0050700972725897E-2</v>
      </c>
      <c r="O36">
        <v>-1.0121396167179369E-2</v>
      </c>
      <c r="P36">
        <v>-1.0194687864209056E-2</v>
      </c>
      <c r="Q36">
        <v>-1.0275988910408018E-2</v>
      </c>
      <c r="R36">
        <v>-1.0357262727523985E-2</v>
      </c>
      <c r="S36">
        <v>-1.043961433259011E-2</v>
      </c>
      <c r="T36">
        <v>-1.0465054564227942E-2</v>
      </c>
      <c r="U36">
        <v>-1.0484180037978203E-2</v>
      </c>
    </row>
    <row r="37" spans="1:21">
      <c r="A37" t="s">
        <v>33</v>
      </c>
      <c r="B37">
        <v>-8.684490651633776E-3</v>
      </c>
      <c r="C37">
        <v>-8.6711105862217839E-3</v>
      </c>
      <c r="D37">
        <v>-8.7464668478048051E-3</v>
      </c>
      <c r="E37">
        <v>-8.7574649895304935E-3</v>
      </c>
      <c r="F37">
        <v>-8.7976049796636251E-3</v>
      </c>
      <c r="G37">
        <v>-8.843102446216923E-3</v>
      </c>
      <c r="H37">
        <v>-8.8554811228540881E-3</v>
      </c>
      <c r="I37">
        <v>-8.8804649689607166E-3</v>
      </c>
      <c r="J37">
        <v>-8.933969651139094E-3</v>
      </c>
      <c r="K37">
        <v>-9.0158615134523362E-3</v>
      </c>
      <c r="L37">
        <v>-8.9993070917007058E-3</v>
      </c>
      <c r="M37">
        <v>-9.0386519403113427E-3</v>
      </c>
      <c r="N37">
        <v>-9.1261613337584938E-3</v>
      </c>
      <c r="O37">
        <v>-9.1275018385852478E-3</v>
      </c>
      <c r="P37">
        <v>-9.132487385852801E-3</v>
      </c>
      <c r="Q37">
        <v>-9.1541831328533895E-3</v>
      </c>
      <c r="R37">
        <v>-9.2544589801164343E-3</v>
      </c>
      <c r="S37">
        <v>-9.33924488276211E-3</v>
      </c>
      <c r="T37">
        <v>-9.4312330229364034E-3</v>
      </c>
      <c r="U37">
        <v>-9.4912276442673076E-3</v>
      </c>
    </row>
  </sheetData>
  <phoneticPr fontId="0" type="noConversion"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15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"Chg_S_neg_den_1.4A"</f>
        <v>Chg_S_neg_den_1.4A</v>
      </c>
      <c r="C1" s="1" t="str">
        <f>"Chg_S_neg_den_2A"</f>
        <v>Chg_S_neg_den_2A</v>
      </c>
      <c r="D1" s="1" t="str">
        <f>"Chg_S_neg_den_3A"</f>
        <v>Chg_S_neg_den_3A</v>
      </c>
      <c r="E1" s="1" t="str">
        <f>"Chg_S_neg_den_4A"</f>
        <v>Chg_S_neg_den_4A</v>
      </c>
      <c r="F1" s="1" t="str">
        <f>"Chg_S_neg_den_5A"</f>
        <v>Chg_S_neg_den_5A</v>
      </c>
      <c r="G1" s="1" t="str">
        <f>"Chg_S_neg_den_6A"</f>
        <v>Chg_S_neg_den_6A</v>
      </c>
      <c r="H1" s="1" t="str">
        <f>"Chg_S_neg_den_7A"</f>
        <v>Chg_S_neg_den_7A</v>
      </c>
      <c r="I1" s="1" t="str">
        <f>"Chg_S_neg_den_8A"</f>
        <v>Chg_S_neg_den_8A</v>
      </c>
      <c r="J1" s="1" t="str">
        <f>"Chg_S_neg_den_9A"</f>
        <v>Chg_S_neg_den_9A</v>
      </c>
      <c r="K1" s="1" t="str">
        <f>"Chg_S_neg_den_10A"</f>
        <v>Chg_S_neg_den_10A</v>
      </c>
      <c r="L1" s="1" t="str">
        <f>"Chg_S_neg_den_11A"</f>
        <v>Chg_S_neg_den_11A</v>
      </c>
      <c r="M1" s="1" t="str">
        <f>"Chg_S_neg_den_12A"</f>
        <v>Chg_S_neg_den_12A</v>
      </c>
      <c r="N1" s="1" t="str">
        <f>"Chg_S_neg_den_13A"</f>
        <v>Chg_S_neg_den_13A</v>
      </c>
      <c r="O1" s="1" t="str">
        <f>"Chg_S_neg_den_14A"</f>
        <v>Chg_S_neg_den_14A</v>
      </c>
      <c r="P1" s="1" t="str">
        <f>"Chg_S_neg_den_15A"</f>
        <v>Chg_S_neg_den_15A</v>
      </c>
      <c r="Q1" s="1" t="str">
        <f>"Chg_S_neg_den_16A"</f>
        <v>Chg_S_neg_den_16A</v>
      </c>
      <c r="R1" s="1" t="str">
        <f>"Chg_S_neg_den_17A"</f>
        <v>Chg_S_neg_den_17A</v>
      </c>
      <c r="S1" s="1" t="str">
        <f>"Chg_S_neg_den_18A"</f>
        <v>Chg_S_neg_den_18A</v>
      </c>
      <c r="T1" s="1" t="str">
        <f>"Chg_S_neg_den_19A"</f>
        <v>Chg_S_neg_den_19A</v>
      </c>
      <c r="U1" s="1" t="str">
        <f>"Chg_S_neg_den_20A"</f>
        <v>Chg_S_neg_den_20A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-7.618807653339982E-3</v>
      </c>
      <c r="C3">
        <v>-7.6186276653870304E-3</v>
      </c>
      <c r="D3">
        <v>-7.7013754013597916E-3</v>
      </c>
      <c r="E3">
        <v>-7.6522043735568366E-3</v>
      </c>
      <c r="F3">
        <v>-7.7528078111574949E-3</v>
      </c>
      <c r="G3">
        <v>-7.7678289595491945E-3</v>
      </c>
      <c r="H3">
        <v>-7.6907174454468362E-3</v>
      </c>
      <c r="I3">
        <v>-7.7674537303508689E-3</v>
      </c>
      <c r="J3">
        <v>-7.6173907113652366E-3</v>
      </c>
      <c r="K3">
        <v>-7.4440865275312755E-3</v>
      </c>
      <c r="L3">
        <v>-7.5258594093797039E-3</v>
      </c>
      <c r="M3">
        <v>-7.6107288017576557E-3</v>
      </c>
      <c r="N3">
        <v>-7.5848142214535218E-3</v>
      </c>
      <c r="O3">
        <v>-7.5986025817142084E-3</v>
      </c>
      <c r="P3">
        <v>-7.5292458207372242E-3</v>
      </c>
      <c r="Q3">
        <v>-7.6452032628692842E-3</v>
      </c>
      <c r="R3">
        <v>-7.6014133404582141E-3</v>
      </c>
      <c r="S3">
        <v>-7.5742625488458021E-3</v>
      </c>
      <c r="T3">
        <v>-7.5094668613149076E-3</v>
      </c>
      <c r="U3">
        <v>-7.1937462647449048E-3</v>
      </c>
    </row>
    <row r="4" spans="1:24">
      <c r="A4" t="s">
        <v>1</v>
      </c>
      <c r="B4">
        <v>-7.284056944034706E-3</v>
      </c>
      <c r="C4">
        <v>-7.5269938518221224E-3</v>
      </c>
      <c r="D4">
        <v>-7.7040611750482267E-3</v>
      </c>
      <c r="E4">
        <v>-7.791076460094591E-3</v>
      </c>
      <c r="F4">
        <v>-7.8611021648473181E-3</v>
      </c>
      <c r="G4">
        <v>-7.8220405451920726E-3</v>
      </c>
      <c r="H4">
        <v>-7.9162218945756924E-3</v>
      </c>
      <c r="I4">
        <v>-7.8030624547789839E-3</v>
      </c>
      <c r="J4">
        <v>-7.933540560794013E-3</v>
      </c>
      <c r="K4">
        <v>-7.929113132142741E-3</v>
      </c>
      <c r="L4">
        <v>-7.9331134972111701E-3</v>
      </c>
      <c r="M4">
        <v>-7.9912095928978029E-3</v>
      </c>
      <c r="N4">
        <v>-8.0693858289403193E-3</v>
      </c>
      <c r="O4">
        <v>-7.9878757249863645E-3</v>
      </c>
      <c r="P4">
        <v>-8.0201948933849698E-3</v>
      </c>
      <c r="Q4">
        <v>-8.09040271039526E-3</v>
      </c>
      <c r="R4">
        <v>-8.2074056452991762E-3</v>
      </c>
      <c r="S4">
        <v>-8.2885367826913883E-3</v>
      </c>
      <c r="T4">
        <v>-8.2629461938112259E-3</v>
      </c>
      <c r="U4">
        <v>-8.2928360429357483E-3</v>
      </c>
    </row>
    <row r="5" spans="1:24">
      <c r="A5" t="s">
        <v>2</v>
      </c>
      <c r="B5">
        <v>-7.8850373538629625E-3</v>
      </c>
      <c r="C5">
        <v>-8.2035246912539571E-3</v>
      </c>
      <c r="D5">
        <v>-8.6384615464236581E-3</v>
      </c>
      <c r="E5">
        <v>-8.9338670351165241E-3</v>
      </c>
      <c r="F5">
        <v>-9.1495367436362999E-3</v>
      </c>
      <c r="G5">
        <v>-9.1562013844583533E-3</v>
      </c>
      <c r="H5">
        <v>-9.107305696003631E-3</v>
      </c>
      <c r="I5">
        <v>-9.1433129377627622E-3</v>
      </c>
      <c r="J5">
        <v>-9.2373614504267006E-3</v>
      </c>
      <c r="K5">
        <v>-9.2932684573647645E-3</v>
      </c>
      <c r="L5">
        <v>-9.325248587608392E-3</v>
      </c>
      <c r="M5">
        <v>-9.3770613560260827E-3</v>
      </c>
      <c r="N5">
        <v>-9.3843779689197788E-3</v>
      </c>
      <c r="O5">
        <v>-9.4399933289394129E-3</v>
      </c>
      <c r="P5">
        <v>-9.5720772543233662E-3</v>
      </c>
      <c r="Q5">
        <v>-9.5749061872877853E-3</v>
      </c>
      <c r="R5">
        <v>-9.4562815853947574E-3</v>
      </c>
      <c r="S5">
        <v>-9.5259904104006317E-3</v>
      </c>
      <c r="T5">
        <v>-9.4337603807251348E-3</v>
      </c>
      <c r="U5">
        <v>-9.3356371850363204E-3</v>
      </c>
    </row>
    <row r="6" spans="1:24">
      <c r="A6" t="s">
        <v>3</v>
      </c>
      <c r="B6">
        <v>-6.8473101828901099E-3</v>
      </c>
      <c r="C6">
        <v>-6.9359828263018918E-3</v>
      </c>
      <c r="D6">
        <v>-6.7822818088378008E-3</v>
      </c>
      <c r="E6">
        <v>-6.6979913223223081E-3</v>
      </c>
      <c r="F6">
        <v>-6.6149565013620777E-3</v>
      </c>
      <c r="G6">
        <v>-6.4479984865440879E-3</v>
      </c>
      <c r="H6">
        <v>-6.2435072993024228E-3</v>
      </c>
      <c r="I6">
        <v>-6.1916451088611631E-3</v>
      </c>
      <c r="J6">
        <v>-6.243654822335026E-3</v>
      </c>
      <c r="K6">
        <v>-6.1729182400492291E-3</v>
      </c>
      <c r="L6">
        <v>-6.2420847831283696E-3</v>
      </c>
      <c r="M6">
        <v>-6.1329900042942226E-3</v>
      </c>
      <c r="N6">
        <v>-6.2327844447714895E-3</v>
      </c>
      <c r="O6">
        <v>-6.1641584384315657E-3</v>
      </c>
      <c r="P6">
        <v>-6.1970246144115275E-3</v>
      </c>
      <c r="Q6">
        <v>-6.0420783188536165E-3</v>
      </c>
      <c r="R6">
        <v>-6.1209106191362096E-3</v>
      </c>
      <c r="S6">
        <v>-6.1439027886725384E-3</v>
      </c>
      <c r="T6">
        <v>-5.9811229030025375E-3</v>
      </c>
      <c r="U6">
        <v>-5.9688287940874267E-3</v>
      </c>
    </row>
    <row r="7" spans="1:24">
      <c r="A7" t="s">
        <v>4</v>
      </c>
      <c r="B7">
        <v>-7.0497722542886077E-3</v>
      </c>
      <c r="C7">
        <v>-7.1458769225349987E-3</v>
      </c>
      <c r="D7">
        <v>-7.020966043316694E-3</v>
      </c>
      <c r="E7">
        <v>-6.8803455281083023E-3</v>
      </c>
      <c r="F7">
        <v>-6.7245396598079408E-3</v>
      </c>
      <c r="G7">
        <v>-6.6761998140322772E-3</v>
      </c>
      <c r="H7">
        <v>-6.576511667499358E-3</v>
      </c>
      <c r="I7">
        <v>-6.5384683016609362E-3</v>
      </c>
      <c r="J7">
        <v>-6.5998829157499599E-3</v>
      </c>
      <c r="K7">
        <v>-6.6856059438552586E-3</v>
      </c>
      <c r="L7">
        <v>-6.4269302548565343E-3</v>
      </c>
      <c r="M7">
        <v>-6.6128531917293704E-3</v>
      </c>
      <c r="N7">
        <v>-6.4723442661157992E-3</v>
      </c>
      <c r="O7">
        <v>-6.5958379023577504E-3</v>
      </c>
      <c r="P7">
        <v>-6.6217040198481977E-3</v>
      </c>
      <c r="Q7">
        <v>-6.6555199629334989E-3</v>
      </c>
      <c r="R7">
        <v>-6.7665331565757063E-3</v>
      </c>
      <c r="S7">
        <v>-6.5367225204945104E-3</v>
      </c>
      <c r="T7">
        <v>-6.4876098963790327E-3</v>
      </c>
      <c r="U7">
        <v>-6.496421617558536E-3</v>
      </c>
    </row>
    <row r="8" spans="1:24">
      <c r="A8" t="s">
        <v>5</v>
      </c>
      <c r="B8">
        <v>-7.2719686036707247E-3</v>
      </c>
      <c r="C8">
        <v>-7.4070114935801843E-3</v>
      </c>
      <c r="D8">
        <v>-7.1886429249965415E-3</v>
      </c>
      <c r="E8">
        <v>-7.0063624931568733E-3</v>
      </c>
      <c r="F8">
        <v>-6.859690699669979E-3</v>
      </c>
      <c r="G8">
        <v>-6.7191441067399951E-3</v>
      </c>
      <c r="H8">
        <v>-6.5735495791506898E-3</v>
      </c>
      <c r="I8">
        <v>-6.4932129585066846E-3</v>
      </c>
      <c r="J8">
        <v>-6.4407184122786849E-3</v>
      </c>
      <c r="K8">
        <v>-6.4611722169394172E-3</v>
      </c>
      <c r="L8">
        <v>-6.4502480530638003E-3</v>
      </c>
      <c r="M8">
        <v>-6.3569024103340265E-3</v>
      </c>
      <c r="N8">
        <v>-6.1746156786714294E-3</v>
      </c>
      <c r="O8">
        <v>-6.0460161743750062E-3</v>
      </c>
      <c r="P8">
        <v>-5.7817934866961074E-3</v>
      </c>
      <c r="Q8">
        <v>-5.7182098256126843E-3</v>
      </c>
      <c r="R8">
        <v>-5.615387558073141E-3</v>
      </c>
      <c r="S8">
        <v>-5.5269334532714572E-3</v>
      </c>
      <c r="T8">
        <v>-5.5084440185053938E-3</v>
      </c>
      <c r="U8">
        <v>-5.4402874792910273E-3</v>
      </c>
    </row>
    <row r="9" spans="1:24">
      <c r="A9" t="s">
        <v>6</v>
      </c>
      <c r="B9">
        <v>-7.1478007192616252E-3</v>
      </c>
      <c r="C9">
        <v>-7.4091622956692646E-3</v>
      </c>
      <c r="D9">
        <v>-7.2588085199347986E-3</v>
      </c>
      <c r="E9">
        <v>-6.8107174242811987E-3</v>
      </c>
      <c r="F9">
        <v>-6.75324472078896E-3</v>
      </c>
      <c r="G9">
        <v>-6.6182855800559744E-3</v>
      </c>
      <c r="H9">
        <v>-6.5787941598169043E-3</v>
      </c>
      <c r="I9">
        <v>-6.4719192074933511E-3</v>
      </c>
      <c r="J9">
        <v>-6.3114422611982943E-3</v>
      </c>
      <c r="K9">
        <v>-6.3400924709381811E-3</v>
      </c>
      <c r="L9">
        <v>-6.2815115025178416E-3</v>
      </c>
      <c r="M9">
        <v>-6.1222380562291744E-3</v>
      </c>
      <c r="N9">
        <v>-6.104139769148479E-3</v>
      </c>
      <c r="O9">
        <v>-5.932937884149979E-3</v>
      </c>
      <c r="P9">
        <v>-5.9206720606867855E-3</v>
      </c>
      <c r="Q9">
        <v>-5.8990650156550122E-3</v>
      </c>
      <c r="R9">
        <v>-5.7737927293393327E-3</v>
      </c>
      <c r="S9">
        <v>-5.7374498176582887E-3</v>
      </c>
      <c r="T9">
        <v>-5.5902247925054879E-3</v>
      </c>
      <c r="U9">
        <v>-5.5876460762371519E-3</v>
      </c>
    </row>
    <row r="10" spans="1:24">
      <c r="A10" t="s">
        <v>7</v>
      </c>
      <c r="B10">
        <v>-7.6515467828943019E-3</v>
      </c>
      <c r="C10">
        <v>-7.9508795587190859E-3</v>
      </c>
      <c r="D10">
        <v>-7.8761546102157718E-3</v>
      </c>
      <c r="E10">
        <v>-7.7651292342825508E-3</v>
      </c>
      <c r="F10">
        <v>-7.5545772351005153E-3</v>
      </c>
      <c r="G10">
        <v>-7.4742494443947819E-3</v>
      </c>
      <c r="H10">
        <v>-7.3063180469596332E-3</v>
      </c>
      <c r="I10">
        <v>-7.0655080176442531E-3</v>
      </c>
      <c r="J10">
        <v>-7.105532381717755E-3</v>
      </c>
      <c r="K10">
        <v>-7.019897926407081E-3</v>
      </c>
      <c r="L10">
        <v>-7.1661624468506296E-3</v>
      </c>
      <c r="M10">
        <v>-7.0126900015167687E-3</v>
      </c>
      <c r="N10">
        <v>-7.0004175894433389E-3</v>
      </c>
      <c r="O10">
        <v>-6.7741956901480448E-3</v>
      </c>
      <c r="P10">
        <v>-6.8284516811977563E-3</v>
      </c>
      <c r="Q10">
        <v>-6.6679941796047521E-3</v>
      </c>
      <c r="R10">
        <v>-6.6097039755667183E-3</v>
      </c>
      <c r="S10">
        <v>-6.4083487351094372E-3</v>
      </c>
      <c r="T10">
        <v>-6.4494381165129131E-3</v>
      </c>
      <c r="U10">
        <v>-6.5674555301175894E-3</v>
      </c>
    </row>
    <row r="11" spans="1:24">
      <c r="A11" t="s">
        <v>8</v>
      </c>
      <c r="B11">
        <v>-7.8157404043848154E-3</v>
      </c>
      <c r="C11">
        <v>-8.1948689870293637E-3</v>
      </c>
      <c r="D11">
        <v>-8.1381746372825286E-3</v>
      </c>
      <c r="E11">
        <v>-8.1146945021530869E-3</v>
      </c>
      <c r="F11">
        <v>-8.0126130291442547E-3</v>
      </c>
      <c r="G11">
        <v>-8.0463275831075785E-3</v>
      </c>
      <c r="H11">
        <v>-7.9463550794960213E-3</v>
      </c>
      <c r="I11">
        <v>-7.6176961682644425E-3</v>
      </c>
      <c r="J11">
        <v>-7.7125796439806412E-3</v>
      </c>
      <c r="K11">
        <v>-7.4395076168197625E-3</v>
      </c>
      <c r="L11">
        <v>-7.6921206953235802E-3</v>
      </c>
      <c r="M11">
        <v>-7.6557381180837715E-3</v>
      </c>
      <c r="N11">
        <v>-7.5043863262148373E-3</v>
      </c>
      <c r="O11">
        <v>-7.4839114386828463E-3</v>
      </c>
      <c r="P11">
        <v>-7.5615391021425556E-3</v>
      </c>
      <c r="Q11">
        <v>-7.2465226165010993E-3</v>
      </c>
      <c r="R11">
        <v>-7.2384556681431905E-3</v>
      </c>
      <c r="S11">
        <v>-7.1698495881773218E-3</v>
      </c>
      <c r="T11">
        <v>-7.0540874528436069E-3</v>
      </c>
      <c r="U11">
        <v>-7.1426224494620478E-3</v>
      </c>
    </row>
    <row r="12" spans="1:24">
      <c r="A12" t="s">
        <v>9</v>
      </c>
      <c r="B12">
        <v>-8.1333202439625284E-3</v>
      </c>
      <c r="C12">
        <v>-8.2677259277924835E-3</v>
      </c>
      <c r="D12">
        <v>-8.2938214285844681E-3</v>
      </c>
      <c r="E12">
        <v>-8.2973507584344214E-3</v>
      </c>
      <c r="F12">
        <v>-8.2797587099036288E-3</v>
      </c>
      <c r="G12">
        <v>-8.3071646623496757E-3</v>
      </c>
      <c r="H12">
        <v>-8.5908105904684909E-3</v>
      </c>
      <c r="I12">
        <v>-8.5114711615953687E-3</v>
      </c>
      <c r="J12">
        <v>-8.5646558635272471E-3</v>
      </c>
      <c r="K12">
        <v>-8.4506156800676704E-3</v>
      </c>
      <c r="L12">
        <v>-8.6587784029242554E-3</v>
      </c>
      <c r="M12">
        <v>-8.6384157599107853E-3</v>
      </c>
      <c r="N12">
        <v>-8.5897503281212508E-3</v>
      </c>
      <c r="O12">
        <v>-8.5817838280069503E-3</v>
      </c>
      <c r="P12">
        <v>-8.6227981039155993E-3</v>
      </c>
      <c r="Q12">
        <v>-8.6901294263684661E-3</v>
      </c>
      <c r="R12">
        <v>-8.6639048688974922E-3</v>
      </c>
      <c r="S12">
        <v>-8.5524817455095731E-3</v>
      </c>
      <c r="T12">
        <v>-8.6165711345755503E-3</v>
      </c>
      <c r="U12">
        <v>-8.7844869439853025E-3</v>
      </c>
    </row>
    <row r="13" spans="1:24">
      <c r="A13" t="s">
        <v>10</v>
      </c>
      <c r="B13">
        <v>-8.3079915795335746E-3</v>
      </c>
      <c r="C13">
        <v>-8.5335341099732811E-3</v>
      </c>
      <c r="D13">
        <v>-8.4869348791806829E-3</v>
      </c>
      <c r="E13">
        <v>-8.4443223857275478E-3</v>
      </c>
      <c r="F13">
        <v>-8.4084021044621426E-3</v>
      </c>
      <c r="G13">
        <v>-8.5155906994736439E-3</v>
      </c>
      <c r="H13">
        <v>-8.4532646908081158E-3</v>
      </c>
      <c r="I13">
        <v>-8.4598761920739018E-3</v>
      </c>
      <c r="J13">
        <v>-8.4972662671508343E-3</v>
      </c>
      <c r="K13">
        <v>-8.7053003557605313E-3</v>
      </c>
      <c r="L13">
        <v>-8.6539082215682309E-3</v>
      </c>
      <c r="M13">
        <v>-8.7507134591156242E-3</v>
      </c>
      <c r="N13">
        <v>-8.7727743573178963E-3</v>
      </c>
      <c r="O13">
        <v>-8.8501714784352224E-3</v>
      </c>
      <c r="P13">
        <v>-8.7526722056738941E-3</v>
      </c>
      <c r="Q13">
        <v>-8.8069166390148581E-3</v>
      </c>
      <c r="R13">
        <v>-8.7306238071592022E-3</v>
      </c>
      <c r="S13">
        <v>-8.8127156539633909E-3</v>
      </c>
      <c r="T13">
        <v>-9.0311130000474988E-3</v>
      </c>
      <c r="U13">
        <v>-8.9408681249019441E-3</v>
      </c>
    </row>
    <row r="14" spans="1:24">
      <c r="A14" t="s">
        <v>11</v>
      </c>
      <c r="B14">
        <v>-8.0596179840718603E-3</v>
      </c>
      <c r="C14">
        <v>-8.0271589476122261E-3</v>
      </c>
      <c r="D14">
        <v>-7.8624147930188137E-3</v>
      </c>
      <c r="E14">
        <v>-7.6864671929582438E-3</v>
      </c>
      <c r="F14">
        <v>-7.7927764865074042E-3</v>
      </c>
      <c r="G14">
        <v>-7.7496472325066209E-3</v>
      </c>
      <c r="H14">
        <v>-7.7583896601502939E-3</v>
      </c>
      <c r="I14">
        <v>-7.8691970885712125E-3</v>
      </c>
      <c r="J14">
        <v>-7.7412941185133911E-3</v>
      </c>
      <c r="K14">
        <v>-7.8175840233804181E-3</v>
      </c>
      <c r="L14">
        <v>-7.9656822830090086E-3</v>
      </c>
      <c r="M14">
        <v>-7.9596596830630115E-3</v>
      </c>
      <c r="N14">
        <v>-7.9520025617219135E-3</v>
      </c>
      <c r="O14">
        <v>-7.9835961482029334E-3</v>
      </c>
      <c r="P14">
        <v>-7.9009044924436035E-3</v>
      </c>
      <c r="Q14">
        <v>-8.1020821829080256E-3</v>
      </c>
      <c r="R14">
        <v>-8.3448595914898255E-3</v>
      </c>
      <c r="S14">
        <v>-8.460378647851291E-3</v>
      </c>
      <c r="T14">
        <v>-8.5439666770212828E-3</v>
      </c>
      <c r="U14">
        <v>-8.5323261246641156E-3</v>
      </c>
    </row>
    <row r="15" spans="1:24">
      <c r="A15" t="s">
        <v>12</v>
      </c>
      <c r="B15">
        <v>-6.360719814016245E-3</v>
      </c>
      <c r="C15">
        <v>-6.1171237792017139E-3</v>
      </c>
      <c r="D15">
        <v>-5.9304869355750562E-3</v>
      </c>
      <c r="E15">
        <v>-5.7527829673494025E-3</v>
      </c>
      <c r="F15">
        <v>-5.7067936535094878E-3</v>
      </c>
      <c r="G15">
        <v>-5.6847729180682675E-3</v>
      </c>
      <c r="H15">
        <v>-5.6685843461067855E-3</v>
      </c>
      <c r="I15">
        <v>-5.6659426831583894E-3</v>
      </c>
      <c r="J15">
        <v>-5.63576911753365E-3</v>
      </c>
      <c r="K15">
        <v>-5.6226834196405878E-3</v>
      </c>
      <c r="L15">
        <v>-5.6443389675487317E-3</v>
      </c>
      <c r="M15">
        <v>-5.5616374132087159E-3</v>
      </c>
      <c r="N15">
        <v>-5.5835379281460725E-3</v>
      </c>
      <c r="O15">
        <v>-5.6445885785450798E-3</v>
      </c>
      <c r="P15">
        <v>-5.679907428512339E-3</v>
      </c>
      <c r="Q15">
        <v>-5.7571267438501347E-3</v>
      </c>
      <c r="R15">
        <v>-5.8031589003775339E-3</v>
      </c>
      <c r="S15">
        <v>-5.721940247114538E-3</v>
      </c>
      <c r="T15">
        <v>-5.6477470596652413E-3</v>
      </c>
      <c r="U15">
        <v>-5.5420354089256172E-3</v>
      </c>
    </row>
    <row r="16" spans="1:24">
      <c r="A16" t="s">
        <v>13</v>
      </c>
      <c r="B16">
        <v>-7.7904947482271636E-3</v>
      </c>
      <c r="C16">
        <v>-8.188270869919842E-3</v>
      </c>
      <c r="D16">
        <v>-8.3883829601711594E-3</v>
      </c>
      <c r="E16">
        <v>-8.3941968591795101E-3</v>
      </c>
      <c r="F16">
        <v>-8.3933052046569461E-3</v>
      </c>
      <c r="G16">
        <v>-8.2932568787891636E-3</v>
      </c>
      <c r="H16">
        <v>-8.3219820100059617E-3</v>
      </c>
      <c r="I16">
        <v>-8.3681549883300142E-3</v>
      </c>
      <c r="J16">
        <v>-8.4214786804267822E-3</v>
      </c>
      <c r="K16">
        <v>-8.2654388257513214E-3</v>
      </c>
      <c r="L16">
        <v>-8.3650144102949166E-3</v>
      </c>
      <c r="M16">
        <v>-8.2999886967333562E-3</v>
      </c>
      <c r="N16">
        <v>-8.3495201398197522E-3</v>
      </c>
      <c r="O16">
        <v>-8.3499790875830194E-3</v>
      </c>
      <c r="P16">
        <v>-8.4329071259605128E-3</v>
      </c>
      <c r="Q16">
        <v>-8.2602679413799601E-3</v>
      </c>
      <c r="R16">
        <v>-8.2460077357727635E-3</v>
      </c>
      <c r="S16">
        <v>-8.2242277802978235E-3</v>
      </c>
      <c r="T16">
        <v>-8.2581022551704332E-3</v>
      </c>
      <c r="U16">
        <v>-8.3879145211668907E-3</v>
      </c>
    </row>
    <row r="17" spans="1:21">
      <c r="A17" t="s">
        <v>14</v>
      </c>
      <c r="B17">
        <v>-7.7884529448565554E-3</v>
      </c>
      <c r="C17">
        <v>-8.1625839498429206E-3</v>
      </c>
      <c r="D17">
        <v>-8.4027178144242334E-3</v>
      </c>
      <c r="E17">
        <v>-8.4931793832111521E-3</v>
      </c>
      <c r="F17">
        <v>-8.5079520353160843E-3</v>
      </c>
      <c r="G17">
        <v>-8.4806074748094776E-3</v>
      </c>
      <c r="H17">
        <v>-8.4618141360564836E-3</v>
      </c>
      <c r="I17">
        <v>-8.3477399827929875E-3</v>
      </c>
      <c r="J17">
        <v>-8.3813002395924322E-3</v>
      </c>
      <c r="K17">
        <v>-8.4454890062350373E-3</v>
      </c>
      <c r="L17">
        <v>-8.3933613049527282E-3</v>
      </c>
      <c r="M17">
        <v>-8.4659432469386571E-3</v>
      </c>
      <c r="N17">
        <v>-8.3802106900599908E-3</v>
      </c>
      <c r="O17">
        <v>-8.2691956835008931E-3</v>
      </c>
      <c r="P17">
        <v>-8.4438498606041641E-3</v>
      </c>
      <c r="Q17">
        <v>-8.494614689467132E-3</v>
      </c>
      <c r="R17">
        <v>-8.3760932564297778E-3</v>
      </c>
      <c r="S17">
        <v>-8.3545798421243919E-3</v>
      </c>
      <c r="T17">
        <v>-8.3229099791022783E-3</v>
      </c>
      <c r="U17">
        <v>-8.2711310989146466E-3</v>
      </c>
    </row>
    <row r="18" spans="1:21">
      <c r="A18" t="s">
        <v>15</v>
      </c>
      <c r="B18">
        <v>-7.5592813835491657E-3</v>
      </c>
      <c r="C18">
        <v>-7.8367361951852312E-3</v>
      </c>
      <c r="D18">
        <v>-7.8776069548741699E-3</v>
      </c>
      <c r="E18">
        <v>-7.9320422338016363E-3</v>
      </c>
      <c r="F18">
        <v>-7.8368209587649923E-3</v>
      </c>
      <c r="G18">
        <v>-7.8374817996106558E-3</v>
      </c>
      <c r="H18">
        <v>-7.7951462405986367E-3</v>
      </c>
      <c r="I18">
        <v>-7.8560186520726209E-3</v>
      </c>
      <c r="J18">
        <v>-7.8758899590857349E-3</v>
      </c>
      <c r="K18">
        <v>-7.9074835587584543E-3</v>
      </c>
      <c r="L18">
        <v>-7.8924786147227949E-3</v>
      </c>
      <c r="M18">
        <v>-7.9294422874130882E-3</v>
      </c>
      <c r="N18">
        <v>-7.8233691452526954E-3</v>
      </c>
      <c r="O18">
        <v>-7.8337040574925007E-3</v>
      </c>
      <c r="P18">
        <v>-7.9835402532984368E-3</v>
      </c>
      <c r="Q18">
        <v>-7.9740583414438914E-3</v>
      </c>
      <c r="R18">
        <v>-7.9512390231501699E-3</v>
      </c>
      <c r="S18">
        <v>-8.0807612196047915E-3</v>
      </c>
      <c r="T18">
        <v>-8.1654683123777178E-3</v>
      </c>
      <c r="U18">
        <v>-8.2394244516434435E-3</v>
      </c>
    </row>
    <row r="19" spans="1:21">
      <c r="A19" t="s">
        <v>16</v>
      </c>
      <c r="B19">
        <v>-6.2629629769406087E-3</v>
      </c>
      <c r="C19">
        <v>-6.2927459753617816E-3</v>
      </c>
      <c r="D19">
        <v>-6.3018187587170057E-3</v>
      </c>
      <c r="E19">
        <v>-6.2903827858443746E-3</v>
      </c>
      <c r="F19">
        <v>-6.2614347315954081E-3</v>
      </c>
      <c r="G19">
        <v>-6.2343542007416075E-3</v>
      </c>
      <c r="H19">
        <v>-6.1195176303253862E-3</v>
      </c>
      <c r="I19">
        <v>-6.1406283257565307E-3</v>
      </c>
      <c r="J19">
        <v>-6.1588558097448219E-3</v>
      </c>
      <c r="K19">
        <v>-6.0518144173636297E-3</v>
      </c>
      <c r="L19">
        <v>-6.040049094596405E-3</v>
      </c>
      <c r="M19">
        <v>-6.0453018155812712E-3</v>
      </c>
      <c r="N19">
        <v>-6.0278447463797038E-3</v>
      </c>
      <c r="O19">
        <v>-6.0583148209312427E-3</v>
      </c>
      <c r="P19">
        <v>-6.0474933511548519E-3</v>
      </c>
      <c r="Q19">
        <v>-6.1007801061993315E-3</v>
      </c>
      <c r="R19">
        <v>-6.1266815855426605E-3</v>
      </c>
      <c r="S19">
        <v>-6.1718082070301872E-3</v>
      </c>
      <c r="T19">
        <v>-6.1756626271056506E-3</v>
      </c>
      <c r="U19">
        <v>-6.072217515954023E-3</v>
      </c>
    </row>
    <row r="20" spans="1:21">
      <c r="A20" t="s">
        <v>17</v>
      </c>
      <c r="B20">
        <v>-6.1656538410104463E-3</v>
      </c>
      <c r="C20">
        <v>-6.0892024465790239E-3</v>
      </c>
      <c r="D20">
        <v>-6.2252645802164828E-3</v>
      </c>
      <c r="E20">
        <v>-6.2612617836726231E-3</v>
      </c>
      <c r="F20">
        <v>-6.2490181800743559E-3</v>
      </c>
      <c r="G20">
        <v>-6.130843234383389E-3</v>
      </c>
      <c r="H20">
        <v>-6.0950212063391636E-3</v>
      </c>
      <c r="I20">
        <v>-6.0516175871198419E-3</v>
      </c>
      <c r="J20">
        <v>-5.9693280654369461E-3</v>
      </c>
      <c r="K20">
        <v>-5.980201101832199E-3</v>
      </c>
      <c r="L20">
        <v>-5.9830032779956072E-3</v>
      </c>
      <c r="M20">
        <v>-5.8673520239804905E-3</v>
      </c>
      <c r="N20">
        <v>-5.8752294719287739E-3</v>
      </c>
      <c r="O20">
        <v>-5.8550593881245656E-3</v>
      </c>
      <c r="P20">
        <v>-5.8184418920256536E-3</v>
      </c>
      <c r="Q20">
        <v>-5.7081320160573068E-3</v>
      </c>
      <c r="R20">
        <v>-5.7180236261263184E-3</v>
      </c>
      <c r="S20">
        <v>-5.6858340802589079E-3</v>
      </c>
      <c r="T20">
        <v>-5.6840554521690456E-3</v>
      </c>
      <c r="U20">
        <v>-5.659574340415658E-3</v>
      </c>
    </row>
    <row r="21" spans="1:21">
      <c r="A21" t="s">
        <v>18</v>
      </c>
      <c r="B21">
        <v>-6.1530586142310153E-3</v>
      </c>
      <c r="C21">
        <v>-6.1137080756791425E-3</v>
      </c>
      <c r="D21">
        <v>-6.2428717597127602E-3</v>
      </c>
      <c r="E21">
        <v>-6.2827706145145634E-3</v>
      </c>
      <c r="F21">
        <v>-6.2910020591988068E-3</v>
      </c>
      <c r="G21">
        <v>-6.100792652795577E-3</v>
      </c>
      <c r="H21">
        <v>-6.1436648630512954E-3</v>
      </c>
      <c r="I21">
        <v>-6.0666032198404378E-3</v>
      </c>
      <c r="J21">
        <v>-6.0107983344116801E-3</v>
      </c>
      <c r="K21">
        <v>-5.8967203567345796E-3</v>
      </c>
      <c r="L21">
        <v>-5.8935203311580517E-3</v>
      </c>
      <c r="M21">
        <v>-5.8481988184222898E-3</v>
      </c>
      <c r="N21">
        <v>-5.9014151758815898E-3</v>
      </c>
      <c r="O21">
        <v>-5.8815247606592274E-3</v>
      </c>
      <c r="P21">
        <v>-5.8233295467710871E-3</v>
      </c>
      <c r="Q21">
        <v>-5.8518202391486494E-3</v>
      </c>
      <c r="R21">
        <v>-5.8027235832056531E-3</v>
      </c>
      <c r="S21">
        <v>-5.7869044677974707E-3</v>
      </c>
      <c r="T21">
        <v>-5.7769375118823614E-3</v>
      </c>
      <c r="U21">
        <v>-5.6549140401289232E-3</v>
      </c>
    </row>
    <row r="22" spans="1:21">
      <c r="A22" t="s">
        <v>19</v>
      </c>
      <c r="B22">
        <v>-6.2948649616486182E-3</v>
      </c>
      <c r="C22">
        <v>-6.2724959301270157E-3</v>
      </c>
      <c r="D22">
        <v>-6.3132272758729784E-3</v>
      </c>
      <c r="E22">
        <v>-6.342822548593717E-3</v>
      </c>
      <c r="F22">
        <v>-6.3265558724276659E-3</v>
      </c>
      <c r="G22">
        <v>-6.297416883723558E-3</v>
      </c>
      <c r="H22">
        <v>-6.2521594603657492E-3</v>
      </c>
      <c r="I22">
        <v>-6.2333214515623995E-3</v>
      </c>
      <c r="J22">
        <v>-6.0946118736688558E-3</v>
      </c>
      <c r="K22">
        <v>-6.03054820219877E-3</v>
      </c>
      <c r="L22">
        <v>-5.9131521927007118E-3</v>
      </c>
      <c r="M22">
        <v>-5.9429023689198633E-3</v>
      </c>
      <c r="N22">
        <v>-5.906458312400927E-3</v>
      </c>
      <c r="O22">
        <v>-5.8539682047616271E-3</v>
      </c>
      <c r="P22">
        <v>-5.7921428204293522E-3</v>
      </c>
      <c r="Q22">
        <v>-5.7835282001844016E-3</v>
      </c>
      <c r="R22">
        <v>-5.7618305505964373E-3</v>
      </c>
      <c r="S22">
        <v>-5.7419544500852083E-3</v>
      </c>
      <c r="T22">
        <v>-5.7085133574611736E-3</v>
      </c>
      <c r="U22">
        <v>-5.6449036035254212E-3</v>
      </c>
    </row>
    <row r="23" spans="1:21">
      <c r="A23" t="s">
        <v>20</v>
      </c>
      <c r="B23">
        <v>-6.1976966265008381E-3</v>
      </c>
      <c r="C23">
        <v>-6.161611300471664E-3</v>
      </c>
      <c r="D23">
        <v>-6.2952327662764438E-3</v>
      </c>
      <c r="E23">
        <v>-6.3157772637957394E-3</v>
      </c>
      <c r="F23">
        <v>-6.2869615854349494E-3</v>
      </c>
      <c r="G23">
        <v>-6.1889287960355203E-3</v>
      </c>
      <c r="H23">
        <v>-6.1615744517396227E-3</v>
      </c>
      <c r="I23">
        <v>-6.1653775706278736E-3</v>
      </c>
      <c r="J23">
        <v>-6.0887036358905928E-3</v>
      </c>
      <c r="K23">
        <v>-6.0142731129072726E-3</v>
      </c>
      <c r="L23">
        <v>-5.9561866071442364E-3</v>
      </c>
      <c r="M23">
        <v>-5.93562655955904E-3</v>
      </c>
      <c r="N23">
        <v>-5.9299891626818655E-3</v>
      </c>
      <c r="O23">
        <v>-5.8995469499099279E-3</v>
      </c>
      <c r="P23">
        <v>-5.8558275389818835E-3</v>
      </c>
      <c r="Q23">
        <v>-5.8073678566083068E-3</v>
      </c>
      <c r="R23">
        <v>-5.6788431863307896E-3</v>
      </c>
      <c r="S23">
        <v>-5.6874602576464208E-3</v>
      </c>
      <c r="T23">
        <v>-5.7227173635195274E-3</v>
      </c>
      <c r="U23">
        <v>-5.6331785266068466E-3</v>
      </c>
    </row>
    <row r="24" spans="1:21">
      <c r="A24" t="s">
        <v>21</v>
      </c>
      <c r="B24">
        <v>-6.2409276580647471E-3</v>
      </c>
      <c r="C24">
        <v>-6.1893262171379762E-3</v>
      </c>
      <c r="D24">
        <v>-6.2018555540386639E-3</v>
      </c>
      <c r="E24">
        <v>-6.1537705687317173E-3</v>
      </c>
      <c r="F24">
        <v>-6.157736000616751E-3</v>
      </c>
      <c r="G24">
        <v>-6.013625821337772E-3</v>
      </c>
      <c r="H24">
        <v>-5.8848288580745766E-3</v>
      </c>
      <c r="I24">
        <v>-5.7994869929837512E-3</v>
      </c>
      <c r="J24">
        <v>-5.8073311390145739E-3</v>
      </c>
      <c r="K24">
        <v>-5.7660519473704446E-3</v>
      </c>
      <c r="L24">
        <v>-5.7124469684241485E-3</v>
      </c>
      <c r="M24">
        <v>-5.6888018531431129E-3</v>
      </c>
      <c r="N24">
        <v>-5.6685686952874645E-3</v>
      </c>
      <c r="O24">
        <v>-5.6241928288767954E-3</v>
      </c>
      <c r="P24">
        <v>-5.6910109759811534E-3</v>
      </c>
      <c r="Q24">
        <v>-5.6963847655850264E-3</v>
      </c>
      <c r="R24">
        <v>-5.5817847383389267E-3</v>
      </c>
      <c r="S24">
        <v>-5.5507574620251429E-3</v>
      </c>
      <c r="T24">
        <v>-5.5247304910105146E-3</v>
      </c>
      <c r="U24">
        <v>-5.511165741365817E-3</v>
      </c>
    </row>
    <row r="25" spans="1:21">
      <c r="A25" t="s">
        <v>34</v>
      </c>
      <c r="B25">
        <v>-6.1971709055700453E-3</v>
      </c>
      <c r="C25">
        <v>-6.1637790467234657E-3</v>
      </c>
      <c r="D25">
        <v>-6.2667033980185948E-3</v>
      </c>
      <c r="E25">
        <v>-6.2943812126267139E-3</v>
      </c>
      <c r="F25">
        <v>-6.2732276914158518E-3</v>
      </c>
      <c r="G25">
        <v>-6.1737901549121883E-3</v>
      </c>
      <c r="H25">
        <v>-6.0986428158234327E-3</v>
      </c>
      <c r="I25">
        <v>-6.1377595793381725E-3</v>
      </c>
      <c r="J25">
        <v>-6.0240392481937096E-3</v>
      </c>
      <c r="K25">
        <v>-5.9880538349224351E-3</v>
      </c>
      <c r="L25">
        <v>-5.959261067365329E-3</v>
      </c>
      <c r="M25">
        <v>-5.8900178738104363E-3</v>
      </c>
      <c r="N25">
        <v>-5.8487591834457476E-3</v>
      </c>
      <c r="O25">
        <v>-5.9125937439249553E-3</v>
      </c>
      <c r="P25">
        <v>-5.8969639577480665E-3</v>
      </c>
      <c r="Q25">
        <v>-5.9063739189558944E-3</v>
      </c>
      <c r="R25">
        <v>-5.81545874779034E-3</v>
      </c>
      <c r="S25">
        <v>-5.7891481678588293E-3</v>
      </c>
      <c r="T25">
        <v>-5.7487111143977405E-3</v>
      </c>
      <c r="U25">
        <v>-5.6159864348706784E-3</v>
      </c>
    </row>
    <row r="26" spans="1:21">
      <c r="A26" t="s">
        <v>22</v>
      </c>
      <c r="B26">
        <v>-7.5710551850443845E-3</v>
      </c>
      <c r="C26">
        <v>-7.868807991358447E-3</v>
      </c>
      <c r="D26">
        <v>-7.9831105403090491E-3</v>
      </c>
      <c r="E26">
        <v>-7.995949493389715E-3</v>
      </c>
      <c r="F26">
        <v>-8.0207699427098933E-3</v>
      </c>
      <c r="G26">
        <v>-7.909507227602388E-3</v>
      </c>
      <c r="H26">
        <v>-7.8685599063614987E-3</v>
      </c>
      <c r="I26">
        <v>-7.8200711895415383E-3</v>
      </c>
      <c r="J26">
        <v>-7.569936182225308E-3</v>
      </c>
      <c r="K26">
        <v>-7.5573297502698868E-3</v>
      </c>
      <c r="L26">
        <v>-7.4604216851012197E-3</v>
      </c>
      <c r="M26">
        <v>-7.3235089223514281E-3</v>
      </c>
      <c r="N26">
        <v>-7.4517424551413351E-3</v>
      </c>
      <c r="O26">
        <v>-7.364073541771308E-3</v>
      </c>
      <c r="P26">
        <v>-7.3063975320390396E-3</v>
      </c>
      <c r="Q26">
        <v>-7.2688489605974519E-3</v>
      </c>
      <c r="R26">
        <v>-7.3450520894433697E-3</v>
      </c>
      <c r="S26">
        <v>-7.2139507269197867E-3</v>
      </c>
      <c r="T26">
        <v>-7.1118666057571386E-3</v>
      </c>
      <c r="U26">
        <v>-7.1526815235520734E-3</v>
      </c>
    </row>
    <row r="27" spans="1:21">
      <c r="A27" t="s">
        <v>23</v>
      </c>
      <c r="B27">
        <v>-6.3062900446250953E-3</v>
      </c>
      <c r="C27">
        <v>-6.3173976328707851E-3</v>
      </c>
      <c r="D27">
        <v>-6.4502942030862723E-3</v>
      </c>
      <c r="E27">
        <v>-6.503085604357986E-3</v>
      </c>
      <c r="F27">
        <v>-6.5341359080212944E-3</v>
      </c>
      <c r="G27">
        <v>-6.5268522496390296E-3</v>
      </c>
      <c r="H27">
        <v>-6.4183535375602887E-3</v>
      </c>
      <c r="I27">
        <v>-6.3843788656571055E-3</v>
      </c>
      <c r="J27">
        <v>-6.2572939504504871E-3</v>
      </c>
      <c r="K27">
        <v>-6.1871017306239246E-3</v>
      </c>
      <c r="L27">
        <v>-6.189803703436649E-3</v>
      </c>
      <c r="M27">
        <v>-6.0410521336688198E-3</v>
      </c>
      <c r="N27">
        <v>-5.9421789315590246E-3</v>
      </c>
      <c r="O27">
        <v>-5.8586834515649095E-3</v>
      </c>
      <c r="P27">
        <v>-5.9019651054920807E-3</v>
      </c>
      <c r="Q27">
        <v>-5.867878651305892E-3</v>
      </c>
      <c r="R27">
        <v>-5.8912983682702065E-3</v>
      </c>
      <c r="S27">
        <v>-5.8547458371024253E-3</v>
      </c>
      <c r="T27">
        <v>-5.8209271465871227E-3</v>
      </c>
      <c r="U27">
        <v>-5.7603918266944864E-3</v>
      </c>
    </row>
    <row r="28" spans="1:21">
      <c r="A28" t="s">
        <v>24</v>
      </c>
      <c r="B28">
        <v>-6.2171888670130519E-3</v>
      </c>
      <c r="C28">
        <v>-6.1355996202181826E-3</v>
      </c>
      <c r="D28">
        <v>-6.1529197481725367E-3</v>
      </c>
      <c r="E28">
        <v>-6.1193567204586297E-3</v>
      </c>
      <c r="F28">
        <v>-6.0854591629900447E-3</v>
      </c>
      <c r="G28">
        <v>-5.9848035206294366E-3</v>
      </c>
      <c r="H28">
        <v>-5.8758520171444508E-3</v>
      </c>
      <c r="I28">
        <v>-5.7439408628913603E-3</v>
      </c>
      <c r="J28">
        <v>-5.6680909537295526E-3</v>
      </c>
      <c r="K28">
        <v>-5.5874989431503068E-3</v>
      </c>
      <c r="L28">
        <v>-5.6397051536364621E-3</v>
      </c>
      <c r="M28">
        <v>-5.6311459261941194E-3</v>
      </c>
      <c r="N28">
        <v>-5.6059445575135092E-3</v>
      </c>
      <c r="O28">
        <v>-5.606390108400223E-3</v>
      </c>
      <c r="P28">
        <v>-5.563095257964344E-3</v>
      </c>
      <c r="Q28">
        <v>-5.6036374483127514E-3</v>
      </c>
      <c r="R28">
        <v>-5.5791007496101483E-3</v>
      </c>
      <c r="S28">
        <v>-5.5137698204221989E-3</v>
      </c>
      <c r="T28">
        <v>-5.4802619805568789E-3</v>
      </c>
      <c r="U28">
        <v>-5.4247888409386536E-3</v>
      </c>
    </row>
    <row r="29" spans="1:21">
      <c r="A29" t="s">
        <v>25</v>
      </c>
      <c r="B29">
        <v>-6.0878275858106973E-3</v>
      </c>
      <c r="C29">
        <v>-6.0288604485010241E-3</v>
      </c>
      <c r="D29">
        <v>-6.0555181834025459E-3</v>
      </c>
      <c r="E29">
        <v>-6.0890489147906552E-3</v>
      </c>
      <c r="F29">
        <v>-6.0459512761339967E-3</v>
      </c>
      <c r="G29">
        <v>-5.9422886645906156E-3</v>
      </c>
      <c r="H29">
        <v>-5.8382941079374688E-3</v>
      </c>
      <c r="I29">
        <v>-5.7318199389287967E-3</v>
      </c>
      <c r="J29">
        <v>-5.7138466473742495E-3</v>
      </c>
      <c r="K29">
        <v>-5.695089853999428E-3</v>
      </c>
      <c r="L29">
        <v>-5.6155089187519668E-3</v>
      </c>
      <c r="M29">
        <v>-5.7299685331023897E-3</v>
      </c>
      <c r="N29">
        <v>-5.739692399809565E-3</v>
      </c>
      <c r="O29">
        <v>-5.7198075697026864E-3</v>
      </c>
      <c r="P29">
        <v>-5.7384130858842888E-3</v>
      </c>
      <c r="Q29">
        <v>-5.7245840362140322E-3</v>
      </c>
      <c r="R29">
        <v>-5.6668428367684836E-3</v>
      </c>
      <c r="S29">
        <v>-5.6618918817651848E-3</v>
      </c>
      <c r="T29">
        <v>-5.6493928820811404E-3</v>
      </c>
      <c r="U29">
        <v>-5.5265447198883395E-3</v>
      </c>
    </row>
    <row r="30" spans="1:21">
      <c r="A30" t="s">
        <v>26</v>
      </c>
      <c r="B30">
        <v>-7.043809071133415E-3</v>
      </c>
      <c r="C30">
        <v>-7.3396371656531826E-3</v>
      </c>
      <c r="D30">
        <v>-7.878865724864877E-3</v>
      </c>
      <c r="E30">
        <v>-8.1522729840493146E-3</v>
      </c>
      <c r="F30">
        <v>-8.2491966846818792E-3</v>
      </c>
      <c r="G30">
        <v>-8.2688768344951567E-3</v>
      </c>
      <c r="H30">
        <v>-8.3051494683581625E-3</v>
      </c>
      <c r="I30">
        <v>-8.3594858180643054E-3</v>
      </c>
      <c r="J30">
        <v>-8.3592229895528263E-3</v>
      </c>
      <c r="K30">
        <v>-8.2795990901257683E-3</v>
      </c>
      <c r="L30">
        <v>-8.2476480425421553E-3</v>
      </c>
      <c r="M30">
        <v>-8.3043226583865721E-3</v>
      </c>
      <c r="N30">
        <v>-8.2935941381146721E-3</v>
      </c>
      <c r="O30">
        <v>-8.4620848189126754E-3</v>
      </c>
      <c r="P30">
        <v>-8.5519123619325291E-3</v>
      </c>
      <c r="Q30">
        <v>-8.5377709859558674E-3</v>
      </c>
      <c r="R30">
        <v>-8.4782086945458107E-3</v>
      </c>
      <c r="S30">
        <v>-8.4121933109767549E-3</v>
      </c>
      <c r="T30">
        <v>-8.322417105406649E-3</v>
      </c>
      <c r="U30">
        <v>-8.2552706839813597E-3</v>
      </c>
    </row>
    <row r="31" spans="1:21">
      <c r="A31" t="s">
        <v>27</v>
      </c>
      <c r="B31">
        <v>-7.1794910853463425E-3</v>
      </c>
      <c r="C31">
        <v>-7.5300281255590885E-3</v>
      </c>
      <c r="D31">
        <v>-7.9981084857897559E-3</v>
      </c>
      <c r="E31">
        <v>-8.3470062021761653E-3</v>
      </c>
      <c r="F31">
        <v>-8.5576339064090366E-3</v>
      </c>
      <c r="G31">
        <v>-8.5383722033477716E-3</v>
      </c>
      <c r="H31">
        <v>-8.5411657443503469E-3</v>
      </c>
      <c r="I31">
        <v>-8.5261467861521365E-3</v>
      </c>
      <c r="J31">
        <v>-8.4956547500035402E-3</v>
      </c>
      <c r="K31">
        <v>-8.5174419311578684E-3</v>
      </c>
      <c r="L31">
        <v>-8.5182324236299373E-3</v>
      </c>
      <c r="M31">
        <v>-8.4451720576371424E-3</v>
      </c>
      <c r="N31">
        <v>-8.4290484822439928E-3</v>
      </c>
      <c r="O31">
        <v>-8.5420917562269473E-3</v>
      </c>
      <c r="P31">
        <v>-8.4722771649165945E-3</v>
      </c>
      <c r="Q31">
        <v>-8.5384891262637406E-3</v>
      </c>
      <c r="R31">
        <v>-8.5612909482807222E-3</v>
      </c>
      <c r="S31">
        <v>-8.5878811184792909E-3</v>
      </c>
      <c r="T31">
        <v>-8.6249404468153774E-3</v>
      </c>
      <c r="U31">
        <v>-8.6412392923235562E-3</v>
      </c>
    </row>
    <row r="32" spans="1:21">
      <c r="A32" t="s">
        <v>28</v>
      </c>
      <c r="B32">
        <v>-8.9933811195145544E-3</v>
      </c>
      <c r="C32">
        <v>-1.0067750071422181E-2</v>
      </c>
      <c r="D32">
        <v>-1.1152567180534213E-2</v>
      </c>
      <c r="E32">
        <v>-1.1779960134411151E-2</v>
      </c>
      <c r="F32">
        <v>-1.2002784077146613E-2</v>
      </c>
      <c r="G32">
        <v>-1.2355150975333606E-2</v>
      </c>
      <c r="H32">
        <v>-1.238853699135852E-2</v>
      </c>
      <c r="I32">
        <v>-1.2527704599389504E-2</v>
      </c>
      <c r="J32">
        <v>-1.2812366494713907E-2</v>
      </c>
      <c r="K32">
        <v>-1.2970160747469152E-2</v>
      </c>
      <c r="L32">
        <v>-1.312848477241842E-2</v>
      </c>
      <c r="M32">
        <v>-1.3235523792089478E-2</v>
      </c>
      <c r="N32">
        <v>-1.3268074181425614E-2</v>
      </c>
      <c r="O32">
        <v>-1.3179600847574167E-2</v>
      </c>
      <c r="P32">
        <v>-1.3261174006360786E-2</v>
      </c>
      <c r="Q32">
        <v>-1.3132905629261839E-2</v>
      </c>
      <c r="R32">
        <v>-1.2973525014553037E-2</v>
      </c>
      <c r="S32">
        <v>-1.3056495987053844E-2</v>
      </c>
      <c r="T32">
        <v>-1.3164704322618894E-2</v>
      </c>
      <c r="U32">
        <v>-1.3122963199744276E-2</v>
      </c>
    </row>
    <row r="33" spans="1:21">
      <c r="A33" t="s">
        <v>29</v>
      </c>
      <c r="B33">
        <v>-9.1832480838792956E-3</v>
      </c>
      <c r="C33">
        <v>-1.0190901471837908E-2</v>
      </c>
      <c r="D33">
        <v>-1.1186308105835744E-2</v>
      </c>
      <c r="E33">
        <v>-1.1733460225192274E-2</v>
      </c>
      <c r="F33">
        <v>-1.2132827659458324E-2</v>
      </c>
      <c r="G33">
        <v>-1.2445477954661624E-2</v>
      </c>
      <c r="H33">
        <v>-1.2730756310932125E-2</v>
      </c>
      <c r="I33">
        <v>-1.2857238782637526E-2</v>
      </c>
      <c r="J33">
        <v>-1.2955459344015733E-2</v>
      </c>
      <c r="K33">
        <v>-1.2993960098064024E-2</v>
      </c>
      <c r="L33">
        <v>-1.3030666609009346E-2</v>
      </c>
      <c r="M33">
        <v>-1.3059996979384298E-2</v>
      </c>
      <c r="N33">
        <v>-1.3148858260584581E-2</v>
      </c>
      <c r="O33">
        <v>-1.3327033518825011E-2</v>
      </c>
      <c r="P33">
        <v>-1.3398334832840638E-2</v>
      </c>
      <c r="Q33">
        <v>-1.3542884039735305E-2</v>
      </c>
      <c r="R33">
        <v>-1.3394516310479866E-2</v>
      </c>
      <c r="S33">
        <v>-1.3313236193178809E-2</v>
      </c>
      <c r="T33">
        <v>-1.3203336557613719E-2</v>
      </c>
      <c r="U33">
        <v>-1.3034675177780423E-2</v>
      </c>
    </row>
    <row r="34" spans="1:21">
      <c r="A34" t="s">
        <v>30</v>
      </c>
      <c r="B34">
        <v>-9.1558419559662624E-3</v>
      </c>
      <c r="C34">
        <v>-1.0156766410942587E-2</v>
      </c>
      <c r="D34">
        <v>-1.1198527314603262E-2</v>
      </c>
      <c r="E34">
        <v>-1.1711228005359462E-2</v>
      </c>
      <c r="F34">
        <v>-1.2164815456634717E-2</v>
      </c>
      <c r="G34">
        <v>-1.2490477933300142E-2</v>
      </c>
      <c r="H34">
        <v>-1.2702712709757114E-2</v>
      </c>
      <c r="I34">
        <v>-1.3010320154252372E-2</v>
      </c>
      <c r="J34">
        <v>-1.3121003554605794E-2</v>
      </c>
      <c r="K34">
        <v>-1.306996483640272E-2</v>
      </c>
      <c r="L34">
        <v>-1.3080099902977552E-2</v>
      </c>
      <c r="M34">
        <v>-1.3197590554096816E-2</v>
      </c>
      <c r="N34">
        <v>-1.3147469033317816E-2</v>
      </c>
      <c r="O34">
        <v>-1.3231966647223236E-2</v>
      </c>
      <c r="P34">
        <v>-1.3084961764844767E-2</v>
      </c>
      <c r="Q34">
        <v>-1.3096063686229996E-2</v>
      </c>
      <c r="R34">
        <v>-1.3060001106812694E-2</v>
      </c>
      <c r="S34">
        <v>-1.3241379114915854E-2</v>
      </c>
      <c r="T34">
        <v>-1.3353582618140999E-2</v>
      </c>
      <c r="U34">
        <v>-1.3323551658505064E-2</v>
      </c>
    </row>
    <row r="35" spans="1:21">
      <c r="A35" t="s">
        <v>31</v>
      </c>
      <c r="B35">
        <v>-6.7446396212383075E-3</v>
      </c>
      <c r="C35">
        <v>-6.8318160540603258E-3</v>
      </c>
      <c r="D35">
        <v>-6.8147708687212403E-3</v>
      </c>
      <c r="E35">
        <v>-6.7554319340776938E-3</v>
      </c>
      <c r="F35">
        <v>-6.7227603994125563E-3</v>
      </c>
      <c r="G35">
        <v>-6.7016884869762292E-3</v>
      </c>
      <c r="H35">
        <v>-6.6150092392128742E-3</v>
      </c>
      <c r="I35">
        <v>-6.5999977909700107E-3</v>
      </c>
      <c r="J35">
        <v>-6.5147800844576253E-3</v>
      </c>
      <c r="K35">
        <v>-6.5288209401284424E-3</v>
      </c>
      <c r="L35">
        <v>-6.5511759509248625E-3</v>
      </c>
      <c r="M35">
        <v>-6.5890940103301293E-3</v>
      </c>
      <c r="N35">
        <v>-6.5990942589677238E-3</v>
      </c>
      <c r="O35">
        <v>-6.5973192733962387E-3</v>
      </c>
      <c r="P35">
        <v>-6.5568214850462488E-3</v>
      </c>
      <c r="Q35">
        <v>-6.5746384387834842E-3</v>
      </c>
      <c r="R35">
        <v>-6.6265375330317412E-3</v>
      </c>
      <c r="S35">
        <v>-6.5899412186574396E-3</v>
      </c>
      <c r="T35">
        <v>-6.5180724315957658E-3</v>
      </c>
      <c r="U35">
        <v>-6.3370839727226909E-3</v>
      </c>
    </row>
    <row r="36" spans="1:21">
      <c r="A36" t="s">
        <v>32</v>
      </c>
      <c r="B36">
        <v>-6.9137468604458796E-3</v>
      </c>
      <c r="C36">
        <v>-6.9399467480927264E-3</v>
      </c>
      <c r="D36">
        <v>-6.9720847615119463E-3</v>
      </c>
      <c r="E36">
        <v>-6.9739976570426052E-3</v>
      </c>
      <c r="F36">
        <v>-6.957317659442035E-3</v>
      </c>
      <c r="G36">
        <v>-6.9379900153164822E-3</v>
      </c>
      <c r="H36">
        <v>-6.9052997082127724E-3</v>
      </c>
      <c r="I36">
        <v>-6.8935114817910426E-3</v>
      </c>
      <c r="J36">
        <v>-6.9603542352838837E-3</v>
      </c>
      <c r="K36">
        <v>-6.9547470834178116E-3</v>
      </c>
      <c r="L36">
        <v>-6.9405092513049917E-3</v>
      </c>
      <c r="M36">
        <v>-6.9875754517417094E-3</v>
      </c>
      <c r="N36">
        <v>-6.953202040782161E-3</v>
      </c>
      <c r="O36">
        <v>-6.9974954143694869E-3</v>
      </c>
      <c r="P36">
        <v>-7.0759067952194769E-3</v>
      </c>
      <c r="Q36">
        <v>-7.1122104864467612E-3</v>
      </c>
      <c r="R36">
        <v>-7.3120921598855736E-3</v>
      </c>
      <c r="S36">
        <v>-7.3490667674378949E-3</v>
      </c>
      <c r="T36">
        <v>-7.2412800275404726E-3</v>
      </c>
      <c r="U36">
        <v>-7.2317617572951309E-3</v>
      </c>
    </row>
    <row r="37" spans="1:21">
      <c r="A37" t="s">
        <v>33</v>
      </c>
      <c r="B37">
        <v>-6.5322373773630052E-3</v>
      </c>
      <c r="C37">
        <v>-6.3959933679786467E-3</v>
      </c>
      <c r="D37">
        <v>-6.2467535750169037E-3</v>
      </c>
      <c r="E37">
        <v>-6.0558900217219311E-3</v>
      </c>
      <c r="F37">
        <v>-5.9304335623593099E-3</v>
      </c>
      <c r="G37">
        <v>-5.8229051820005021E-3</v>
      </c>
      <c r="H37">
        <v>-5.7177980422024018E-3</v>
      </c>
      <c r="I37">
        <v>-5.6730133205349469E-3</v>
      </c>
      <c r="J37">
        <v>-5.656533098178403E-3</v>
      </c>
      <c r="K37">
        <v>-5.6032203194895918E-3</v>
      </c>
      <c r="L37">
        <v>-5.5633095010021371E-3</v>
      </c>
      <c r="M37">
        <v>-5.5401926419040336E-3</v>
      </c>
      <c r="N37">
        <v>-5.5540381855347281E-3</v>
      </c>
      <c r="O37">
        <v>-5.5438593629301945E-3</v>
      </c>
      <c r="P37">
        <v>-5.4893028716530108E-3</v>
      </c>
      <c r="Q37">
        <v>-5.4633256772382219E-3</v>
      </c>
      <c r="R37">
        <v>-5.5499099509927737E-3</v>
      </c>
      <c r="S37">
        <v>-5.5885740770779176E-3</v>
      </c>
      <c r="T37">
        <v>-5.392071822643757E-3</v>
      </c>
      <c r="U37">
        <v>-5.3532951296648076E-3</v>
      </c>
    </row>
  </sheetData>
  <phoneticPr fontId="0" type="noConversion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16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"Chg_T_1.4A"</f>
        <v>Chg_T_1.4A</v>
      </c>
      <c r="C1" s="1" t="str">
        <f>"Chg_T_2A"</f>
        <v>Chg_T_2A</v>
      </c>
      <c r="D1" s="1" t="str">
        <f>"Chg_T_3A"</f>
        <v>Chg_T_3A</v>
      </c>
      <c r="E1" s="1" t="str">
        <f>"Chg_T_4A"</f>
        <v>Chg_T_4A</v>
      </c>
      <c r="F1" s="1" t="str">
        <f>"Chg_T_5A"</f>
        <v>Chg_T_5A</v>
      </c>
      <c r="G1" s="1" t="str">
        <f>"Chg_T_6A"</f>
        <v>Chg_T_6A</v>
      </c>
      <c r="H1" s="1" t="str">
        <f>"Chg_T_7A"</f>
        <v>Chg_T_7A</v>
      </c>
      <c r="I1" s="1" t="str">
        <f>"Chg_T_8A"</f>
        <v>Chg_T_8A</v>
      </c>
      <c r="J1" s="1" t="str">
        <f>"Chg_T_9A"</f>
        <v>Chg_T_9A</v>
      </c>
      <c r="K1" s="1" t="str">
        <f>"Chg_T_10A"</f>
        <v>Chg_T_10A</v>
      </c>
      <c r="L1" s="1" t="str">
        <f>"Chg_T_11A"</f>
        <v>Chg_T_11A</v>
      </c>
      <c r="M1" s="1" t="str">
        <f>"Chg_T_12A"</f>
        <v>Chg_T_12A</v>
      </c>
      <c r="N1" s="1" t="str">
        <f>"Chg_T_13A"</f>
        <v>Chg_T_13A</v>
      </c>
      <c r="O1" s="1" t="str">
        <f>"Chg_T_14A"</f>
        <v>Chg_T_14A</v>
      </c>
      <c r="P1" s="1" t="str">
        <f>"Chg_T_15A"</f>
        <v>Chg_T_15A</v>
      </c>
      <c r="Q1" s="1" t="str">
        <f>"Chg_T_16A"</f>
        <v>Chg_T_16A</v>
      </c>
      <c r="R1" s="1" t="str">
        <f>"Chg_T_17A"</f>
        <v>Chg_T_17A</v>
      </c>
      <c r="S1" s="1" t="str">
        <f>"Chg_T_18A"</f>
        <v>Chg_T_18A</v>
      </c>
      <c r="T1" s="1" t="str">
        <f>"Chg_T_19A"</f>
        <v>Chg_T_19A</v>
      </c>
      <c r="U1" s="1" t="str">
        <f>"Chg_T_20A"</f>
        <v>Chg_T_20A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-11.176383</v>
      </c>
      <c r="C3">
        <v>-7.1044450000000001</v>
      </c>
      <c r="D3">
        <v>-4.1764109999999999</v>
      </c>
      <c r="E3">
        <v>-2.6548749999999997</v>
      </c>
      <c r="F3">
        <v>-1.9864929999999998</v>
      </c>
      <c r="G3">
        <v>-1.5515380000000001</v>
      </c>
      <c r="H3">
        <v>-1.2152399999999999</v>
      </c>
      <c r="I3">
        <v>-1.031282</v>
      </c>
      <c r="J3">
        <v>-0.86028559999999998</v>
      </c>
      <c r="K3">
        <v>-0.71976160000000011</v>
      </c>
      <c r="L3">
        <v>-0.68931909999999996</v>
      </c>
      <c r="M3">
        <v>-0.64858920000000009</v>
      </c>
      <c r="N3">
        <v>-0.57866669999999998</v>
      </c>
      <c r="O3">
        <v>-0.51601980000000003</v>
      </c>
      <c r="P3">
        <v>-0.47188560000000002</v>
      </c>
      <c r="Q3">
        <v>-0.45740190000000003</v>
      </c>
      <c r="R3">
        <v>-0.4201491</v>
      </c>
      <c r="S3">
        <v>-0.37807019999999997</v>
      </c>
      <c r="T3">
        <v>-0.37032439999999994</v>
      </c>
      <c r="U3">
        <v>-0.32024340000000001</v>
      </c>
    </row>
    <row r="4" spans="1:24">
      <c r="A4" t="s">
        <v>1</v>
      </c>
      <c r="B4">
        <v>-14.474102000000002</v>
      </c>
      <c r="C4">
        <v>-9.3496789999999983</v>
      </c>
      <c r="D4">
        <v>-5.2224459999999997</v>
      </c>
      <c r="E4">
        <v>-3.332255</v>
      </c>
      <c r="F4">
        <v>-2.418139</v>
      </c>
      <c r="G4">
        <v>-1.8343750000000001</v>
      </c>
      <c r="H4">
        <v>-1.586552</v>
      </c>
      <c r="I4">
        <v>-1.2649240000000002</v>
      </c>
      <c r="J4">
        <v>-1.1212359999999999</v>
      </c>
      <c r="K4">
        <v>-0.97632459999999999</v>
      </c>
      <c r="L4">
        <v>-0.92152650000000003</v>
      </c>
      <c r="M4">
        <v>-0.80550870000000008</v>
      </c>
      <c r="N4">
        <v>-0.75823249999999998</v>
      </c>
      <c r="O4">
        <v>-0.69134929999999994</v>
      </c>
      <c r="P4">
        <v>-0.63552870000000006</v>
      </c>
      <c r="Q4">
        <v>-0.60229499999999991</v>
      </c>
      <c r="R4">
        <v>-0.56812580000000001</v>
      </c>
      <c r="S4">
        <v>-0.54707289999999997</v>
      </c>
      <c r="T4">
        <v>-0.51110730000000015</v>
      </c>
      <c r="U4">
        <v>-0.49094019999999999</v>
      </c>
    </row>
    <row r="5" spans="1:24">
      <c r="A5" t="s">
        <v>2</v>
      </c>
      <c r="B5">
        <v>-27.203086999999996</v>
      </c>
      <c r="C5">
        <v>-18.035798</v>
      </c>
      <c r="D5">
        <v>-11.286569999999999</v>
      </c>
      <c r="E5">
        <v>-7.7682580000000003</v>
      </c>
      <c r="F5">
        <v>-5.8906690000000008</v>
      </c>
      <c r="G5">
        <v>-4.4522750000000002</v>
      </c>
      <c r="H5">
        <v>-3.409535</v>
      </c>
      <c r="I5">
        <v>-2.7759390000000006</v>
      </c>
      <c r="J5">
        <v>-2.4609390000000002</v>
      </c>
      <c r="K5">
        <v>-2.0862430000000001</v>
      </c>
      <c r="L5">
        <v>-1.875448</v>
      </c>
      <c r="M5">
        <v>-1.6686270000000001</v>
      </c>
      <c r="N5">
        <v>-1.4908879999999998</v>
      </c>
      <c r="O5">
        <v>-1.3602179999999997</v>
      </c>
      <c r="P5">
        <v>-1.2854919999999999</v>
      </c>
      <c r="Q5">
        <v>-1.1460320000000002</v>
      </c>
      <c r="R5">
        <v>-1.0228269999999999</v>
      </c>
      <c r="S5">
        <v>-0.97260900000000006</v>
      </c>
      <c r="T5">
        <v>-0.90788399999999991</v>
      </c>
      <c r="U5">
        <v>-0.82597599999999982</v>
      </c>
    </row>
    <row r="6" spans="1:24">
      <c r="A6" t="s">
        <v>3</v>
      </c>
      <c r="B6">
        <v>-8.3544109999999989</v>
      </c>
      <c r="C6">
        <v>-4.4085539999999996</v>
      </c>
      <c r="D6">
        <v>-2.3127329999999997</v>
      </c>
      <c r="E6">
        <v>-1.5140373</v>
      </c>
      <c r="F6">
        <v>-1.0259227</v>
      </c>
      <c r="G6">
        <v>-0.74544189999999999</v>
      </c>
      <c r="H6">
        <v>-0.5571235000000001</v>
      </c>
      <c r="I6">
        <v>-0.43715680000000001</v>
      </c>
      <c r="J6">
        <v>-0.38277619999999996</v>
      </c>
      <c r="K6">
        <v>-0.32505790000000001</v>
      </c>
      <c r="L6">
        <v>-0.30129379999999994</v>
      </c>
      <c r="M6">
        <v>-0.25742999999999999</v>
      </c>
      <c r="N6">
        <v>-0.2548301</v>
      </c>
      <c r="O6">
        <v>-0.2375505</v>
      </c>
      <c r="P6">
        <v>-0.22009820000000002</v>
      </c>
      <c r="Q6">
        <v>-0.18273020000000001</v>
      </c>
      <c r="R6">
        <v>-0.18279239999999997</v>
      </c>
      <c r="S6">
        <v>-0.16946850000000002</v>
      </c>
      <c r="T6">
        <v>-0.1391877</v>
      </c>
      <c r="U6">
        <v>-0.13927630000000002</v>
      </c>
    </row>
    <row r="7" spans="1:24">
      <c r="A7" t="s">
        <v>4</v>
      </c>
      <c r="B7">
        <v>-8.1749570000000009</v>
      </c>
      <c r="C7">
        <v>-4.3512370000000002</v>
      </c>
      <c r="D7">
        <v>-2.2893880000000002</v>
      </c>
      <c r="E7">
        <v>-1.4015530000000003</v>
      </c>
      <c r="F7">
        <v>-0.96836279999999986</v>
      </c>
      <c r="G7">
        <v>-0.75864169999999997</v>
      </c>
      <c r="H7">
        <v>-0.58933520000000006</v>
      </c>
      <c r="I7">
        <v>-0.46366289999999988</v>
      </c>
      <c r="J7">
        <v>-0.41093030000000003</v>
      </c>
      <c r="K7">
        <v>-0.38115320000000003</v>
      </c>
      <c r="L7">
        <v>-0.2952997</v>
      </c>
      <c r="M7">
        <v>-0.28422440000000004</v>
      </c>
      <c r="N7">
        <v>-0.2293364</v>
      </c>
      <c r="O7">
        <v>-0.22551249999999995</v>
      </c>
      <c r="P7">
        <v>-0.20731179999999999</v>
      </c>
      <c r="Q7">
        <v>-0.21235469999999998</v>
      </c>
      <c r="R7">
        <v>-0.206485</v>
      </c>
      <c r="S7">
        <v>-0.16427949999999997</v>
      </c>
      <c r="T7">
        <v>-0.15402890000000002</v>
      </c>
      <c r="U7">
        <v>-0.1462302</v>
      </c>
    </row>
    <row r="8" spans="1:24">
      <c r="A8" t="s">
        <v>5</v>
      </c>
      <c r="B8">
        <v>-9.0997560000000011</v>
      </c>
      <c r="C8">
        <v>-5.1304069999999999</v>
      </c>
      <c r="D8">
        <v>-2.6576560000000002</v>
      </c>
      <c r="E8">
        <v>-1.734181</v>
      </c>
      <c r="F8">
        <v>-1.2298189000000002</v>
      </c>
      <c r="G8">
        <v>-0.915628</v>
      </c>
      <c r="H8">
        <v>-0.70617190000000007</v>
      </c>
      <c r="I8">
        <v>-0.57992399999999988</v>
      </c>
      <c r="J8">
        <v>-0.50537889999999996</v>
      </c>
      <c r="K8">
        <v>-0.4338418</v>
      </c>
      <c r="L8">
        <v>-0.39078099999999999</v>
      </c>
      <c r="M8">
        <v>-0.36553089999999999</v>
      </c>
      <c r="N8">
        <v>-0.30708429999999998</v>
      </c>
      <c r="O8">
        <v>-0.27352799999999999</v>
      </c>
      <c r="P8">
        <v>-0.22559529999999997</v>
      </c>
      <c r="Q8">
        <v>-0.21140200000000001</v>
      </c>
      <c r="R8">
        <v>-0.1890761</v>
      </c>
      <c r="S8">
        <v>-0.1722997</v>
      </c>
      <c r="T8">
        <v>-0.15944400000000003</v>
      </c>
      <c r="U8">
        <v>-0.14565870000000003</v>
      </c>
    </row>
    <row r="9" spans="1:24">
      <c r="A9" t="s">
        <v>6</v>
      </c>
      <c r="B9">
        <v>-8.4052930000000003</v>
      </c>
      <c r="C9">
        <v>-4.620533</v>
      </c>
      <c r="D9">
        <v>-2.356379</v>
      </c>
      <c r="E9">
        <v>-1.4059520000000001</v>
      </c>
      <c r="F9">
        <v>-0.9758671000000001</v>
      </c>
      <c r="G9">
        <v>-0.7079508000000001</v>
      </c>
      <c r="H9">
        <v>-0.58601740000000002</v>
      </c>
      <c r="I9">
        <v>-0.47428150000000002</v>
      </c>
      <c r="J9">
        <v>-0.39013159999999997</v>
      </c>
      <c r="K9">
        <v>-0.35297669999999992</v>
      </c>
      <c r="L9">
        <v>-0.30885299999999999</v>
      </c>
      <c r="M9">
        <v>-0.25418280000000004</v>
      </c>
      <c r="N9">
        <v>-0.23663819999999997</v>
      </c>
      <c r="O9">
        <v>-0.2062619</v>
      </c>
      <c r="P9">
        <v>-0.18907190000000001</v>
      </c>
      <c r="Q9">
        <v>-0.17413729999999999</v>
      </c>
      <c r="R9">
        <v>-0.15071079999999998</v>
      </c>
      <c r="S9">
        <v>-0.13362260000000004</v>
      </c>
      <c r="T9">
        <v>-0.1128651</v>
      </c>
      <c r="U9">
        <v>-0.1170465</v>
      </c>
    </row>
    <row r="10" spans="1:24">
      <c r="A10" t="s">
        <v>7</v>
      </c>
      <c r="B10">
        <v>-12.167042</v>
      </c>
      <c r="C10">
        <v>-6.41465</v>
      </c>
      <c r="D10">
        <v>-3.1827239999999999</v>
      </c>
      <c r="E10">
        <v>-1.9090589999999998</v>
      </c>
      <c r="F10">
        <v>-1.2291030000000001</v>
      </c>
      <c r="G10">
        <v>-0.87472499999999997</v>
      </c>
      <c r="H10">
        <v>-0.61643750000000008</v>
      </c>
      <c r="I10">
        <v>-0.44326450000000006</v>
      </c>
      <c r="J10">
        <v>-0.38160439999999995</v>
      </c>
      <c r="K10">
        <v>-0.32455230000000002</v>
      </c>
      <c r="L10">
        <v>-0.31343870000000007</v>
      </c>
      <c r="M10">
        <v>-0.2709781</v>
      </c>
      <c r="N10">
        <v>-0.23353420000000003</v>
      </c>
      <c r="O10">
        <v>-0.19774730000000007</v>
      </c>
      <c r="P10">
        <v>-0.19109119999999996</v>
      </c>
      <c r="Q10">
        <v>-0.17375469999999998</v>
      </c>
      <c r="R10">
        <v>-0.15957669999999996</v>
      </c>
      <c r="S10">
        <v>-0.11994550000000004</v>
      </c>
      <c r="T10">
        <v>-0.12789480000000003</v>
      </c>
      <c r="U10">
        <v>-0.11976439999999999</v>
      </c>
    </row>
    <row r="11" spans="1:24">
      <c r="A11" t="s">
        <v>8</v>
      </c>
      <c r="B11">
        <v>-12.660939000000001</v>
      </c>
      <c r="C11">
        <v>-6.7922580000000004</v>
      </c>
      <c r="D11">
        <v>-3.417008</v>
      </c>
      <c r="E11">
        <v>-2.0191080000000001</v>
      </c>
      <c r="F11">
        <v>-1.3451759999999997</v>
      </c>
      <c r="G11">
        <v>-0.97554800000000008</v>
      </c>
      <c r="H11">
        <v>-0.72795100000000001</v>
      </c>
      <c r="I11">
        <v>-0.50021759999999993</v>
      </c>
      <c r="J11">
        <v>-0.43425939999999996</v>
      </c>
      <c r="K11">
        <v>-0.31599729999999993</v>
      </c>
      <c r="L11">
        <v>-0.30964210000000003</v>
      </c>
      <c r="M11">
        <v>-0.24997439999999993</v>
      </c>
      <c r="N11">
        <v>-0.18281459999999994</v>
      </c>
      <c r="O11">
        <v>-0.15848259999999992</v>
      </c>
      <c r="P11">
        <v>-0.15346309999999996</v>
      </c>
      <c r="Q11">
        <v>-0.10784589999999999</v>
      </c>
      <c r="R11">
        <v>-9.359679999999998E-2</v>
      </c>
      <c r="S11">
        <v>-7.8103599999999995E-2</v>
      </c>
      <c r="T11">
        <v>-4.938229999999999E-2</v>
      </c>
      <c r="U11">
        <v>-6.227309999999997E-2</v>
      </c>
    </row>
    <row r="12" spans="1:24">
      <c r="A12" t="s">
        <v>9</v>
      </c>
      <c r="B12">
        <v>-10.107671</v>
      </c>
      <c r="C12">
        <v>-5.7205619999999993</v>
      </c>
      <c r="D12">
        <v>-3.1487259999999999</v>
      </c>
      <c r="E12">
        <v>-2.1698395000000001</v>
      </c>
      <c r="F12">
        <v>-1.5897621999999998</v>
      </c>
      <c r="G12">
        <v>-1.2394341</v>
      </c>
      <c r="H12">
        <v>-1.0774269999999999</v>
      </c>
      <c r="I12">
        <v>-0.89844970000000002</v>
      </c>
      <c r="J12">
        <v>-0.7932013</v>
      </c>
      <c r="K12">
        <v>-0.71051599999999993</v>
      </c>
      <c r="L12">
        <v>-0.67036919999999989</v>
      </c>
      <c r="M12">
        <v>-0.62296409999999991</v>
      </c>
      <c r="N12">
        <v>-0.58432209999999996</v>
      </c>
      <c r="O12">
        <v>-0.53630370000000005</v>
      </c>
      <c r="P12">
        <v>-0.49049670000000001</v>
      </c>
      <c r="Q12">
        <v>-0.46560500000000005</v>
      </c>
      <c r="R12">
        <v>-0.45242290000000007</v>
      </c>
      <c r="S12">
        <v>-0.4125318</v>
      </c>
      <c r="T12">
        <v>-0.38699800000000006</v>
      </c>
      <c r="U12">
        <v>-0.38515670000000002</v>
      </c>
    </row>
    <row r="13" spans="1:24">
      <c r="A13" t="s">
        <v>10</v>
      </c>
      <c r="B13">
        <v>-10.567741</v>
      </c>
      <c r="C13">
        <v>-6.1987779999999999</v>
      </c>
      <c r="D13">
        <v>-3.5229360000000005</v>
      </c>
      <c r="E13">
        <v>-2.3437207</v>
      </c>
      <c r="F13">
        <v>-1.7360639999999998</v>
      </c>
      <c r="G13">
        <v>-1.3553951</v>
      </c>
      <c r="H13">
        <v>-1.0830270999999998</v>
      </c>
      <c r="I13">
        <v>-0.90171349999999995</v>
      </c>
      <c r="J13">
        <v>-0.7905932</v>
      </c>
      <c r="K13">
        <v>-0.72166920000000001</v>
      </c>
      <c r="L13">
        <v>-0.6565976</v>
      </c>
      <c r="M13">
        <v>-0.61376850000000005</v>
      </c>
      <c r="N13">
        <v>-0.56705559999999999</v>
      </c>
      <c r="O13">
        <v>-0.53513189999999999</v>
      </c>
      <c r="P13">
        <v>-0.47540390000000005</v>
      </c>
      <c r="Q13">
        <v>-0.4544724</v>
      </c>
      <c r="R13">
        <v>-0.42004850000000005</v>
      </c>
      <c r="S13">
        <v>-0.39691339999999997</v>
      </c>
      <c r="T13">
        <v>-0.38110769999999999</v>
      </c>
      <c r="U13">
        <v>-0.3556381999999999</v>
      </c>
    </row>
    <row r="14" spans="1:24">
      <c r="A14" t="s">
        <v>11</v>
      </c>
      <c r="B14">
        <v>-9.5976309999999998</v>
      </c>
      <c r="C14">
        <v>-5.103116</v>
      </c>
      <c r="D14">
        <v>-2.5911719999999994</v>
      </c>
      <c r="E14">
        <v>-1.5660650000000003</v>
      </c>
      <c r="F14">
        <v>-1.1560010000000001</v>
      </c>
      <c r="G14">
        <v>-0.86720980000000003</v>
      </c>
      <c r="H14">
        <v>-0.68445739999999999</v>
      </c>
      <c r="I14">
        <v>-0.55843110000000007</v>
      </c>
      <c r="J14">
        <v>-0.45671950000000006</v>
      </c>
      <c r="K14">
        <v>-0.42447800000000002</v>
      </c>
      <c r="L14">
        <v>-0.40002690000000002</v>
      </c>
      <c r="M14">
        <v>-0.35988049999999999</v>
      </c>
      <c r="N14">
        <v>-0.32755020000000001</v>
      </c>
      <c r="O14">
        <v>-0.29654770000000003</v>
      </c>
      <c r="P14">
        <v>-0.24239419999999995</v>
      </c>
      <c r="Q14">
        <v>-0.25249159999999998</v>
      </c>
      <c r="R14">
        <v>-0.24988519999999997</v>
      </c>
      <c r="S14">
        <v>-0.25137419999999994</v>
      </c>
      <c r="T14">
        <v>-0.25521839999999996</v>
      </c>
      <c r="U14">
        <v>-0.23869679999999999</v>
      </c>
    </row>
    <row r="15" spans="1:24">
      <c r="A15" t="s">
        <v>12</v>
      </c>
      <c r="B15">
        <v>-16.807871999999996</v>
      </c>
      <c r="C15">
        <v>-10.008221000000001</v>
      </c>
      <c r="D15">
        <v>-5.3520830000000004</v>
      </c>
      <c r="E15">
        <v>-3.2283519999999997</v>
      </c>
      <c r="F15">
        <v>-2.3611890000000004</v>
      </c>
      <c r="G15">
        <v>-1.835467</v>
      </c>
      <c r="H15">
        <v>-1.471034</v>
      </c>
      <c r="I15">
        <v>-1.2636180000000001</v>
      </c>
      <c r="J15">
        <v>-1.0525690000000001</v>
      </c>
      <c r="K15">
        <v>-0.92852300000000021</v>
      </c>
      <c r="L15">
        <v>-0.80718600000000018</v>
      </c>
      <c r="M15">
        <v>-0.66313400000000011</v>
      </c>
      <c r="N15">
        <v>-0.60478499999999991</v>
      </c>
      <c r="O15">
        <v>-0.62721300000000002</v>
      </c>
      <c r="P15">
        <v>-0.54948100000000011</v>
      </c>
      <c r="Q15">
        <v>-0.55914500000000011</v>
      </c>
      <c r="R15">
        <v>-0.49594420000000006</v>
      </c>
      <c r="S15">
        <v>-0.44427900000000009</v>
      </c>
      <c r="T15">
        <v>-0.41760280000000005</v>
      </c>
      <c r="U15">
        <v>-0.37191269999999998</v>
      </c>
    </row>
    <row r="16" spans="1:24">
      <c r="A16" t="s">
        <v>13</v>
      </c>
      <c r="B16">
        <v>-23.321916999999999</v>
      </c>
      <c r="C16">
        <v>-12.804069</v>
      </c>
      <c r="D16">
        <v>-6.3965779999999999</v>
      </c>
      <c r="E16">
        <v>-3.9170590000000001</v>
      </c>
      <c r="F16">
        <v>-2.7802229999999999</v>
      </c>
      <c r="G16">
        <v>-2.017166</v>
      </c>
      <c r="H16">
        <v>-1.5636749999999999</v>
      </c>
      <c r="I16">
        <v>-1.2811189999999999</v>
      </c>
      <c r="J16">
        <v>-1.095996</v>
      </c>
      <c r="K16">
        <v>-0.89666500000000005</v>
      </c>
      <c r="L16">
        <v>-0.78132600000000019</v>
      </c>
      <c r="M16">
        <v>-0.66592699999999994</v>
      </c>
      <c r="N16">
        <v>-0.61899080000000006</v>
      </c>
      <c r="O16">
        <v>-0.5783465000000001</v>
      </c>
      <c r="P16">
        <v>-0.55166340000000003</v>
      </c>
      <c r="Q16">
        <v>-0.46026310000000004</v>
      </c>
      <c r="R16">
        <v>-0.40756610000000004</v>
      </c>
      <c r="S16">
        <v>-0.39267130000000006</v>
      </c>
      <c r="T16">
        <v>-0.38119600000000009</v>
      </c>
      <c r="U16">
        <v>-0.4013504</v>
      </c>
    </row>
    <row r="17" spans="1:21">
      <c r="A17" t="s">
        <v>14</v>
      </c>
      <c r="B17">
        <v>-24.436512</v>
      </c>
      <c r="C17">
        <v>-13.046405999999998</v>
      </c>
      <c r="D17">
        <v>-6.4422719999999991</v>
      </c>
      <c r="E17">
        <v>-4.0657150000000009</v>
      </c>
      <c r="F17">
        <v>-2.8341669999999994</v>
      </c>
      <c r="G17">
        <v>-2.1203019999999997</v>
      </c>
      <c r="H17">
        <v>-1.7341679999999999</v>
      </c>
      <c r="I17">
        <v>-1.3891090000000001</v>
      </c>
      <c r="J17">
        <v>-1.184571</v>
      </c>
      <c r="K17">
        <v>-1.0736670000000001</v>
      </c>
      <c r="L17">
        <v>-0.93573039999999996</v>
      </c>
      <c r="M17">
        <v>-0.85444890000000007</v>
      </c>
      <c r="N17">
        <v>-0.76293279999999986</v>
      </c>
      <c r="O17">
        <v>-0.65876039999999991</v>
      </c>
      <c r="P17">
        <v>-0.64951510000000001</v>
      </c>
      <c r="Q17">
        <v>-0.61018200000000011</v>
      </c>
      <c r="R17">
        <v>-0.54171039999999993</v>
      </c>
      <c r="S17">
        <v>-0.52225259999999984</v>
      </c>
      <c r="T17">
        <v>-0.49699589999999993</v>
      </c>
      <c r="U17">
        <v>-0.46910569999999996</v>
      </c>
    </row>
    <row r="18" spans="1:21">
      <c r="A18" t="s">
        <v>15</v>
      </c>
      <c r="B18">
        <v>-22.871687000000001</v>
      </c>
      <c r="C18">
        <v>-11.741053000000001</v>
      </c>
      <c r="D18">
        <v>-5.5348230000000003</v>
      </c>
      <c r="E18">
        <v>-3.3768329999999995</v>
      </c>
      <c r="F18">
        <v>-2.2376819999999995</v>
      </c>
      <c r="G18">
        <v>-1.6918259999999998</v>
      </c>
      <c r="H18">
        <v>-1.307669</v>
      </c>
      <c r="I18">
        <v>-1.1516230000000001</v>
      </c>
      <c r="J18">
        <v>-0.98535400000000006</v>
      </c>
      <c r="K18">
        <v>-0.87833999999999968</v>
      </c>
      <c r="L18">
        <v>-0.751695</v>
      </c>
      <c r="M18">
        <v>-0.67513500000000004</v>
      </c>
      <c r="N18">
        <v>-0.55563040000000008</v>
      </c>
      <c r="O18">
        <v>-0.50888489999999997</v>
      </c>
      <c r="P18">
        <v>-0.52035399999999998</v>
      </c>
      <c r="Q18">
        <v>-0.48190710000000003</v>
      </c>
      <c r="R18">
        <v>-0.44571819999999995</v>
      </c>
      <c r="S18">
        <v>-0.44078859999999997</v>
      </c>
      <c r="T18">
        <v>-0.43638639999999995</v>
      </c>
      <c r="U18">
        <v>-0.42753920000000001</v>
      </c>
    </row>
    <row r="19" spans="1:21">
      <c r="A19" t="s">
        <v>16</v>
      </c>
      <c r="B19">
        <v>-35.808230000000002</v>
      </c>
      <c r="C19">
        <v>-21.296750000000003</v>
      </c>
      <c r="D19">
        <v>-10.998386999999999</v>
      </c>
      <c r="E19">
        <v>-6.8281409999999996</v>
      </c>
      <c r="F19">
        <v>-4.7334900000000006</v>
      </c>
      <c r="G19">
        <v>-3.452693</v>
      </c>
      <c r="H19">
        <v>-2.6141170000000002</v>
      </c>
      <c r="I19">
        <v>-2.1438510000000002</v>
      </c>
      <c r="J19">
        <v>-1.8413949999999994</v>
      </c>
      <c r="K19">
        <v>-1.5227360000000001</v>
      </c>
      <c r="L19">
        <v>-1.2865579999999999</v>
      </c>
      <c r="M19">
        <v>-1.1300430000000001</v>
      </c>
      <c r="N19">
        <v>-0.99463599999999985</v>
      </c>
      <c r="O19">
        <v>-0.90861300000000012</v>
      </c>
      <c r="P19">
        <v>-0.85161300000000018</v>
      </c>
      <c r="Q19">
        <v>-0.77340999999999993</v>
      </c>
      <c r="R19">
        <v>-0.75529499999999983</v>
      </c>
      <c r="S19">
        <v>-0.70019900000000002</v>
      </c>
      <c r="T19">
        <v>-0.67185499999999987</v>
      </c>
      <c r="U19">
        <v>-0.6275440000000001</v>
      </c>
    </row>
    <row r="20" spans="1:21">
      <c r="A20" t="s">
        <v>17</v>
      </c>
      <c r="B20">
        <v>-34.655349999999999</v>
      </c>
      <c r="C20">
        <v>-19.584660000000003</v>
      </c>
      <c r="D20">
        <v>-10.134259999999999</v>
      </c>
      <c r="E20">
        <v>-6.2807329999999997</v>
      </c>
      <c r="F20">
        <v>-4.2382289999999996</v>
      </c>
      <c r="G20">
        <v>-2.9403549999999994</v>
      </c>
      <c r="H20">
        <v>-2.2637140000000002</v>
      </c>
      <c r="I20">
        <v>-1.7188749999999997</v>
      </c>
      <c r="J20">
        <v>-1.329577</v>
      </c>
      <c r="K20">
        <v>-1.1706270000000001</v>
      </c>
      <c r="L20">
        <v>-1.0683790000000002</v>
      </c>
      <c r="M20">
        <v>-0.84278999999999993</v>
      </c>
      <c r="N20">
        <v>-0.75069099999999978</v>
      </c>
      <c r="O20">
        <v>-0.67813100000000004</v>
      </c>
      <c r="P20">
        <v>-0.57237000000000005</v>
      </c>
      <c r="Q20">
        <v>-0.49091600000000013</v>
      </c>
      <c r="R20">
        <v>-0.45818800000000026</v>
      </c>
      <c r="S20">
        <v>-0.40893200000000007</v>
      </c>
      <c r="T20">
        <v>-0.36289499999999997</v>
      </c>
      <c r="U20">
        <v>-0.34689899999999985</v>
      </c>
    </row>
    <row r="21" spans="1:21">
      <c r="A21" t="s">
        <v>18</v>
      </c>
      <c r="B21">
        <v>-34.794849999999997</v>
      </c>
      <c r="C21">
        <v>-19.831969999999998</v>
      </c>
      <c r="D21">
        <v>-10.313089999999999</v>
      </c>
      <c r="E21">
        <v>-6.3647180000000008</v>
      </c>
      <c r="F21">
        <v>-4.364533999999999</v>
      </c>
      <c r="G21">
        <v>-2.9453230000000001</v>
      </c>
      <c r="H21">
        <v>-2.3600089999999994</v>
      </c>
      <c r="I21">
        <v>-1.8225569999999998</v>
      </c>
      <c r="J21">
        <v>-1.4945540000000004</v>
      </c>
      <c r="K21">
        <v>-1.1776790000000004</v>
      </c>
      <c r="L21">
        <v>-0.99253100000000005</v>
      </c>
      <c r="M21">
        <v>-0.85095600000000005</v>
      </c>
      <c r="N21">
        <v>-0.79615800000000014</v>
      </c>
      <c r="O21">
        <v>-0.69104699999999997</v>
      </c>
      <c r="P21">
        <v>-0.59224299999999985</v>
      </c>
      <c r="Q21">
        <v>-0.55245499999999992</v>
      </c>
      <c r="R21">
        <v>-0.49083900000000003</v>
      </c>
      <c r="S21">
        <v>-0.457673</v>
      </c>
      <c r="T21">
        <v>-0.40506299999999995</v>
      </c>
      <c r="U21">
        <v>-0.32501100000000016</v>
      </c>
    </row>
    <row r="22" spans="1:21">
      <c r="A22" t="s">
        <v>19</v>
      </c>
      <c r="B22">
        <v>-36.449280000000002</v>
      </c>
      <c r="C22">
        <v>-21.620530000000002</v>
      </c>
      <c r="D22">
        <v>-11.642248999999998</v>
      </c>
      <c r="E22">
        <v>-7.5007930000000007</v>
      </c>
      <c r="F22">
        <v>-5.2458300000000007</v>
      </c>
      <c r="G22">
        <v>-3.9017330000000001</v>
      </c>
      <c r="H22">
        <v>-3.0134389999999995</v>
      </c>
      <c r="I22">
        <v>-2.4454390000000004</v>
      </c>
      <c r="J22">
        <v>-1.924569</v>
      </c>
      <c r="K22">
        <v>-1.621683</v>
      </c>
      <c r="L22">
        <v>-1.2929729999999999</v>
      </c>
      <c r="M22">
        <v>-1.2143400000000002</v>
      </c>
      <c r="N22">
        <v>-1.0820639999999999</v>
      </c>
      <c r="O22">
        <v>-0.92947700000000011</v>
      </c>
      <c r="P22">
        <v>-0.80176300000000023</v>
      </c>
      <c r="Q22">
        <v>-0.72693700000000017</v>
      </c>
      <c r="R22">
        <v>-0.63229399999999991</v>
      </c>
      <c r="S22">
        <v>-0.58587900000000004</v>
      </c>
      <c r="T22">
        <v>-0.5202380000000002</v>
      </c>
      <c r="U22">
        <v>-0.48180999999999985</v>
      </c>
    </row>
    <row r="23" spans="1:21">
      <c r="A23" t="s">
        <v>20</v>
      </c>
      <c r="B23">
        <v>-35.063720000000004</v>
      </c>
      <c r="C23">
        <v>-20.110379999999999</v>
      </c>
      <c r="D23">
        <v>-10.472548999999999</v>
      </c>
      <c r="E23">
        <v>-6.4902489999999995</v>
      </c>
      <c r="F23">
        <v>-4.419486</v>
      </c>
      <c r="G23">
        <v>-3.0764179999999994</v>
      </c>
      <c r="H23">
        <v>-2.3596289999999995</v>
      </c>
      <c r="I23">
        <v>-1.8805319999999996</v>
      </c>
      <c r="J23">
        <v>-1.4619699999999995</v>
      </c>
      <c r="K23">
        <v>-1.2259759999999997</v>
      </c>
      <c r="L23">
        <v>-1.0596179999999999</v>
      </c>
      <c r="M23">
        <v>-0.89881399999999978</v>
      </c>
      <c r="N23">
        <v>-0.79814100000000021</v>
      </c>
      <c r="O23">
        <v>-0.66424299999999969</v>
      </c>
      <c r="P23">
        <v>-0.56020200000000009</v>
      </c>
      <c r="Q23">
        <v>-0.5075550000000002</v>
      </c>
      <c r="R23">
        <v>-0.44077100000000002</v>
      </c>
      <c r="S23">
        <v>-0.42892399999999986</v>
      </c>
      <c r="T23">
        <v>-0.35819000000000001</v>
      </c>
      <c r="U23">
        <v>-0.31269199999999997</v>
      </c>
    </row>
    <row r="24" spans="1:21">
      <c r="A24" t="s">
        <v>21</v>
      </c>
      <c r="B24">
        <v>-35.589030000000008</v>
      </c>
      <c r="C24">
        <v>-21.085760000000001</v>
      </c>
      <c r="D24">
        <v>-11.026238000000001</v>
      </c>
      <c r="E24">
        <v>-7.0276839999999998</v>
      </c>
      <c r="F24">
        <v>-4.9382390000000003</v>
      </c>
      <c r="G24">
        <v>-3.3794550000000001</v>
      </c>
      <c r="H24">
        <v>-2.5451670000000002</v>
      </c>
      <c r="I24">
        <v>-1.8876679999999997</v>
      </c>
      <c r="J24">
        <v>-1.631507</v>
      </c>
      <c r="K24">
        <v>-1.3977759999999999</v>
      </c>
      <c r="L24">
        <v>-1.173244</v>
      </c>
      <c r="M24">
        <v>-1.0209339999999998</v>
      </c>
      <c r="N24">
        <v>-0.93011000000000021</v>
      </c>
      <c r="O24">
        <v>-0.818608</v>
      </c>
      <c r="P24">
        <v>-0.78687300000000016</v>
      </c>
      <c r="Q24">
        <v>-0.71239600000000003</v>
      </c>
      <c r="R24">
        <v>-0.62015799999999999</v>
      </c>
      <c r="S24">
        <v>-0.56202900000000011</v>
      </c>
      <c r="T24">
        <v>-0.52106000000000008</v>
      </c>
      <c r="U24">
        <v>-0.4937720000000001</v>
      </c>
    </row>
    <row r="25" spans="1:21">
      <c r="A25" t="s">
        <v>34</v>
      </c>
      <c r="B25">
        <v>-35.042019999999994</v>
      </c>
      <c r="C25">
        <v>-20.236809999999998</v>
      </c>
      <c r="D25">
        <v>-10.484990999999999</v>
      </c>
      <c r="E25">
        <v>-6.40306</v>
      </c>
      <c r="F25">
        <v>-4.3496319999999997</v>
      </c>
      <c r="G25">
        <v>-3.0788869999999999</v>
      </c>
      <c r="H25">
        <v>-2.3500670000000001</v>
      </c>
      <c r="I25">
        <v>-1.9264560000000004</v>
      </c>
      <c r="J25">
        <v>-1.4785340000000002</v>
      </c>
      <c r="K25">
        <v>-1.1806200000000002</v>
      </c>
      <c r="L25">
        <v>-0.96034100000000011</v>
      </c>
      <c r="M25">
        <v>-0.79755799999999999</v>
      </c>
      <c r="N25">
        <v>-0.67699099999999968</v>
      </c>
      <c r="O25">
        <v>-0.62869299999999995</v>
      </c>
      <c r="P25">
        <v>-0.60658999999999996</v>
      </c>
      <c r="Q25">
        <v>-0.59653200000000006</v>
      </c>
      <c r="R25">
        <v>-0.48811099999999974</v>
      </c>
      <c r="S25">
        <v>-0.47373100000000012</v>
      </c>
      <c r="T25">
        <v>-0.40003900000000003</v>
      </c>
      <c r="U25">
        <v>-0.32309799999999989</v>
      </c>
    </row>
    <row r="26" spans="1:21">
      <c r="A26" t="s">
        <v>22</v>
      </c>
      <c r="B26">
        <v>-42.310119999999998</v>
      </c>
      <c r="C26">
        <v>-20.663450000000001</v>
      </c>
      <c r="D26">
        <v>-9.1235330000000019</v>
      </c>
      <c r="E26">
        <v>-4.9994919999999992</v>
      </c>
      <c r="F26">
        <v>-3.0246589999999998</v>
      </c>
      <c r="G26">
        <v>-1.9116629999999999</v>
      </c>
      <c r="H26">
        <v>-1.3619350000000003</v>
      </c>
      <c r="I26">
        <v>-0.98843100000000028</v>
      </c>
      <c r="J26">
        <v>-0.59095699999999995</v>
      </c>
      <c r="K26">
        <v>-0.47411300000000001</v>
      </c>
      <c r="L26">
        <v>-0.34974000000000016</v>
      </c>
      <c r="M26">
        <v>-0.22094299999999989</v>
      </c>
      <c r="N26">
        <v>-0.23580600000000018</v>
      </c>
      <c r="O26">
        <v>-0.17471100000000006</v>
      </c>
      <c r="P26">
        <v>-0.12150000000000016</v>
      </c>
      <c r="Q26">
        <v>-9.199999999999986E-2</v>
      </c>
      <c r="R26">
        <v>-8.9338999999999835E-2</v>
      </c>
      <c r="S26">
        <v>-3.6273E-2</v>
      </c>
      <c r="T26">
        <v>-1.7577999999999872E-2</v>
      </c>
      <c r="U26">
        <v>-2.6998999999999995E-2</v>
      </c>
    </row>
    <row r="27" spans="1:21">
      <c r="A27" t="s">
        <v>23</v>
      </c>
      <c r="B27">
        <v>-35.783640000000005</v>
      </c>
      <c r="C27">
        <v>-21.40896</v>
      </c>
      <c r="D27">
        <v>-11.836955</v>
      </c>
      <c r="E27">
        <v>-7.9151669999999994</v>
      </c>
      <c r="F27">
        <v>-5.6356230000000007</v>
      </c>
      <c r="G27">
        <v>-4.2484599999999997</v>
      </c>
      <c r="H27">
        <v>-3.1915399999999998</v>
      </c>
      <c r="I27">
        <v>-2.5885720000000001</v>
      </c>
      <c r="J27">
        <v>-2.1545350000000005</v>
      </c>
      <c r="K27">
        <v>-1.8069209999999996</v>
      </c>
      <c r="L27">
        <v>-1.5778530000000002</v>
      </c>
      <c r="M27">
        <v>-1.2943030000000002</v>
      </c>
      <c r="N27">
        <v>-1.078743</v>
      </c>
      <c r="O27">
        <v>-0.94581300000000024</v>
      </c>
      <c r="P27">
        <v>-0.90238499999999999</v>
      </c>
      <c r="Q27">
        <v>-0.85860599999999998</v>
      </c>
      <c r="R27">
        <v>-0.79268399999999994</v>
      </c>
      <c r="S27">
        <v>-0.73428300000000002</v>
      </c>
      <c r="T27">
        <v>-0.67295299999999991</v>
      </c>
      <c r="U27">
        <v>-0.611097</v>
      </c>
    </row>
    <row r="28" spans="1:21">
      <c r="A28" t="s">
        <v>24</v>
      </c>
      <c r="B28">
        <v>-35.331199999999995</v>
      </c>
      <c r="C28">
        <v>-20.46096</v>
      </c>
      <c r="D28">
        <v>-10.592530000000002</v>
      </c>
      <c r="E28">
        <v>-6.5319789999999998</v>
      </c>
      <c r="F28">
        <v>-4.4887360000000003</v>
      </c>
      <c r="G28">
        <v>-3.1181030000000005</v>
      </c>
      <c r="H28">
        <v>-2.28295</v>
      </c>
      <c r="I28">
        <v>-1.755293</v>
      </c>
      <c r="J28">
        <v>-1.3577780000000002</v>
      </c>
      <c r="K28">
        <v>-1.0241179999999996</v>
      </c>
      <c r="L28">
        <v>-0.90476100000000015</v>
      </c>
      <c r="M28">
        <v>-0.76452299999999962</v>
      </c>
      <c r="N28">
        <v>-0.66638000000000019</v>
      </c>
      <c r="O28">
        <v>-0.57883899999999988</v>
      </c>
      <c r="P28">
        <v>-0.50740100000000021</v>
      </c>
      <c r="Q28">
        <v>-0.51795599999999986</v>
      </c>
      <c r="R28">
        <v>-0.45866600000000002</v>
      </c>
      <c r="S28">
        <v>-0.41082099999999988</v>
      </c>
      <c r="T28">
        <v>-0.37430999999999992</v>
      </c>
      <c r="U28">
        <v>-0.31614600000000004</v>
      </c>
    </row>
    <row r="29" spans="1:21">
      <c r="A29" t="s">
        <v>25</v>
      </c>
      <c r="B29">
        <v>-37.121289999999995</v>
      </c>
      <c r="C29">
        <v>-22.021709999999999</v>
      </c>
      <c r="D29">
        <v>-11.767650000000001</v>
      </c>
      <c r="E29">
        <v>-7.8931079999999998</v>
      </c>
      <c r="F29">
        <v>-5.3529449999999992</v>
      </c>
      <c r="G29">
        <v>-3.901205</v>
      </c>
      <c r="H29">
        <v>-3.0097710000000002</v>
      </c>
      <c r="I29">
        <v>-2.3784530000000004</v>
      </c>
      <c r="J29">
        <v>-1.9722809999999997</v>
      </c>
      <c r="K29">
        <v>-1.7373769999999995</v>
      </c>
      <c r="L29">
        <v>-1.4551450000000004</v>
      </c>
      <c r="M29">
        <v>-1.367559</v>
      </c>
      <c r="N29">
        <v>-1.2727329999999999</v>
      </c>
      <c r="O29">
        <v>-1.1968279999999998</v>
      </c>
      <c r="P29">
        <v>-1.1244609999999999</v>
      </c>
      <c r="Q29">
        <v>-1.0322520000000002</v>
      </c>
      <c r="R29">
        <v>-0.92773099999999986</v>
      </c>
      <c r="S29">
        <v>-0.89321899999999976</v>
      </c>
      <c r="T29">
        <v>-0.80276800000000015</v>
      </c>
      <c r="U29">
        <v>-0.71122799999999997</v>
      </c>
    </row>
    <row r="30" spans="1:21">
      <c r="A30" t="s">
        <v>26</v>
      </c>
      <c r="B30">
        <v>-46.616630000000001</v>
      </c>
      <c r="C30">
        <v>-29.529324999999996</v>
      </c>
      <c r="D30">
        <v>-17.601900000000001</v>
      </c>
      <c r="E30">
        <v>-12.381586</v>
      </c>
      <c r="F30">
        <v>-9.1366410000000009</v>
      </c>
      <c r="G30">
        <v>-7.0276969999999999</v>
      </c>
      <c r="H30">
        <v>-5.704383</v>
      </c>
      <c r="I30">
        <v>-4.752796</v>
      </c>
      <c r="J30">
        <v>-4.0090639999999995</v>
      </c>
      <c r="K30">
        <v>-3.4033579999999999</v>
      </c>
      <c r="L30">
        <v>-2.9781812000000003</v>
      </c>
      <c r="M30">
        <v>-2.7325606000000002</v>
      </c>
      <c r="N30">
        <v>-2.4475169000000001</v>
      </c>
      <c r="O30">
        <v>-2.314381</v>
      </c>
      <c r="P30">
        <v>-2.1534631000000002</v>
      </c>
      <c r="Q30">
        <v>-2.0191632999999998</v>
      </c>
      <c r="R30">
        <v>-1.8575714999999997</v>
      </c>
      <c r="S30">
        <v>-1.7098643</v>
      </c>
      <c r="T30">
        <v>-1.5967407</v>
      </c>
      <c r="U30">
        <v>-1.4810184</v>
      </c>
    </row>
    <row r="31" spans="1:21">
      <c r="A31" t="s">
        <v>27</v>
      </c>
      <c r="B31">
        <v>-44.614600000000003</v>
      </c>
      <c r="C31">
        <v>-27.152100000000001</v>
      </c>
      <c r="D31">
        <v>-16.026139999999998</v>
      </c>
      <c r="E31">
        <v>-10.953377999999999</v>
      </c>
      <c r="F31">
        <v>-7.8930880000000005</v>
      </c>
      <c r="G31">
        <v>-5.7336349999999996</v>
      </c>
      <c r="H31">
        <v>-4.4073200000000003</v>
      </c>
      <c r="I31">
        <v>-3.4682550000000001</v>
      </c>
      <c r="J31">
        <v>-2.8489970000000002</v>
      </c>
      <c r="K31">
        <v>-2.4220040000000003</v>
      </c>
      <c r="L31">
        <v>-2.0382540000000002</v>
      </c>
      <c r="M31">
        <v>-1.6962470000000001</v>
      </c>
      <c r="N31">
        <v>-1.4947449999999998</v>
      </c>
      <c r="O31">
        <v>-1.3801599999999998</v>
      </c>
      <c r="P31">
        <v>-1.2258199999999999</v>
      </c>
      <c r="Q31">
        <v>-1.1492799999999999</v>
      </c>
      <c r="R31">
        <v>-1.032851</v>
      </c>
      <c r="S31">
        <v>-0.99652799999999986</v>
      </c>
      <c r="T31">
        <v>-0.93240100000000004</v>
      </c>
      <c r="U31">
        <v>-0.88944099999999993</v>
      </c>
    </row>
    <row r="32" spans="1:21">
      <c r="A32" t="s">
        <v>28</v>
      </c>
      <c r="B32">
        <v>-56.195619999999998</v>
      </c>
      <c r="C32">
        <v>-31.205600000000004</v>
      </c>
      <c r="D32">
        <v>-15.983092000000001</v>
      </c>
      <c r="E32">
        <v>-9.9680080000000011</v>
      </c>
      <c r="F32">
        <v>-6.6585740000000007</v>
      </c>
      <c r="G32">
        <v>-5.1712629999999997</v>
      </c>
      <c r="H32">
        <v>-3.9986480000000002</v>
      </c>
      <c r="I32">
        <v>-3.1311789999999995</v>
      </c>
      <c r="J32">
        <v>-2.6629229999999997</v>
      </c>
      <c r="K32">
        <v>-2.2589160000000001</v>
      </c>
      <c r="L32">
        <v>-1.945441</v>
      </c>
      <c r="M32">
        <v>-1.6962189999999999</v>
      </c>
      <c r="N32">
        <v>-1.5338299999999998</v>
      </c>
      <c r="O32">
        <v>-1.3668149999999999</v>
      </c>
      <c r="P32">
        <v>-1.2256399999999998</v>
      </c>
      <c r="Q32">
        <v>-1.0582579999999999</v>
      </c>
      <c r="R32">
        <v>-0.90997300000000014</v>
      </c>
      <c r="S32">
        <v>-0.85959800000000008</v>
      </c>
      <c r="T32">
        <v>-0.83913179999999998</v>
      </c>
      <c r="U32">
        <v>-0.74905140000000003</v>
      </c>
    </row>
    <row r="33" spans="1:21">
      <c r="A33" t="s">
        <v>29</v>
      </c>
      <c r="B33">
        <v>-55.704879999999996</v>
      </c>
      <c r="C33">
        <v>-29.596880000000006</v>
      </c>
      <c r="D33">
        <v>-14.998115000000002</v>
      </c>
      <c r="E33">
        <v>-9.3269219999999997</v>
      </c>
      <c r="F33">
        <v>-6.8595639999999989</v>
      </c>
      <c r="G33">
        <v>-5.1557660000000007</v>
      </c>
      <c r="H33">
        <v>-4.0312660000000005</v>
      </c>
      <c r="I33">
        <v>-3.1815979999999997</v>
      </c>
      <c r="J33">
        <v>-2.6629680000000002</v>
      </c>
      <c r="K33">
        <v>-2.2358199999999995</v>
      </c>
      <c r="L33">
        <v>-1.8997279999999999</v>
      </c>
      <c r="M33">
        <v>-1.6251200000000001</v>
      </c>
      <c r="N33">
        <v>-1.456156</v>
      </c>
      <c r="O33">
        <v>-1.3000290000000001</v>
      </c>
      <c r="P33">
        <v>-1.1614260000000001</v>
      </c>
      <c r="Q33">
        <v>-1.1094980000000001</v>
      </c>
      <c r="R33">
        <v>-0.99927199999999972</v>
      </c>
      <c r="S33">
        <v>-0.90133829999999993</v>
      </c>
      <c r="T33">
        <v>-0.82080880000000012</v>
      </c>
      <c r="U33">
        <v>-0.7358652</v>
      </c>
    </row>
    <row r="34" spans="1:21">
      <c r="A34" t="s">
        <v>30</v>
      </c>
      <c r="B34">
        <v>-55.217849999999999</v>
      </c>
      <c r="C34">
        <v>-29.092590000000001</v>
      </c>
      <c r="D34">
        <v>-15.080055999999999</v>
      </c>
      <c r="E34">
        <v>-9.4582520000000017</v>
      </c>
      <c r="F34">
        <v>-6.7916690000000006</v>
      </c>
      <c r="G34">
        <v>-5.1309559999999994</v>
      </c>
      <c r="H34">
        <v>-4.0400500000000008</v>
      </c>
      <c r="I34">
        <v>-3.3464960000000001</v>
      </c>
      <c r="J34">
        <v>-2.771299</v>
      </c>
      <c r="K34">
        <v>-2.2458179999999999</v>
      </c>
      <c r="L34">
        <v>-1.8948430000000003</v>
      </c>
      <c r="M34">
        <v>-1.7022980000000001</v>
      </c>
      <c r="N34">
        <v>-1.4861989999999998</v>
      </c>
      <c r="O34">
        <v>-1.3160989999999999</v>
      </c>
      <c r="P34">
        <v>-1.16455</v>
      </c>
      <c r="Q34">
        <v>-1.0583280000000002</v>
      </c>
      <c r="R34">
        <v>-0.94858399999999987</v>
      </c>
      <c r="S34">
        <v>-0.92215670000000005</v>
      </c>
      <c r="T34">
        <v>-0.86776210000000009</v>
      </c>
      <c r="U34">
        <v>-0.8101448</v>
      </c>
    </row>
    <row r="35" spans="1:21">
      <c r="A35" t="s">
        <v>31</v>
      </c>
      <c r="B35">
        <v>-94.958930000000009</v>
      </c>
      <c r="C35">
        <v>-60.431359999999998</v>
      </c>
      <c r="D35">
        <v>-34.081509999999994</v>
      </c>
      <c r="E35">
        <v>-21.980559999999997</v>
      </c>
      <c r="F35">
        <v>-15.543125</v>
      </c>
      <c r="G35">
        <v>-11.677430000000001</v>
      </c>
      <c r="H35">
        <v>-8.6986929999999987</v>
      </c>
      <c r="I35">
        <v>-6.9479569999999988</v>
      </c>
      <c r="J35">
        <v>-5.4880819999999995</v>
      </c>
      <c r="K35">
        <v>-4.6149640000000005</v>
      </c>
      <c r="L35">
        <v>-4.0293539999999997</v>
      </c>
      <c r="M35">
        <v>-3.6535610000000003</v>
      </c>
      <c r="N35">
        <v>-3.2633849999999995</v>
      </c>
      <c r="O35">
        <v>-2.9156310000000003</v>
      </c>
      <c r="P35">
        <v>-2.6091350000000002</v>
      </c>
      <c r="Q35">
        <v>-2.4056149999999996</v>
      </c>
      <c r="R35">
        <v>-2.2045769999999996</v>
      </c>
      <c r="S35">
        <v>-1.9478080000000002</v>
      </c>
      <c r="T35">
        <v>-1.7648149999999998</v>
      </c>
      <c r="U35">
        <v>-1.5851749999999998</v>
      </c>
    </row>
    <row r="36" spans="1:21">
      <c r="A36" t="s">
        <v>32</v>
      </c>
      <c r="B36">
        <v>-102.0936</v>
      </c>
      <c r="C36">
        <v>-63.812110000000004</v>
      </c>
      <c r="D36">
        <v>-35.947560000000003</v>
      </c>
      <c r="E36">
        <v>-23.302690000000005</v>
      </c>
      <c r="F36">
        <v>-16.358909999999998</v>
      </c>
      <c r="G36">
        <v>-12.065298</v>
      </c>
      <c r="H36">
        <v>-9.2579439999999984</v>
      </c>
      <c r="I36">
        <v>-7.3331720000000002</v>
      </c>
      <c r="J36">
        <v>-6.2537859999999998</v>
      </c>
      <c r="K36">
        <v>-5.1620650000000001</v>
      </c>
      <c r="L36">
        <v>-4.4636570000000004</v>
      </c>
      <c r="M36">
        <v>-3.9703910000000002</v>
      </c>
      <c r="N36">
        <v>-3.4163019999999995</v>
      </c>
      <c r="O36">
        <v>-3.140965</v>
      </c>
      <c r="P36">
        <v>-2.9429299999999996</v>
      </c>
      <c r="Q36">
        <v>-2.7152830000000003</v>
      </c>
      <c r="R36">
        <v>-2.5813730000000001</v>
      </c>
      <c r="S36">
        <v>-2.3819600000000003</v>
      </c>
      <c r="T36">
        <v>-2.1992180000000001</v>
      </c>
      <c r="U36">
        <v>-2.0555900000000005</v>
      </c>
    </row>
    <row r="37" spans="1:21">
      <c r="A37" t="s">
        <v>33</v>
      </c>
      <c r="B37">
        <v>-94.496309999999994</v>
      </c>
      <c r="C37">
        <v>-57.176309999999994</v>
      </c>
      <c r="D37">
        <v>-29.612820000000003</v>
      </c>
      <c r="E37">
        <v>-17.000180000000004</v>
      </c>
      <c r="F37">
        <v>-10.74757</v>
      </c>
      <c r="G37">
        <v>-7.1310500000000001</v>
      </c>
      <c r="H37">
        <v>-5.02895</v>
      </c>
      <c r="I37">
        <v>-3.8706129999999987</v>
      </c>
      <c r="J37">
        <v>-3.1671020000000007</v>
      </c>
      <c r="K37">
        <v>-2.5623960000000006</v>
      </c>
      <c r="L37">
        <v>-2.141489</v>
      </c>
      <c r="M37">
        <v>-1.9014900000000008</v>
      </c>
      <c r="N37">
        <v>-1.6830280000000002</v>
      </c>
      <c r="O37">
        <v>-1.5369509999999993</v>
      </c>
      <c r="P37">
        <v>-1.304532</v>
      </c>
      <c r="Q37">
        <v>-1.201489</v>
      </c>
      <c r="R37">
        <v>-1.1889629999999998</v>
      </c>
      <c r="S37">
        <v>-1.0799119999999998</v>
      </c>
      <c r="T37">
        <v>-0.8217080000000001</v>
      </c>
      <c r="U37">
        <v>-0.72190799999999999</v>
      </c>
    </row>
  </sheetData>
  <phoneticPr fontId="0" type="noConversion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17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"Chg_T_den _1.4A"</f>
        <v>Chg_T_den _1.4A</v>
      </c>
      <c r="C1" s="1" t="str">
        <f>"Chg_T_den _2A"</f>
        <v>Chg_T_den _2A</v>
      </c>
      <c r="D1" s="1" t="str">
        <f>"Chg_T_den _3A"</f>
        <v>Chg_T_den _3A</v>
      </c>
      <c r="E1" s="1" t="str">
        <f>"Chg_T_den _4A"</f>
        <v>Chg_T_den _4A</v>
      </c>
      <c r="F1" s="1" t="str">
        <f>"Chg_T_den _5A"</f>
        <v>Chg_T_den _5A</v>
      </c>
      <c r="G1" s="1" t="str">
        <f>"Chg_T_den _6A"</f>
        <v>Chg_T_den _6A</v>
      </c>
      <c r="H1" s="1" t="str">
        <f>"Chg_T_den _7A"</f>
        <v>Chg_T_den _7A</v>
      </c>
      <c r="I1" s="1" t="str">
        <f>"Chg_T_den _8A"</f>
        <v>Chg_T_den _8A</v>
      </c>
      <c r="J1" s="1" t="str">
        <f>"Chg_T_den _9A"</f>
        <v>Chg_T_den _9A</v>
      </c>
      <c r="K1" s="1" t="str">
        <f>"Chg_T_den _10A"</f>
        <v>Chg_T_den _10A</v>
      </c>
      <c r="L1" s="1" t="str">
        <f>"Chg_T_den _11A"</f>
        <v>Chg_T_den _11A</v>
      </c>
      <c r="M1" s="1" t="str">
        <f>"Chg_T_den _12A"</f>
        <v>Chg_T_den _12A</v>
      </c>
      <c r="N1" s="1" t="str">
        <f>"Chg_T_den _13A"</f>
        <v>Chg_T_den _13A</v>
      </c>
      <c r="O1" s="1" t="str">
        <f>"Chg_T_den _14A"</f>
        <v>Chg_T_den _14A</v>
      </c>
      <c r="P1" s="1" t="str">
        <f>"Chg_T_den _15A"</f>
        <v>Chg_T_den _15A</v>
      </c>
      <c r="Q1" s="1" t="str">
        <f>"Chg_T_den _16A"</f>
        <v>Chg_T_den _16A</v>
      </c>
      <c r="R1" s="1" t="str">
        <f>"Chg_T_den _17A"</f>
        <v>Chg_T_den _17A</v>
      </c>
      <c r="S1" s="1" t="str">
        <f>"Chg_T_den _18A"</f>
        <v>Chg_T_den _18A</v>
      </c>
      <c r="T1" s="1" t="str">
        <f>"Chg_T_den _19A"</f>
        <v>Chg_T_den _19A</v>
      </c>
      <c r="U1" s="1" t="str">
        <f>"Chg_T_den _20A"</f>
        <v>Chg_T_den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-5.3895618912778989E-3</v>
      </c>
      <c r="C3">
        <v>-5.0609282203873396E-3</v>
      </c>
      <c r="D3">
        <v>-4.7308077353781335E-3</v>
      </c>
      <c r="E3">
        <v>-4.2660176015657256E-3</v>
      </c>
      <c r="F3">
        <v>-4.248945673835108E-3</v>
      </c>
      <c r="G3">
        <v>-4.115526893905032E-3</v>
      </c>
      <c r="H3">
        <v>-3.8297120026572636E-3</v>
      </c>
      <c r="I3">
        <v>-3.7759797654040549E-3</v>
      </c>
      <c r="J3">
        <v>-3.5771618323791163E-3</v>
      </c>
      <c r="K3">
        <v>-3.3670253424510151E-3</v>
      </c>
      <c r="L3">
        <v>-3.5983618067420564E-3</v>
      </c>
      <c r="M3">
        <v>-3.6926540239838631E-3</v>
      </c>
      <c r="N3">
        <v>-3.5642742708893458E-3</v>
      </c>
      <c r="O3">
        <v>-3.4561709372628582E-3</v>
      </c>
      <c r="P3">
        <v>-3.4046334442031445E-3</v>
      </c>
      <c r="Q3">
        <v>-3.5446575397668004E-3</v>
      </c>
      <c r="R3">
        <v>-3.4754402523266845E-3</v>
      </c>
      <c r="S3">
        <v>-3.282318101748595E-3</v>
      </c>
      <c r="T3">
        <v>-3.2944695168222156E-3</v>
      </c>
      <c r="U3">
        <v>-2.9042568531445065E-3</v>
      </c>
    </row>
    <row r="4" spans="1:24">
      <c r="A4" t="s">
        <v>1</v>
      </c>
      <c r="B4">
        <v>-5.2978207860221102E-3</v>
      </c>
      <c r="C4">
        <v>-5.1614877961125754E-3</v>
      </c>
      <c r="D4">
        <v>-4.8271997145706682E-3</v>
      </c>
      <c r="E4">
        <v>-4.4992995024144755E-3</v>
      </c>
      <c r="F4">
        <v>-4.3679144010241068E-3</v>
      </c>
      <c r="G4">
        <v>-4.1787982328709422E-3</v>
      </c>
      <c r="H4">
        <v>-4.2702211829403463E-3</v>
      </c>
      <c r="I4">
        <v>-3.9913579541815064E-3</v>
      </c>
      <c r="J4">
        <v>-4.0768082074582246E-3</v>
      </c>
      <c r="K4">
        <v>-3.9973542709771876E-3</v>
      </c>
      <c r="L4">
        <v>-4.1856366163405467E-3</v>
      </c>
      <c r="M4">
        <v>-4.1383690224204191E-3</v>
      </c>
      <c r="N4">
        <v>-4.244569540613057E-3</v>
      </c>
      <c r="O4">
        <v>-4.1299315351222251E-3</v>
      </c>
      <c r="P4">
        <v>-4.1062305923947389E-3</v>
      </c>
      <c r="Q4">
        <v>-4.1618843410824854E-3</v>
      </c>
      <c r="R4">
        <v>-4.2233870308283584E-3</v>
      </c>
      <c r="S4">
        <v>-4.3138494753891012E-3</v>
      </c>
      <c r="T4">
        <v>-4.1930162787778662E-3</v>
      </c>
      <c r="U4">
        <v>-4.1926335593304295E-3</v>
      </c>
    </row>
    <row r="5" spans="1:24">
      <c r="A5" t="s">
        <v>2</v>
      </c>
      <c r="B5">
        <v>-5.8692334313297781E-3</v>
      </c>
      <c r="C5">
        <v>-5.8474023574023185E-3</v>
      </c>
      <c r="D5">
        <v>-5.8412266474004585E-3</v>
      </c>
      <c r="E5">
        <v>-5.7274817833346727E-3</v>
      </c>
      <c r="F5">
        <v>-5.7257446510705634E-3</v>
      </c>
      <c r="G5">
        <v>-5.4333168667953071E-3</v>
      </c>
      <c r="H5">
        <v>-5.0637570894841869E-3</v>
      </c>
      <c r="I5">
        <v>-4.8313397237443297E-3</v>
      </c>
      <c r="J5">
        <v>-4.854070518118302E-3</v>
      </c>
      <c r="K5">
        <v>-4.700420284885291E-3</v>
      </c>
      <c r="L5">
        <v>-4.6436727307211673E-3</v>
      </c>
      <c r="M5">
        <v>-4.566391399582064E-3</v>
      </c>
      <c r="N5">
        <v>-4.4639918031240703E-3</v>
      </c>
      <c r="O5">
        <v>-4.3625464849444094E-3</v>
      </c>
      <c r="P5">
        <v>-4.434503306666354E-3</v>
      </c>
      <c r="Q5">
        <v>-4.2803770361569717E-3</v>
      </c>
      <c r="R5">
        <v>-4.0608242048589642E-3</v>
      </c>
      <c r="S5">
        <v>-4.0990290288307508E-3</v>
      </c>
      <c r="T5">
        <v>-3.9617442105543349E-3</v>
      </c>
      <c r="U5">
        <v>-3.7419891470100814E-3</v>
      </c>
    </row>
    <row r="6" spans="1:24">
      <c r="A6" t="s">
        <v>3</v>
      </c>
      <c r="B6">
        <v>-5.170515893572078E-3</v>
      </c>
      <c r="C6">
        <v>-4.7845788352403763E-3</v>
      </c>
      <c r="D6">
        <v>-4.3048237833885712E-3</v>
      </c>
      <c r="E6">
        <v>-4.0888608563062782E-3</v>
      </c>
      <c r="F6">
        <v>-3.756417513694015E-3</v>
      </c>
      <c r="G6">
        <v>-3.4063811907406837E-3</v>
      </c>
      <c r="H6">
        <v>-3.0863789565587362E-3</v>
      </c>
      <c r="I6">
        <v>-2.8754054215825373E-3</v>
      </c>
      <c r="J6">
        <v>-2.8858256289010639E-3</v>
      </c>
      <c r="K6">
        <v>-2.755234649083772E-3</v>
      </c>
      <c r="L6">
        <v>-2.8581085439567731E-3</v>
      </c>
      <c r="M6">
        <v>-2.6870726784111666E-3</v>
      </c>
      <c r="N6">
        <v>-2.8476419940034491E-3</v>
      </c>
      <c r="O6">
        <v>-2.8860084345863966E-3</v>
      </c>
      <c r="P6">
        <v>-2.8644782273146699E-3</v>
      </c>
      <c r="Q6">
        <v>-2.5779107166084537E-3</v>
      </c>
      <c r="R6">
        <v>-2.6874508762659692E-3</v>
      </c>
      <c r="S6">
        <v>-2.6292513355045629E-3</v>
      </c>
      <c r="T6">
        <v>-2.293723015062127E-3</v>
      </c>
      <c r="U6">
        <v>-2.3998685620066663E-3</v>
      </c>
    </row>
    <row r="7" spans="1:24">
      <c r="A7" t="s">
        <v>4</v>
      </c>
      <c r="B7">
        <v>-5.2364263748173653E-3</v>
      </c>
      <c r="C7">
        <v>-4.9125909022552658E-3</v>
      </c>
      <c r="D7">
        <v>-4.4247649754069994E-3</v>
      </c>
      <c r="E7">
        <v>-3.9224061813552405E-3</v>
      </c>
      <c r="F7">
        <v>-3.5797419632925568E-3</v>
      </c>
      <c r="G7">
        <v>-3.4921502287771243E-3</v>
      </c>
      <c r="H7">
        <v>-3.2788460575524682E-3</v>
      </c>
      <c r="I7">
        <v>-3.0197022518999197E-3</v>
      </c>
      <c r="J7">
        <v>-3.0146281951492207E-3</v>
      </c>
      <c r="K7">
        <v>-3.1751309735737025E-3</v>
      </c>
      <c r="L7">
        <v>-2.759673586261615E-3</v>
      </c>
      <c r="M7">
        <v>-2.968673883343848E-3</v>
      </c>
      <c r="N7">
        <v>-2.6832335402203525E-3</v>
      </c>
      <c r="O7">
        <v>-2.8798102776328013E-3</v>
      </c>
      <c r="P7">
        <v>-2.8761711614283701E-3</v>
      </c>
      <c r="Q7">
        <v>-3.1215283228878004E-3</v>
      </c>
      <c r="R7">
        <v>-3.2413675640334334E-3</v>
      </c>
      <c r="S7">
        <v>-2.7755063354655976E-3</v>
      </c>
      <c r="T7">
        <v>-2.6996082096157432E-3</v>
      </c>
      <c r="U7">
        <v>-2.6409648981334474E-3</v>
      </c>
    </row>
    <row r="8" spans="1:24">
      <c r="A8" t="s">
        <v>5</v>
      </c>
      <c r="B8">
        <v>-5.6169183648527039E-3</v>
      </c>
      <c r="C8">
        <v>-5.4591255132155157E-3</v>
      </c>
      <c r="D8">
        <v>-4.9357663732000371E-3</v>
      </c>
      <c r="E8">
        <v>-4.5709079685488981E-3</v>
      </c>
      <c r="F8">
        <v>-4.3338656902873638E-3</v>
      </c>
      <c r="G8">
        <v>-4.076739740897185E-3</v>
      </c>
      <c r="H8">
        <v>-3.7962822692801245E-3</v>
      </c>
      <c r="I8">
        <v>-3.7016535793936399E-3</v>
      </c>
      <c r="J8">
        <v>-3.6314303575534601E-3</v>
      </c>
      <c r="K8">
        <v>-3.6092937430793177E-3</v>
      </c>
      <c r="L8">
        <v>-3.6216859452661392E-3</v>
      </c>
      <c r="M8">
        <v>-3.6254282206057671E-3</v>
      </c>
      <c r="N8">
        <v>-3.3151650266862293E-3</v>
      </c>
      <c r="O8">
        <v>-3.2112072457142695E-3</v>
      </c>
      <c r="P8">
        <v>-2.8583086847641746E-3</v>
      </c>
      <c r="Q8">
        <v>-2.8500392045203294E-3</v>
      </c>
      <c r="R8">
        <v>-2.6789247808487217E-3</v>
      </c>
      <c r="S8">
        <v>-2.6092553765822333E-3</v>
      </c>
      <c r="T8">
        <v>-2.541670133797786E-3</v>
      </c>
      <c r="U8">
        <v>-2.4223586060686899E-3</v>
      </c>
    </row>
    <row r="9" spans="1:24">
      <c r="A9" t="s">
        <v>6</v>
      </c>
      <c r="B9">
        <v>-5.2846194955109022E-3</v>
      </c>
      <c r="C9">
        <v>-5.0948317791294556E-3</v>
      </c>
      <c r="D9">
        <v>-4.5316270540007681E-3</v>
      </c>
      <c r="E9">
        <v>-3.8275986361740572E-3</v>
      </c>
      <c r="F9">
        <v>-3.551685333145049E-3</v>
      </c>
      <c r="G9">
        <v>-3.3127308953745361E-3</v>
      </c>
      <c r="H9">
        <v>-3.2617117578434603E-3</v>
      </c>
      <c r="I9">
        <v>-3.0469458685065984E-3</v>
      </c>
      <c r="J9">
        <v>-2.8582325963045991E-3</v>
      </c>
      <c r="K9">
        <v>-2.9426691854687564E-3</v>
      </c>
      <c r="L9">
        <v>-2.8637194333256373E-3</v>
      </c>
      <c r="M9">
        <v>-2.6005161893087E-3</v>
      </c>
      <c r="N9">
        <v>-2.6081530974588606E-3</v>
      </c>
      <c r="O9">
        <v>-2.4221319238297845E-3</v>
      </c>
      <c r="P9">
        <v>-2.3613281603693764E-3</v>
      </c>
      <c r="Q9">
        <v>-2.3343080098408679E-3</v>
      </c>
      <c r="R9">
        <v>-2.1651025986839643E-3</v>
      </c>
      <c r="S9">
        <v>-2.0305836849529115E-3</v>
      </c>
      <c r="T9">
        <v>-1.819260758435945E-3</v>
      </c>
      <c r="U9">
        <v>-1.9543592949469325E-3</v>
      </c>
    </row>
    <row r="10" spans="1:24">
      <c r="A10" t="s">
        <v>7</v>
      </c>
      <c r="B10">
        <v>-5.6571895391408092E-3</v>
      </c>
      <c r="C10">
        <v>-5.3659815848536383E-3</v>
      </c>
      <c r="D10">
        <v>-4.751033510304651E-3</v>
      </c>
      <c r="E10">
        <v>-4.2343025128222869E-3</v>
      </c>
      <c r="F10">
        <v>-3.7204721728067475E-3</v>
      </c>
      <c r="G10">
        <v>-3.3850027804447087E-3</v>
      </c>
      <c r="H10">
        <v>-2.9469885082089005E-3</v>
      </c>
      <c r="I10">
        <v>-2.4841415239044216E-3</v>
      </c>
      <c r="J10">
        <v>-2.4339188447948155E-3</v>
      </c>
      <c r="K10">
        <v>-2.3166586958849353E-3</v>
      </c>
      <c r="L10">
        <v>-2.4868922683385667E-3</v>
      </c>
      <c r="M10">
        <v>-2.3757858919517473E-3</v>
      </c>
      <c r="N10">
        <v>-2.2418716454848022E-3</v>
      </c>
      <c r="O10">
        <v>-2.0840239336686445E-3</v>
      </c>
      <c r="P10">
        <v>-2.1618307193888033E-3</v>
      </c>
      <c r="Q10">
        <v>-2.0711907719533425E-3</v>
      </c>
      <c r="R10">
        <v>-2.0176055465449651E-3</v>
      </c>
      <c r="S10">
        <v>-1.6088602095500003E-3</v>
      </c>
      <c r="T10">
        <v>-1.8071892317098731E-3</v>
      </c>
      <c r="U10">
        <v>-1.8382317277945283E-3</v>
      </c>
    </row>
    <row r="11" spans="1:24">
      <c r="A11" t="s">
        <v>8</v>
      </c>
      <c r="B11">
        <v>-5.881417400086031E-3</v>
      </c>
      <c r="C11">
        <v>-5.6347880190639743E-3</v>
      </c>
      <c r="D11">
        <v>-5.0273635357952007E-3</v>
      </c>
      <c r="E11">
        <v>-4.4553577831643269E-3</v>
      </c>
      <c r="F11">
        <v>-3.9614158515414357E-3</v>
      </c>
      <c r="G11">
        <v>-3.6307444725519177E-3</v>
      </c>
      <c r="H11">
        <v>-3.3104060158855616E-3</v>
      </c>
      <c r="I11">
        <v>-2.6624922754778821E-3</v>
      </c>
      <c r="J11">
        <v>-2.6907437321124403E-3</v>
      </c>
      <c r="K11">
        <v>-2.2536465168026469E-3</v>
      </c>
      <c r="L11">
        <v>-2.4768930737215462E-3</v>
      </c>
      <c r="M11">
        <v>-2.2500472558313689E-3</v>
      </c>
      <c r="N11">
        <v>-1.8144235149563843E-3</v>
      </c>
      <c r="O11">
        <v>-1.7161413614685797E-3</v>
      </c>
      <c r="P11">
        <v>-1.7627836854483684E-3</v>
      </c>
      <c r="Q11">
        <v>-1.3411468939361812E-3</v>
      </c>
      <c r="R11">
        <v>-1.2266459143234544E-3</v>
      </c>
      <c r="S11">
        <v>-1.0776030191361609E-3</v>
      </c>
      <c r="T11">
        <v>-7.1599712164584076E-4</v>
      </c>
      <c r="U11">
        <v>-9.3174496206474056E-4</v>
      </c>
    </row>
    <row r="12" spans="1:24">
      <c r="A12" t="s">
        <v>9</v>
      </c>
      <c r="B12">
        <v>-6.3202095716649309E-3</v>
      </c>
      <c r="C12">
        <v>-6.0925499481438604E-3</v>
      </c>
      <c r="D12">
        <v>-5.7482902414418974E-3</v>
      </c>
      <c r="E12">
        <v>-5.7704721978296099E-3</v>
      </c>
      <c r="F12">
        <v>-5.7228900525972664E-3</v>
      </c>
      <c r="G12">
        <v>-5.7328126734505092E-3</v>
      </c>
      <c r="H12">
        <v>-5.9835847071982263E-3</v>
      </c>
      <c r="I12">
        <v>-5.8440428079774842E-3</v>
      </c>
      <c r="J12">
        <v>-5.9709185428634013E-3</v>
      </c>
      <c r="K12">
        <v>-5.8237441118395971E-3</v>
      </c>
      <c r="L12">
        <v>-6.1398510578082903E-3</v>
      </c>
      <c r="M12">
        <v>-6.0886700229584425E-3</v>
      </c>
      <c r="N12">
        <v>-6.2549057619494097E-3</v>
      </c>
      <c r="O12">
        <v>-6.2520001482843446E-3</v>
      </c>
      <c r="P12">
        <v>-6.2939764892412063E-3</v>
      </c>
      <c r="Q12">
        <v>-6.4012029072917529E-3</v>
      </c>
      <c r="R12">
        <v>-6.5028479422488943E-3</v>
      </c>
      <c r="S12">
        <v>-6.2727205132256016E-3</v>
      </c>
      <c r="T12">
        <v>-6.2632173585561585E-3</v>
      </c>
      <c r="U12">
        <v>-6.6357154646436147E-3</v>
      </c>
    </row>
    <row r="13" spans="1:24">
      <c r="A13" t="s">
        <v>10</v>
      </c>
      <c r="B13">
        <v>-6.8114902240344237E-3</v>
      </c>
      <c r="C13">
        <v>-6.818813382777276E-3</v>
      </c>
      <c r="D13">
        <v>-6.5229988490576943E-3</v>
      </c>
      <c r="E13">
        <v>-6.3227992943735217E-3</v>
      </c>
      <c r="F13">
        <v>-6.1560304712274692E-3</v>
      </c>
      <c r="G13">
        <v>-6.1538965511448588E-3</v>
      </c>
      <c r="H13">
        <v>-5.9176699498076106E-3</v>
      </c>
      <c r="I13">
        <v>-5.7958300472362393E-3</v>
      </c>
      <c r="J13">
        <v>-5.9156168089963632E-3</v>
      </c>
      <c r="K13">
        <v>-6.1362671673162866E-3</v>
      </c>
      <c r="L13">
        <v>-6.1461221066504918E-3</v>
      </c>
      <c r="M13">
        <v>-6.2995681526014768E-3</v>
      </c>
      <c r="N13">
        <v>-6.2534949142676972E-3</v>
      </c>
      <c r="O13">
        <v>-6.3897765371266745E-3</v>
      </c>
      <c r="P13">
        <v>-6.1694991754818801E-3</v>
      </c>
      <c r="Q13">
        <v>-6.2059178966600709E-3</v>
      </c>
      <c r="R13">
        <v>-6.1601473923733876E-3</v>
      </c>
      <c r="S13">
        <v>-6.1414132974361348E-3</v>
      </c>
      <c r="T13">
        <v>-6.3074316792837573E-3</v>
      </c>
      <c r="U13">
        <v>-6.1246191683088777E-3</v>
      </c>
    </row>
    <row r="14" spans="1:24">
      <c r="A14" t="s">
        <v>11</v>
      </c>
      <c r="B14">
        <v>-6.1022034391860699E-3</v>
      </c>
      <c r="C14">
        <v>-5.4720175340773596E-3</v>
      </c>
      <c r="D14">
        <v>-4.7492338221976288E-3</v>
      </c>
      <c r="E14">
        <v>-4.1485528217862578E-3</v>
      </c>
      <c r="F14">
        <v>-4.1228751251394949E-3</v>
      </c>
      <c r="G14">
        <v>-3.8749009167933415E-3</v>
      </c>
      <c r="H14">
        <v>-3.693729982056367E-3</v>
      </c>
      <c r="I14">
        <v>-3.598885206853484E-3</v>
      </c>
      <c r="J14">
        <v>-3.3632022327115814E-3</v>
      </c>
      <c r="K14">
        <v>-3.5404086235312172E-3</v>
      </c>
      <c r="L14">
        <v>-3.6475741160014699E-3</v>
      </c>
      <c r="M14">
        <v>-3.5652488775643645E-3</v>
      </c>
      <c r="N14">
        <v>-3.4799789512132855E-3</v>
      </c>
      <c r="O14">
        <v>-3.4099205944013167E-3</v>
      </c>
      <c r="P14">
        <v>-3.036869023370168E-3</v>
      </c>
      <c r="Q14">
        <v>-3.3540271516534306E-3</v>
      </c>
      <c r="R14">
        <v>-3.5670831936178687E-3</v>
      </c>
      <c r="S14">
        <v>-3.8619462919282713E-3</v>
      </c>
      <c r="T14">
        <v>-4.1313526501153596E-3</v>
      </c>
      <c r="U14">
        <v>-3.9860534686060262E-3</v>
      </c>
    </row>
    <row r="15" spans="1:24">
      <c r="A15" t="s">
        <v>12</v>
      </c>
      <c r="B15">
        <v>-4.2532806409728563E-3</v>
      </c>
      <c r="C15">
        <v>-3.6458094880752463E-3</v>
      </c>
      <c r="D15">
        <v>-3.0594362881701921E-3</v>
      </c>
      <c r="E15">
        <v>-2.6372343753956846E-3</v>
      </c>
      <c r="F15">
        <v>-2.5124005933515139E-3</v>
      </c>
      <c r="G15">
        <v>-2.4365516128124431E-3</v>
      </c>
      <c r="H15">
        <v>-2.3577519843286042E-3</v>
      </c>
      <c r="I15">
        <v>-2.3385444600271164E-3</v>
      </c>
      <c r="J15">
        <v>-2.2423262082097205E-3</v>
      </c>
      <c r="K15">
        <v>-2.2186675039330499E-3</v>
      </c>
      <c r="L15">
        <v>-2.1263604780916803E-3</v>
      </c>
      <c r="M15">
        <v>-1.9026985027382709E-3</v>
      </c>
      <c r="N15">
        <v>-1.8888569976735373E-3</v>
      </c>
      <c r="O15">
        <v>-2.1214670289862428E-3</v>
      </c>
      <c r="P15">
        <v>-2.0007187543920851E-3</v>
      </c>
      <c r="Q15">
        <v>-2.1739975668428097E-3</v>
      </c>
      <c r="R15">
        <v>-2.0974085209195634E-3</v>
      </c>
      <c r="S15">
        <v>-1.9867499027372208E-3</v>
      </c>
      <c r="T15">
        <v>-1.9401043263664731E-3</v>
      </c>
      <c r="U15">
        <v>-1.7979669502513392E-3</v>
      </c>
    </row>
    <row r="16" spans="1:24">
      <c r="A16" t="s">
        <v>13</v>
      </c>
      <c r="B16">
        <v>-6.0738097340166065E-3</v>
      </c>
      <c r="C16">
        <v>-5.9439326395068848E-3</v>
      </c>
      <c r="D16">
        <v>-5.3837176614758937E-3</v>
      </c>
      <c r="E16">
        <v>-4.8557340620089097E-3</v>
      </c>
      <c r="F16">
        <v>-4.6134419938559847E-3</v>
      </c>
      <c r="G16">
        <v>-4.2760122101157417E-3</v>
      </c>
      <c r="H16">
        <v>-4.0533867330274512E-3</v>
      </c>
      <c r="I16">
        <v>-3.890862485516918E-3</v>
      </c>
      <c r="J16">
        <v>-3.7769301096519871E-3</v>
      </c>
      <c r="K16">
        <v>-3.5251087806036363E-3</v>
      </c>
      <c r="L16">
        <v>-3.4632845543446761E-3</v>
      </c>
      <c r="M16">
        <v>-3.2167309600337744E-3</v>
      </c>
      <c r="N16">
        <v>-3.2322654862543126E-3</v>
      </c>
      <c r="O16">
        <v>-3.2821229763618756E-3</v>
      </c>
      <c r="P16">
        <v>-3.4117002427372103E-3</v>
      </c>
      <c r="Q16">
        <v>-3.0472826824593405E-3</v>
      </c>
      <c r="R16">
        <v>-2.8761528326745724E-3</v>
      </c>
      <c r="S16">
        <v>-2.9392576391103287E-3</v>
      </c>
      <c r="T16">
        <v>-2.985040966436731E-3</v>
      </c>
      <c r="U16">
        <v>-3.2756907019773286E-3</v>
      </c>
    </row>
    <row r="17" spans="1:21">
      <c r="A17" t="s">
        <v>14</v>
      </c>
      <c r="B17">
        <v>-6.0666011261059968E-3</v>
      </c>
      <c r="C17">
        <v>-5.8702598654282769E-3</v>
      </c>
      <c r="D17">
        <v>-5.3642462519723723E-3</v>
      </c>
      <c r="E17">
        <v>-5.0609440878340755E-3</v>
      </c>
      <c r="F17">
        <v>-4.7230881910588236E-3</v>
      </c>
      <c r="G17">
        <v>-4.4786713590261196E-3</v>
      </c>
      <c r="H17">
        <v>-4.4487165772520215E-3</v>
      </c>
      <c r="I17">
        <v>-4.165635335490258E-3</v>
      </c>
      <c r="J17">
        <v>-4.1463001433354281E-3</v>
      </c>
      <c r="K17">
        <v>-4.1657464779988902E-3</v>
      </c>
      <c r="L17">
        <v>-4.1003490244623858E-3</v>
      </c>
      <c r="M17">
        <v>-4.1590983100249276E-3</v>
      </c>
      <c r="N17">
        <v>-3.9771960956446126E-3</v>
      </c>
      <c r="O17">
        <v>-3.6980943115646489E-3</v>
      </c>
      <c r="P17">
        <v>-3.9211649845390757E-3</v>
      </c>
      <c r="Q17">
        <v>-3.9443278736847011E-3</v>
      </c>
      <c r="R17">
        <v>-3.7191514428341621E-3</v>
      </c>
      <c r="S17">
        <v>-3.8041407200916618E-3</v>
      </c>
      <c r="T17">
        <v>-3.8030326566123951E-3</v>
      </c>
      <c r="U17">
        <v>-3.7801260134136031E-3</v>
      </c>
    </row>
    <row r="18" spans="1:21">
      <c r="A18" t="s">
        <v>15</v>
      </c>
      <c r="B18">
        <v>-5.6844333321320771E-3</v>
      </c>
      <c r="C18">
        <v>-5.2665836528959804E-3</v>
      </c>
      <c r="D18">
        <v>-4.5201969839889266E-3</v>
      </c>
      <c r="E18">
        <v>-4.0933760154850474E-3</v>
      </c>
      <c r="F18">
        <v>-3.7083964192813632E-3</v>
      </c>
      <c r="G18">
        <v>-3.5659400000505855E-3</v>
      </c>
      <c r="H18">
        <v>-3.3237906905220025E-3</v>
      </c>
      <c r="I18">
        <v>-3.4108479146440214E-3</v>
      </c>
      <c r="J18">
        <v>-3.3815665476279546E-3</v>
      </c>
      <c r="K18">
        <v>-3.3558357285667826E-3</v>
      </c>
      <c r="L18">
        <v>-3.2398258576630773E-3</v>
      </c>
      <c r="M18">
        <v>-3.1940017759829764E-3</v>
      </c>
      <c r="N18">
        <v>-2.8434111288174906E-3</v>
      </c>
      <c r="O18">
        <v>-2.8780461733971057E-3</v>
      </c>
      <c r="P18">
        <v>-3.1849230385040065E-3</v>
      </c>
      <c r="Q18">
        <v>-3.131003166691139E-3</v>
      </c>
      <c r="R18">
        <v>-3.0790319371756681E-3</v>
      </c>
      <c r="S18">
        <v>-3.2305411296339455E-3</v>
      </c>
      <c r="T18">
        <v>-3.3312167793519191E-3</v>
      </c>
      <c r="U18">
        <v>-3.4359568242293514E-3</v>
      </c>
    </row>
    <row r="19" spans="1:21">
      <c r="A19" t="s">
        <v>16</v>
      </c>
      <c r="B19">
        <v>-4.2230929333937801E-3</v>
      </c>
      <c r="C19">
        <v>-3.9027280750493693E-3</v>
      </c>
      <c r="D19">
        <v>-3.4347697773380623E-3</v>
      </c>
      <c r="E19">
        <v>-3.1427317544209282E-3</v>
      </c>
      <c r="F19">
        <v>-2.9573111683949709E-3</v>
      </c>
      <c r="G19">
        <v>-2.7373800159040617E-3</v>
      </c>
      <c r="H19">
        <v>-2.5449478620571488E-3</v>
      </c>
      <c r="I19">
        <v>-2.477281724640706E-3</v>
      </c>
      <c r="J19">
        <v>-2.4640794609574013E-3</v>
      </c>
      <c r="K19">
        <v>-2.3398758774903334E-3</v>
      </c>
      <c r="L19">
        <v>-2.2181151061052566E-3</v>
      </c>
      <c r="M19">
        <v>-2.1666243264307568E-3</v>
      </c>
      <c r="N19">
        <v>-2.1173843394589643E-3</v>
      </c>
      <c r="O19">
        <v>-2.1089469272971492E-3</v>
      </c>
      <c r="P19">
        <v>-2.1196978804589295E-3</v>
      </c>
      <c r="Q19">
        <v>-2.0610163818571077E-3</v>
      </c>
      <c r="R19">
        <v>-2.1564466275212717E-3</v>
      </c>
      <c r="S19">
        <v>-2.1441086839894073E-3</v>
      </c>
      <c r="T19">
        <v>-2.2058458995736084E-3</v>
      </c>
      <c r="U19">
        <v>-2.1281435817994254E-3</v>
      </c>
    </row>
    <row r="20" spans="1:21">
      <c r="A20" t="s">
        <v>17</v>
      </c>
      <c r="B20">
        <v>-4.0369376942148722E-3</v>
      </c>
      <c r="C20">
        <v>-3.5194660310372524E-3</v>
      </c>
      <c r="D20">
        <v>-3.1306514547393984E-3</v>
      </c>
      <c r="E20">
        <v>-2.9136401359973019E-3</v>
      </c>
      <c r="F20">
        <v>-2.6742787157088663E-3</v>
      </c>
      <c r="G20">
        <v>-2.3741163741769302E-3</v>
      </c>
      <c r="H20">
        <v>-2.2379993870428774E-3</v>
      </c>
      <c r="I20">
        <v>-2.0166603037717222E-3</v>
      </c>
      <c r="J20">
        <v>-1.8103995747339229E-3</v>
      </c>
      <c r="K20">
        <v>-1.8003887679617552E-3</v>
      </c>
      <c r="L20">
        <v>-1.8327184411225915E-3</v>
      </c>
      <c r="M20">
        <v>-1.6123012314890679E-3</v>
      </c>
      <c r="N20">
        <v>-1.5774955282393361E-3</v>
      </c>
      <c r="O20">
        <v>-1.5473519153109418E-3</v>
      </c>
      <c r="P20">
        <v>-1.4270900522570721E-3</v>
      </c>
      <c r="Q20">
        <v>-1.3111757463095176E-3</v>
      </c>
      <c r="R20">
        <v>-1.2970533866662145E-3</v>
      </c>
      <c r="S20">
        <v>-1.2299668545510329E-3</v>
      </c>
      <c r="T20">
        <v>-1.1619615487569496E-3</v>
      </c>
      <c r="U20">
        <v>-1.1564194297692348E-3</v>
      </c>
    </row>
    <row r="21" spans="1:21">
      <c r="A21" t="s">
        <v>18</v>
      </c>
      <c r="B21">
        <v>-4.0366027888004818E-3</v>
      </c>
      <c r="C21">
        <v>-3.5562859493497466E-3</v>
      </c>
      <c r="D21">
        <v>-3.1678614004386988E-3</v>
      </c>
      <c r="E21">
        <v>-2.9532845319915442E-3</v>
      </c>
      <c r="F21">
        <v>-2.7568844195712309E-3</v>
      </c>
      <c r="G21">
        <v>-2.3665671665776119E-3</v>
      </c>
      <c r="H21">
        <v>-2.3426243844430475E-3</v>
      </c>
      <c r="I21">
        <v>-2.1371757750699E-3</v>
      </c>
      <c r="J21">
        <v>-2.0208732642515775E-3</v>
      </c>
      <c r="K21">
        <v>-1.804448089054327E-3</v>
      </c>
      <c r="L21">
        <v>-1.7089085331187324E-3</v>
      </c>
      <c r="M21">
        <v>-1.62439924185692E-3</v>
      </c>
      <c r="N21">
        <v>-1.670279292479193E-3</v>
      </c>
      <c r="O21">
        <v>-1.5649506598501962E-3</v>
      </c>
      <c r="P21">
        <v>-1.4384637487063383E-3</v>
      </c>
      <c r="Q21">
        <v>-1.4420308580586725E-3</v>
      </c>
      <c r="R21">
        <v>-1.3626494374242976E-3</v>
      </c>
      <c r="S21">
        <v>-1.3412594515721679E-3</v>
      </c>
      <c r="T21">
        <v>-1.2792306103539032E-3</v>
      </c>
      <c r="U21">
        <v>-1.0820466569385647E-3</v>
      </c>
    </row>
    <row r="22" spans="1:21">
      <c r="A22" t="s">
        <v>19</v>
      </c>
      <c r="B22">
        <v>-4.3306181583495371E-3</v>
      </c>
      <c r="C22">
        <v>-3.9565112843816435E-3</v>
      </c>
      <c r="D22">
        <v>-3.5969102824573887E-3</v>
      </c>
      <c r="E22">
        <v>-3.4663947760021443E-3</v>
      </c>
      <c r="F22">
        <v>-3.2959495450801371E-3</v>
      </c>
      <c r="G22">
        <v>-3.1050340486860001E-3</v>
      </c>
      <c r="H22">
        <v>-2.928953340882251E-3</v>
      </c>
      <c r="I22">
        <v>-2.8329034155670047E-3</v>
      </c>
      <c r="J22">
        <v>-2.5879198966321407E-3</v>
      </c>
      <c r="K22">
        <v>-2.5021466041532333E-3</v>
      </c>
      <c r="L22">
        <v>-2.2551557023055566E-3</v>
      </c>
      <c r="M22">
        <v>-2.3214898491932027E-3</v>
      </c>
      <c r="N22">
        <v>-2.2697489516666459E-3</v>
      </c>
      <c r="O22">
        <v>-2.1186727730933071E-3</v>
      </c>
      <c r="P22">
        <v>-1.962368657436076E-3</v>
      </c>
      <c r="Q22">
        <v>-1.8981520528061015E-3</v>
      </c>
      <c r="R22">
        <v>-1.7751588267051778E-3</v>
      </c>
      <c r="S22">
        <v>-1.7485741402311821E-3</v>
      </c>
      <c r="T22">
        <v>-1.6436778159196362E-3</v>
      </c>
      <c r="U22">
        <v>-1.6020138805071403E-3</v>
      </c>
    </row>
    <row r="23" spans="1:21">
      <c r="A23" t="s">
        <v>20</v>
      </c>
      <c r="B23">
        <v>-4.0796506253501404E-3</v>
      </c>
      <c r="C23">
        <v>-3.5978389758643415E-3</v>
      </c>
      <c r="D23">
        <v>-3.2214514905045681E-3</v>
      </c>
      <c r="E23">
        <v>-3.0113182247359397E-3</v>
      </c>
      <c r="F23">
        <v>-2.7822456970902636E-3</v>
      </c>
      <c r="G23">
        <v>-2.4741145948102118E-3</v>
      </c>
      <c r="H23">
        <v>-2.336025795363645E-3</v>
      </c>
      <c r="I23">
        <v>-2.1954563873968352E-3</v>
      </c>
      <c r="J23">
        <v>-1.9769570247781892E-3</v>
      </c>
      <c r="K23">
        <v>-1.8882995067991662E-3</v>
      </c>
      <c r="L23">
        <v>-1.8189371208788151E-3</v>
      </c>
      <c r="M23">
        <v>-1.7166518171339729E-3</v>
      </c>
      <c r="N23">
        <v>-1.6743530649723031E-3</v>
      </c>
      <c r="O23">
        <v>-1.5233376409976497E-3</v>
      </c>
      <c r="P23">
        <v>-1.3821128783989261E-3</v>
      </c>
      <c r="Q23">
        <v>-1.3493416590876892E-3</v>
      </c>
      <c r="R23">
        <v>-1.2597837590956626E-3</v>
      </c>
      <c r="S23">
        <v>-1.2920094185800977E-3</v>
      </c>
      <c r="T23">
        <v>-1.1546109816175771E-3</v>
      </c>
      <c r="U23">
        <v>-1.0492808869620074E-3</v>
      </c>
    </row>
    <row r="24" spans="1:21">
      <c r="A24" t="s">
        <v>21</v>
      </c>
      <c r="B24">
        <v>-4.2285451328998224E-3</v>
      </c>
      <c r="C24">
        <v>-3.8419292148462029E-3</v>
      </c>
      <c r="D24">
        <v>-3.4367702163815642E-3</v>
      </c>
      <c r="E24">
        <v>-3.2268448092434804E-3</v>
      </c>
      <c r="F24">
        <v>-3.0702269545170814E-3</v>
      </c>
      <c r="G24">
        <v>-2.6925418108431328E-3</v>
      </c>
      <c r="H24">
        <v>-2.5007020174281111E-3</v>
      </c>
      <c r="I24">
        <v>-2.1905241774051783E-3</v>
      </c>
      <c r="J24">
        <v>-2.1888275957183683E-3</v>
      </c>
      <c r="K24">
        <v>-2.1322499726942837E-3</v>
      </c>
      <c r="L24">
        <v>-2.0134777129659359E-3</v>
      </c>
      <c r="M24">
        <v>-1.9365550385173637E-3</v>
      </c>
      <c r="N24">
        <v>-1.9292913306449525E-3</v>
      </c>
      <c r="O24">
        <v>-1.8424726073861136E-3</v>
      </c>
      <c r="P24">
        <v>-1.9064307479623706E-3</v>
      </c>
      <c r="Q24">
        <v>-1.8455993581298928E-3</v>
      </c>
      <c r="R24">
        <v>-1.7257386784209619E-3</v>
      </c>
      <c r="S24">
        <v>-1.6576742967856644E-3</v>
      </c>
      <c r="T24">
        <v>-1.6336709406854484E-3</v>
      </c>
      <c r="U24">
        <v>-1.6189251209590561E-3</v>
      </c>
    </row>
    <row r="25" spans="1:21">
      <c r="A25" t="s">
        <v>34</v>
      </c>
      <c r="B25">
        <v>-4.0829118898050177E-3</v>
      </c>
      <c r="C25">
        <v>-3.6261251898461085E-3</v>
      </c>
      <c r="D25">
        <v>-3.22013289624253E-3</v>
      </c>
      <c r="E25">
        <v>-2.9736364497630588E-3</v>
      </c>
      <c r="F25">
        <v>-2.7288589644013754E-3</v>
      </c>
      <c r="G25">
        <v>-2.4715365510243727E-3</v>
      </c>
      <c r="H25">
        <v>-2.3238424380861975E-3</v>
      </c>
      <c r="I25">
        <v>-2.2567908228694456E-3</v>
      </c>
      <c r="J25">
        <v>-1.9993725481711271E-3</v>
      </c>
      <c r="K25">
        <v>-1.822395262284791E-3</v>
      </c>
      <c r="L25">
        <v>-1.672592100540038E-3</v>
      </c>
      <c r="M25">
        <v>-1.5368047114716875E-3</v>
      </c>
      <c r="N25">
        <v>-1.4307007525966395E-3</v>
      </c>
      <c r="O25">
        <v>-1.434493109701726E-3</v>
      </c>
      <c r="P25">
        <v>-1.4990174428604472E-3</v>
      </c>
      <c r="Q25">
        <v>-1.5800493775363202E-3</v>
      </c>
      <c r="R25">
        <v>-1.3807765497884461E-3</v>
      </c>
      <c r="S25">
        <v>-1.4243736263075452E-3</v>
      </c>
      <c r="T25">
        <v>-1.2861977111127904E-3</v>
      </c>
      <c r="U25">
        <v>-1.087883775178722E-3</v>
      </c>
    </row>
    <row r="26" spans="1:21">
      <c r="A26" t="s">
        <v>22</v>
      </c>
      <c r="B26">
        <v>-5.7322288538799258E-3</v>
      </c>
      <c r="C26">
        <v>-5.238333534871565E-3</v>
      </c>
      <c r="D26">
        <v>-4.3269556004313908E-3</v>
      </c>
      <c r="E26">
        <v>-3.711597396272583E-3</v>
      </c>
      <c r="F26">
        <v>-3.1872834444582488E-3</v>
      </c>
      <c r="G26">
        <v>-2.6266817608410599E-3</v>
      </c>
      <c r="H26">
        <v>-2.3180447975877571E-3</v>
      </c>
      <c r="I26">
        <v>-2.0327579654302146E-3</v>
      </c>
      <c r="J26">
        <v>-1.4338121385032289E-3</v>
      </c>
      <c r="K26">
        <v>-1.3070196138539728E-3</v>
      </c>
      <c r="L26">
        <v>-1.0982540793572893E-3</v>
      </c>
      <c r="M26">
        <v>-7.6385976618478042E-4</v>
      </c>
      <c r="N26">
        <v>-8.8316953165115978E-4</v>
      </c>
      <c r="O26">
        <v>-7.2404181357946739E-4</v>
      </c>
      <c r="P26">
        <v>-5.4282631568366036E-4</v>
      </c>
      <c r="Q26">
        <v>-4.4338588741275593E-4</v>
      </c>
      <c r="R26">
        <v>-4.6580439229156447E-4</v>
      </c>
      <c r="S26">
        <v>-2.0297572382811779E-4</v>
      </c>
      <c r="T26">
        <v>-1.0442142581759976E-4</v>
      </c>
      <c r="U26">
        <v>-1.6910192902341268E-4</v>
      </c>
    </row>
    <row r="27" spans="1:21">
      <c r="A27" t="s">
        <v>23</v>
      </c>
      <c r="B27">
        <v>-4.2690772131655074E-3</v>
      </c>
      <c r="C27">
        <v>-3.9276571496922848E-3</v>
      </c>
      <c r="D27">
        <v>-3.7213813774916722E-3</v>
      </c>
      <c r="E27">
        <v>-3.6815004204682452E-3</v>
      </c>
      <c r="F27">
        <v>-3.5677916260177531E-3</v>
      </c>
      <c r="G27">
        <v>-3.4307923884709427E-3</v>
      </c>
      <c r="H27">
        <v>-3.1549832095509331E-3</v>
      </c>
      <c r="I27">
        <v>-3.0478680352824627E-3</v>
      </c>
      <c r="J27">
        <v>-2.9050876298807246E-3</v>
      </c>
      <c r="K27">
        <v>-2.7897128430902406E-3</v>
      </c>
      <c r="L27">
        <v>-2.7088256198432238E-3</v>
      </c>
      <c r="M27">
        <v>-2.4877051756179705E-3</v>
      </c>
      <c r="N27">
        <v>-2.2828747203129658E-3</v>
      </c>
      <c r="O27">
        <v>-2.170585777006474E-3</v>
      </c>
      <c r="P27">
        <v>-2.239501047549984E-3</v>
      </c>
      <c r="Q27">
        <v>-2.244580145407832E-3</v>
      </c>
      <c r="R27">
        <v>-2.2271227841760108E-3</v>
      </c>
      <c r="S27">
        <v>-2.2089100282264508E-3</v>
      </c>
      <c r="T27">
        <v>-2.1409417047349292E-3</v>
      </c>
      <c r="U27">
        <v>-2.0247946617522662E-3</v>
      </c>
    </row>
    <row r="28" spans="1:21">
      <c r="A28" t="s">
        <v>24</v>
      </c>
      <c r="B28">
        <v>-4.1947150759683036E-3</v>
      </c>
      <c r="C28">
        <v>-3.7323249597097457E-3</v>
      </c>
      <c r="D28">
        <v>-3.2912471251189267E-3</v>
      </c>
      <c r="E28">
        <v>-3.0265121836967209E-3</v>
      </c>
      <c r="F28">
        <v>-2.79955643536692E-3</v>
      </c>
      <c r="G28">
        <v>-2.488142612623037E-3</v>
      </c>
      <c r="H28">
        <v>-2.242204656973478E-3</v>
      </c>
      <c r="I28">
        <v>-2.0343946542019462E-3</v>
      </c>
      <c r="J28">
        <v>-1.8033623197953234E-3</v>
      </c>
      <c r="K28">
        <v>-1.5573220067431569E-3</v>
      </c>
      <c r="L28">
        <v>-1.5433173508040935E-3</v>
      </c>
      <c r="M28">
        <v>-1.4538062907509888E-3</v>
      </c>
      <c r="N28">
        <v>-1.3861869727796634E-3</v>
      </c>
      <c r="O28">
        <v>-1.3123541612064498E-3</v>
      </c>
      <c r="P28">
        <v>-1.2453746474227134E-3</v>
      </c>
      <c r="Q28">
        <v>-1.3708875504102023E-3</v>
      </c>
      <c r="R28">
        <v>-1.2924617995264851E-3</v>
      </c>
      <c r="S28">
        <v>-1.2263020584583051E-3</v>
      </c>
      <c r="T28">
        <v>-1.1793094843817341E-3</v>
      </c>
      <c r="U28">
        <v>-1.051996889390686E-3</v>
      </c>
    </row>
    <row r="29" spans="1:21">
      <c r="A29" t="s">
        <v>25</v>
      </c>
      <c r="B29">
        <v>-4.0237272423966439E-3</v>
      </c>
      <c r="C29">
        <v>-3.6428669618119225E-3</v>
      </c>
      <c r="D29">
        <v>-3.2657110126114368E-3</v>
      </c>
      <c r="E29">
        <v>-3.1918001822127812E-3</v>
      </c>
      <c r="F29">
        <v>-2.9447462447635729E-3</v>
      </c>
      <c r="G29">
        <v>-2.7337204674199129E-3</v>
      </c>
      <c r="H29">
        <v>-2.5875100585286007E-3</v>
      </c>
      <c r="I29">
        <v>-2.4446293612725854E-3</v>
      </c>
      <c r="J29">
        <v>-2.3678684728415844E-3</v>
      </c>
      <c r="K29">
        <v>-2.3507750868123202E-3</v>
      </c>
      <c r="L29">
        <v>-2.2156152881406053E-3</v>
      </c>
      <c r="M29">
        <v>-2.2970448931546477E-3</v>
      </c>
      <c r="N29">
        <v>-2.3549579117928578E-3</v>
      </c>
      <c r="O29">
        <v>-2.407043978609023E-3</v>
      </c>
      <c r="P29">
        <v>-2.4507938929633948E-3</v>
      </c>
      <c r="Q29">
        <v>-2.4091311787764417E-3</v>
      </c>
      <c r="R29">
        <v>-2.309540245823262E-3</v>
      </c>
      <c r="S29">
        <v>-2.3404096992354524E-3</v>
      </c>
      <c r="T29">
        <v>-2.2350492409773139E-3</v>
      </c>
      <c r="U29">
        <v>-2.0776445252774999E-3</v>
      </c>
    </row>
    <row r="30" spans="1:21">
      <c r="A30" t="s">
        <v>26</v>
      </c>
      <c r="B30">
        <v>-5.3571920676107661E-3</v>
      </c>
      <c r="C30">
        <v>-5.5025593169142255E-3</v>
      </c>
      <c r="D30">
        <v>-5.9733001941452372E-3</v>
      </c>
      <c r="E30">
        <v>-6.2730610592616875E-3</v>
      </c>
      <c r="F30">
        <v>-6.3518854794238659E-3</v>
      </c>
      <c r="G30">
        <v>-6.4005342508920869E-3</v>
      </c>
      <c r="H30">
        <v>-6.4105196937182017E-3</v>
      </c>
      <c r="I30">
        <v>-6.4372236754264792E-3</v>
      </c>
      <c r="J30">
        <v>-6.429748619927571E-3</v>
      </c>
      <c r="K30">
        <v>-6.2781358830865846E-3</v>
      </c>
      <c r="L30">
        <v>-6.2341681544656686E-3</v>
      </c>
      <c r="M30">
        <v>-6.4273146228337845E-3</v>
      </c>
      <c r="N30">
        <v>-6.3987687781978525E-3</v>
      </c>
      <c r="O30">
        <v>-6.6443931443677367E-3</v>
      </c>
      <c r="P30">
        <v>-6.7773695865088546E-3</v>
      </c>
      <c r="Q30">
        <v>-6.7934928379699625E-3</v>
      </c>
      <c r="R30">
        <v>-6.7142562300116235E-3</v>
      </c>
      <c r="S30">
        <v>-6.643503090251187E-3</v>
      </c>
      <c r="T30">
        <v>-6.5462138536607761E-3</v>
      </c>
      <c r="U30">
        <v>-6.4331464949560586E-3</v>
      </c>
    </row>
    <row r="31" spans="1:21">
      <c r="A31" t="s">
        <v>27</v>
      </c>
      <c r="B31">
        <v>-5.1098311444223148E-3</v>
      </c>
      <c r="C31">
        <v>-5.1788145456404247E-3</v>
      </c>
      <c r="D31">
        <v>-5.3538805272587498E-3</v>
      </c>
      <c r="E31">
        <v>-5.5056957581015578E-3</v>
      </c>
      <c r="F31">
        <v>-5.4726612659435504E-3</v>
      </c>
      <c r="G31">
        <v>-5.2307888101068116E-3</v>
      </c>
      <c r="H31">
        <v>-5.0078350395512984E-3</v>
      </c>
      <c r="I31">
        <v>-4.7695013638423293E-3</v>
      </c>
      <c r="J31">
        <v>-4.6349067575840357E-3</v>
      </c>
      <c r="K31">
        <v>-4.5306950340334709E-3</v>
      </c>
      <c r="L31">
        <v>-4.3553580574874091E-3</v>
      </c>
      <c r="M31">
        <v>-4.0715142795489248E-3</v>
      </c>
      <c r="N31">
        <v>-3.9922539731039094E-3</v>
      </c>
      <c r="O31">
        <v>-4.0144258247743377E-3</v>
      </c>
      <c r="P31">
        <v>-3.907485463517821E-3</v>
      </c>
      <c r="Q31">
        <v>-4.0056309144032003E-3</v>
      </c>
      <c r="R31">
        <v>-3.8825394343229907E-3</v>
      </c>
      <c r="S31">
        <v>-4.0043252730720402E-3</v>
      </c>
      <c r="T31">
        <v>-3.9804622863983084E-3</v>
      </c>
      <c r="U31">
        <v>-3.9980464685176222E-3</v>
      </c>
    </row>
    <row r="32" spans="1:21">
      <c r="A32" t="s">
        <v>28</v>
      </c>
      <c r="B32">
        <v>-7.099406256403545E-3</v>
      </c>
      <c r="C32">
        <v>-7.5042829261066594E-3</v>
      </c>
      <c r="D32">
        <v>-7.7771532172597998E-3</v>
      </c>
      <c r="E32">
        <v>-7.8132227401596036E-3</v>
      </c>
      <c r="F32">
        <v>-7.4187544831240682E-3</v>
      </c>
      <c r="G32">
        <v>-7.5832098002172931E-3</v>
      </c>
      <c r="H32">
        <v>-7.322364385162072E-3</v>
      </c>
      <c r="I32">
        <v>-7.114141245460193E-3</v>
      </c>
      <c r="J32">
        <v>-7.2786036484816579E-3</v>
      </c>
      <c r="K32">
        <v>-7.2511338543601042E-3</v>
      </c>
      <c r="L32">
        <v>-7.1395186082672665E-3</v>
      </c>
      <c r="M32">
        <v>-6.9934832120351542E-3</v>
      </c>
      <c r="N32">
        <v>-6.9574230187404032E-3</v>
      </c>
      <c r="O32">
        <v>-6.7368986060569319E-3</v>
      </c>
      <c r="P32">
        <v>-6.7416422535800042E-3</v>
      </c>
      <c r="Q32">
        <v>-6.2776873133243757E-3</v>
      </c>
      <c r="R32">
        <v>-5.8338633117324401E-3</v>
      </c>
      <c r="S32">
        <v>-5.9856333324513171E-3</v>
      </c>
      <c r="T32">
        <v>-6.2499947862822616E-3</v>
      </c>
      <c r="U32">
        <v>-5.9859463779118553E-3</v>
      </c>
    </row>
    <row r="33" spans="1:21">
      <c r="A33" t="s">
        <v>29</v>
      </c>
      <c r="B33">
        <v>-7.2172202040104794E-3</v>
      </c>
      <c r="C33">
        <v>-7.514414089386778E-3</v>
      </c>
      <c r="D33">
        <v>-7.6424489483942482E-3</v>
      </c>
      <c r="E33">
        <v>-7.6061084240373628E-3</v>
      </c>
      <c r="F33">
        <v>-7.7525605136544709E-3</v>
      </c>
      <c r="G33">
        <v>-7.6718655487693745E-3</v>
      </c>
      <c r="H33">
        <v>-7.642019194969909E-3</v>
      </c>
      <c r="I33">
        <v>-7.4179671315955558E-3</v>
      </c>
      <c r="J33">
        <v>-7.3328062901529675E-3</v>
      </c>
      <c r="K33">
        <v>-7.1529919733513579E-3</v>
      </c>
      <c r="L33">
        <v>-6.9618574842987635E-3</v>
      </c>
      <c r="M33">
        <v>-6.8178652637584857E-3</v>
      </c>
      <c r="N33">
        <v>-6.712088254504707E-3</v>
      </c>
      <c r="O33">
        <v>-6.6965998000336887E-3</v>
      </c>
      <c r="P33">
        <v>-6.6345400796881029E-3</v>
      </c>
      <c r="Q33">
        <v>-6.8266087475503849E-3</v>
      </c>
      <c r="R33">
        <v>-6.6361050623218966E-3</v>
      </c>
      <c r="S33">
        <v>-6.4525013565927538E-3</v>
      </c>
      <c r="T33">
        <v>-6.2664192088730582E-3</v>
      </c>
      <c r="U33">
        <v>-5.9579836627422595E-3</v>
      </c>
    </row>
    <row r="34" spans="1:21">
      <c r="A34" t="s">
        <v>30</v>
      </c>
      <c r="B34">
        <v>-7.194911245841787E-3</v>
      </c>
      <c r="C34">
        <v>-7.4623114997859489E-3</v>
      </c>
      <c r="D34">
        <v>-7.7079613540200339E-3</v>
      </c>
      <c r="E34">
        <v>-7.6296099709843796E-3</v>
      </c>
      <c r="F34">
        <v>-7.7277586837410832E-3</v>
      </c>
      <c r="G34">
        <v>-7.7247804681669615E-3</v>
      </c>
      <c r="H34">
        <v>-7.6320051352935644E-3</v>
      </c>
      <c r="I34">
        <v>-7.7489633882171626E-3</v>
      </c>
      <c r="J34">
        <v>-7.6553275441618605E-3</v>
      </c>
      <c r="K34">
        <v>-7.253034507347926E-3</v>
      </c>
      <c r="L34">
        <v>-7.0518722132097179E-3</v>
      </c>
      <c r="M34">
        <v>-7.1631067797751297E-3</v>
      </c>
      <c r="N34">
        <v>-6.8981379842032436E-3</v>
      </c>
      <c r="O34">
        <v>-6.7756785851635125E-3</v>
      </c>
      <c r="P34">
        <v>-6.4695604832101412E-3</v>
      </c>
      <c r="Q34">
        <v>-6.3899241959975732E-3</v>
      </c>
      <c r="R34">
        <v>-6.2494334173105494E-3</v>
      </c>
      <c r="S34">
        <v>-6.5328350236473955E-3</v>
      </c>
      <c r="T34">
        <v>-6.5639006007464328E-3</v>
      </c>
      <c r="U34">
        <v>-6.4707999434505245E-3</v>
      </c>
    </row>
    <row r="35" spans="1:21">
      <c r="A35" t="s">
        <v>31</v>
      </c>
      <c r="B35">
        <v>-4.9732860928678423E-3</v>
      </c>
      <c r="C35">
        <v>-4.8356113193808187E-3</v>
      </c>
      <c r="D35">
        <v>-4.5365973912259855E-3</v>
      </c>
      <c r="E35">
        <v>-4.2955497440519477E-3</v>
      </c>
      <c r="F35">
        <v>-4.1225856623867407E-3</v>
      </c>
      <c r="G35">
        <v>-4.0145759805387737E-3</v>
      </c>
      <c r="H35">
        <v>-3.7485576657887111E-3</v>
      </c>
      <c r="I35">
        <v>-3.6543441363665764E-3</v>
      </c>
      <c r="J35">
        <v>-3.4845164194589047E-3</v>
      </c>
      <c r="K35">
        <v>-3.4506648282916349E-3</v>
      </c>
      <c r="L35">
        <v>-3.4459274665635856E-3</v>
      </c>
      <c r="M35">
        <v>-3.5089029663108681E-3</v>
      </c>
      <c r="N35">
        <v>-3.5241578817893048E-3</v>
      </c>
      <c r="O35">
        <v>-3.5057230717435548E-3</v>
      </c>
      <c r="P35">
        <v>-3.4396098901135117E-3</v>
      </c>
      <c r="Q35">
        <v>-3.433612971599647E-3</v>
      </c>
      <c r="R35">
        <v>-3.4586092123023971E-3</v>
      </c>
      <c r="S35">
        <v>-3.3024161895380405E-3</v>
      </c>
      <c r="T35">
        <v>-3.209913032248911E-3</v>
      </c>
      <c r="U35">
        <v>-3.0221215849268253E-3</v>
      </c>
    </row>
    <row r="36" spans="1:21">
      <c r="A36" t="s">
        <v>32</v>
      </c>
      <c r="B36">
        <v>-5.1182176857788855E-3</v>
      </c>
      <c r="C36">
        <v>-4.8907837718108254E-3</v>
      </c>
      <c r="D36">
        <v>-4.577586183843501E-3</v>
      </c>
      <c r="E36">
        <v>-4.3538444866699933E-3</v>
      </c>
      <c r="F36">
        <v>-4.1391698842675757E-3</v>
      </c>
      <c r="G36">
        <v>-3.949517476796954E-3</v>
      </c>
      <c r="H36">
        <v>-3.7712547828378756E-3</v>
      </c>
      <c r="I36">
        <v>-3.6353330418393078E-3</v>
      </c>
      <c r="J36">
        <v>-3.6755237242193208E-3</v>
      </c>
      <c r="K36">
        <v>-3.5358353288655331E-3</v>
      </c>
      <c r="L36">
        <v>-3.4859574780470894E-3</v>
      </c>
      <c r="M36">
        <v>-3.496619973333193E-3</v>
      </c>
      <c r="N36">
        <v>-3.3641807476762512E-3</v>
      </c>
      <c r="O36">
        <v>-3.4269105266350615E-3</v>
      </c>
      <c r="P36">
        <v>-3.5257895536385622E-3</v>
      </c>
      <c r="Q36">
        <v>-3.5244314996560962E-3</v>
      </c>
      <c r="R36">
        <v>-3.6981271499152537E-3</v>
      </c>
      <c r="S36">
        <v>-3.6860109666083897E-3</v>
      </c>
      <c r="T36">
        <v>-3.6120886380113051E-3</v>
      </c>
      <c r="U36">
        <v>-3.6125962049980823E-3</v>
      </c>
    </row>
    <row r="37" spans="1:21">
      <c r="A37" t="s">
        <v>33</v>
      </c>
      <c r="B37">
        <v>-4.5224364680545581E-3</v>
      </c>
      <c r="C37">
        <v>-4.0826282169373592E-3</v>
      </c>
      <c r="D37">
        <v>-3.4652896699266075E-3</v>
      </c>
      <c r="E37">
        <v>-2.9127363703371446E-3</v>
      </c>
      <c r="F37">
        <v>-2.4887661797693746E-3</v>
      </c>
      <c r="G37">
        <v>-2.1237660591743612E-3</v>
      </c>
      <c r="H37">
        <v>-1.8615364398733298E-3</v>
      </c>
      <c r="I37">
        <v>-1.713708559836147E-3</v>
      </c>
      <c r="J37">
        <v>-1.6545312164513723E-3</v>
      </c>
      <c r="K37">
        <v>-1.5510777779795526E-3</v>
      </c>
      <c r="L37">
        <v>-1.4683995905053746E-3</v>
      </c>
      <c r="M37">
        <v>-1.4739524146901474E-3</v>
      </c>
      <c r="N37">
        <v>-1.4639481581350847E-3</v>
      </c>
      <c r="O37">
        <v>-1.4748381896431768E-3</v>
      </c>
      <c r="P37">
        <v>-1.3672477929891937E-3</v>
      </c>
      <c r="Q37">
        <v>-1.3703516823373682E-3</v>
      </c>
      <c r="R37">
        <v>-1.4765540998191566E-3</v>
      </c>
      <c r="S37">
        <v>-1.4524867658257962E-3</v>
      </c>
      <c r="T37">
        <v>-1.1501645025765422E-3</v>
      </c>
      <c r="U37">
        <v>-1.0744435734355961E-3</v>
      </c>
    </row>
  </sheetData>
  <phoneticPr fontId="0" type="noConversion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18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 Chg_R_posneg _1.4A"</f>
        <v xml:space="preserve"> Chg_R_posneg _1.4A</v>
      </c>
      <c r="C1" s="1" t="str">
        <f>" Chg_R_posneg _2A"</f>
        <v xml:space="preserve"> Chg_R_posneg _2A</v>
      </c>
      <c r="D1" s="1" t="str">
        <f>" Chg_R_posneg _3A"</f>
        <v xml:space="preserve"> Chg_R_posneg _3A</v>
      </c>
      <c r="E1" s="1" t="str">
        <f>" Chg_R_posneg _4A"</f>
        <v xml:space="preserve"> Chg_R_posneg _4A</v>
      </c>
      <c r="F1" s="1" t="str">
        <f>" Chg_R_posneg _5A"</f>
        <v xml:space="preserve"> Chg_R_posneg _5A</v>
      </c>
      <c r="G1" s="1" t="str">
        <f>" Chg_R_posneg _6A"</f>
        <v xml:space="preserve"> Chg_R_posneg _6A</v>
      </c>
      <c r="H1" s="1" t="str">
        <f>" Chg_R_posneg _7A"</f>
        <v xml:space="preserve"> Chg_R_posneg _7A</v>
      </c>
      <c r="I1" s="1" t="str">
        <f>" Chg_R_posneg _8A"</f>
        <v xml:space="preserve"> Chg_R_posneg _8A</v>
      </c>
      <c r="J1" s="1" t="str">
        <f>" Chg_R_posneg _9A"</f>
        <v xml:space="preserve"> Chg_R_posneg _9A</v>
      </c>
      <c r="K1" s="1" t="str">
        <f>" Chg_R_posneg _10A"</f>
        <v xml:space="preserve"> Chg_R_posneg _10A</v>
      </c>
      <c r="L1" s="1" t="str">
        <f>" Chg_R_posneg _11A"</f>
        <v xml:space="preserve"> Chg_R_posneg _11A</v>
      </c>
      <c r="M1" s="1" t="str">
        <f>" Chg_R_posneg _12A"</f>
        <v xml:space="preserve"> Chg_R_posneg _12A</v>
      </c>
      <c r="N1" s="1" t="str">
        <f>" Chg_R_posneg _13A"</f>
        <v xml:space="preserve"> Chg_R_posneg _13A</v>
      </c>
      <c r="O1" s="1" t="str">
        <f>" Chg_R_posneg _14A"</f>
        <v xml:space="preserve"> Chg_R_posneg _14A</v>
      </c>
      <c r="P1" s="1" t="str">
        <f>" Chg_R_posneg _15A"</f>
        <v xml:space="preserve"> Chg_R_posneg _15A</v>
      </c>
      <c r="Q1" s="1" t="str">
        <f>" Chg_R_posneg _16A"</f>
        <v xml:space="preserve"> Chg_R_posneg _16A</v>
      </c>
      <c r="R1" s="1" t="str">
        <f>" Chg_R_posneg _17A"</f>
        <v xml:space="preserve"> Chg_R_posneg _17A</v>
      </c>
      <c r="S1" s="1" t="str">
        <f>" Chg_R_posneg _18A"</f>
        <v xml:space="preserve"> Chg_R_posneg _18A</v>
      </c>
      <c r="T1" s="1" t="str">
        <f>" Chg_R_posneg _19A"</f>
        <v xml:space="preserve"> Chg_R_posneg _19A</v>
      </c>
      <c r="U1" s="1" t="str">
        <f>" Chg_R_posneg _20A"</f>
        <v xml:space="preserve"> Chg_R_posneg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-0.29259772178193943</v>
      </c>
      <c r="C3">
        <v>-0.33571655648954174</v>
      </c>
      <c r="D3">
        <v>-0.38571911005106441</v>
      </c>
      <c r="E3">
        <v>-0.44251128259100203</v>
      </c>
      <c r="F3">
        <v>-0.4519475037520968</v>
      </c>
      <c r="G3">
        <v>-0.47018312126379824</v>
      </c>
      <c r="H3">
        <v>-0.50203449420384283</v>
      </c>
      <c r="I3">
        <v>-0.51387161140727033</v>
      </c>
      <c r="J3">
        <v>-0.53039538499161543</v>
      </c>
      <c r="K3">
        <v>-0.54769126742436713</v>
      </c>
      <c r="L3">
        <v>-0.52186699073101062</v>
      </c>
      <c r="M3">
        <v>-0.51480940654053198</v>
      </c>
      <c r="N3">
        <v>-0.53007757779909037</v>
      </c>
      <c r="O3">
        <v>-0.54515703379723768</v>
      </c>
      <c r="P3">
        <v>-0.54781215472789802</v>
      </c>
      <c r="Q3">
        <v>-0.536355356700291</v>
      </c>
      <c r="R3">
        <v>-0.5427902553556988</v>
      </c>
      <c r="S3">
        <v>-0.56664849144306884</v>
      </c>
      <c r="T3">
        <v>-0.56129115719336775</v>
      </c>
      <c r="U3">
        <v>-0.59628033207430708</v>
      </c>
    </row>
    <row r="4" spans="1:24">
      <c r="A4" t="s">
        <v>1</v>
      </c>
      <c r="B4">
        <v>-0.27268267852288386</v>
      </c>
      <c r="C4">
        <v>-0.31426969415378347</v>
      </c>
      <c r="D4">
        <v>-0.37342141957479325</v>
      </c>
      <c r="E4">
        <v>-0.42250605221760984</v>
      </c>
      <c r="F4">
        <v>-0.44436361346934078</v>
      </c>
      <c r="G4">
        <v>-0.46576622701866466</v>
      </c>
      <c r="H4">
        <v>-0.46057333412213186</v>
      </c>
      <c r="I4">
        <v>-0.48848827273745576</v>
      </c>
      <c r="J4">
        <v>-0.48613003535836147</v>
      </c>
      <c r="K4">
        <v>-0.49586363514314574</v>
      </c>
      <c r="L4">
        <v>-0.47238412537372909</v>
      </c>
      <c r="M4">
        <v>-0.48213484150154196</v>
      </c>
      <c r="N4">
        <v>-0.4739910037031333</v>
      </c>
      <c r="O4">
        <v>-0.48297498893183205</v>
      </c>
      <c r="P4">
        <v>-0.48801361475872068</v>
      </c>
      <c r="Q4">
        <v>-0.48557760471738565</v>
      </c>
      <c r="R4">
        <v>-0.48541753468133747</v>
      </c>
      <c r="S4">
        <v>-0.47954028696626694</v>
      </c>
      <c r="T4">
        <v>-0.49255190819004158</v>
      </c>
      <c r="U4">
        <v>-0.49442705274489007</v>
      </c>
    </row>
    <row r="5" spans="1:24">
      <c r="A5" t="s">
        <v>2</v>
      </c>
      <c r="B5">
        <v>-0.25564925466657695</v>
      </c>
      <c r="C5">
        <v>-0.287208538101138</v>
      </c>
      <c r="D5">
        <v>-0.32381169771847401</v>
      </c>
      <c r="E5">
        <v>-0.35890228040986633</v>
      </c>
      <c r="F5">
        <v>-0.37420387375864217</v>
      </c>
      <c r="G5">
        <v>-0.40659705497328119</v>
      </c>
      <c r="H5">
        <v>-0.44398955536254703</v>
      </c>
      <c r="I5">
        <v>-0.47159855988408406</v>
      </c>
      <c r="J5">
        <v>-0.47451763751281173</v>
      </c>
      <c r="K5">
        <v>-0.49421236387933209</v>
      </c>
      <c r="L5">
        <v>-0.5020322850275768</v>
      </c>
      <c r="M5">
        <v>-0.5130253257170474</v>
      </c>
      <c r="N5">
        <v>-0.52431670826682264</v>
      </c>
      <c r="O5">
        <v>-0.53786551187801068</v>
      </c>
      <c r="P5">
        <v>-0.53672508183493328</v>
      </c>
      <c r="Q5">
        <v>-0.5529588538590744</v>
      </c>
      <c r="R5">
        <v>-0.57056860371724616</v>
      </c>
      <c r="S5">
        <v>-0.5697004875886329</v>
      </c>
      <c r="T5">
        <v>-0.58004612681822099</v>
      </c>
      <c r="U5">
        <v>-0.59917153239331644</v>
      </c>
    </row>
    <row r="6" spans="1:24">
      <c r="A6" t="s">
        <v>3</v>
      </c>
      <c r="B6">
        <v>-0.24488364694036557</v>
      </c>
      <c r="C6">
        <v>-0.31018012081909885</v>
      </c>
      <c r="D6">
        <v>-0.3652838521426407</v>
      </c>
      <c r="E6">
        <v>-0.38953924250702071</v>
      </c>
      <c r="F6">
        <v>-0.43213269612271288</v>
      </c>
      <c r="G6">
        <v>-0.47171495188014684</v>
      </c>
      <c r="H6">
        <v>-0.50566583674794896</v>
      </c>
      <c r="I6">
        <v>-0.53559912252280006</v>
      </c>
      <c r="J6">
        <v>-0.53779865943617111</v>
      </c>
      <c r="K6">
        <v>-0.55365767989472037</v>
      </c>
      <c r="L6">
        <v>-0.54212276134378878</v>
      </c>
      <c r="M6">
        <v>-0.56186579848822171</v>
      </c>
      <c r="N6">
        <v>-0.54311880681318003</v>
      </c>
      <c r="O6">
        <v>-0.53180820003050977</v>
      </c>
      <c r="P6">
        <v>-0.53776555596484721</v>
      </c>
      <c r="Q6">
        <v>-0.57334040034463352</v>
      </c>
      <c r="R6">
        <v>-0.56093936940297529</v>
      </c>
      <c r="S6">
        <v>-0.57205518610221318</v>
      </c>
      <c r="T6">
        <v>-0.61650628949445718</v>
      </c>
      <c r="U6">
        <v>-0.59793308791434652</v>
      </c>
    </row>
    <row r="7" spans="1:24">
      <c r="A7" t="s">
        <v>4</v>
      </c>
      <c r="B7">
        <v>-0.25722049082764697</v>
      </c>
      <c r="C7">
        <v>-0.31252791567636945</v>
      </c>
      <c r="D7">
        <v>-0.36977832564523455</v>
      </c>
      <c r="E7">
        <v>-0.42991145352642252</v>
      </c>
      <c r="F7">
        <v>-0.46765992255374733</v>
      </c>
      <c r="G7">
        <v>-0.4769254477019701</v>
      </c>
      <c r="H7">
        <v>-0.50143081570792503</v>
      </c>
      <c r="I7">
        <v>-0.53816366271396632</v>
      </c>
      <c r="J7">
        <v>-0.54323004913388506</v>
      </c>
      <c r="K7">
        <v>-0.52507955146654051</v>
      </c>
      <c r="L7">
        <v>-0.57060782102369056</v>
      </c>
      <c r="M7">
        <v>-0.55107518687141899</v>
      </c>
      <c r="N7">
        <v>-0.5854309613492451</v>
      </c>
      <c r="O7">
        <v>-0.56338977393556267</v>
      </c>
      <c r="P7">
        <v>-0.5656448622881356</v>
      </c>
      <c r="Q7">
        <v>-0.53098655848491361</v>
      </c>
      <c r="R7">
        <v>-0.52097071143684892</v>
      </c>
      <c r="S7">
        <v>-0.57539786540371185</v>
      </c>
      <c r="T7">
        <v>-0.58388246939408439</v>
      </c>
      <c r="U7">
        <v>-0.59347390708210124</v>
      </c>
    </row>
    <row r="8" spans="1:24">
      <c r="A8" t="s">
        <v>5</v>
      </c>
      <c r="B8">
        <v>-0.22759314967099675</v>
      </c>
      <c r="C8">
        <v>-0.26297866312924489</v>
      </c>
      <c r="D8">
        <v>-0.31339385963416566</v>
      </c>
      <c r="E8">
        <v>-0.34760612614415648</v>
      </c>
      <c r="F8">
        <v>-0.36821266730060193</v>
      </c>
      <c r="G8">
        <v>-0.39326502361992888</v>
      </c>
      <c r="H8">
        <v>-0.42249126996458913</v>
      </c>
      <c r="I8">
        <v>-0.42991957863569741</v>
      </c>
      <c r="J8">
        <v>-0.43617619571281896</v>
      </c>
      <c r="K8">
        <v>-0.4413871629026167</v>
      </c>
      <c r="L8">
        <v>-0.43851989637113625</v>
      </c>
      <c r="M8">
        <v>-0.42968634932760164</v>
      </c>
      <c r="N8">
        <v>-0.46309775389947161</v>
      </c>
      <c r="O8">
        <v>-0.46887220392753554</v>
      </c>
      <c r="P8">
        <v>-0.50563632351429777</v>
      </c>
      <c r="Q8">
        <v>-0.50158541021796821</v>
      </c>
      <c r="R8">
        <v>-0.52293145341370428</v>
      </c>
      <c r="S8">
        <v>-0.52790179244192192</v>
      </c>
      <c r="T8">
        <v>-0.5385865545226296</v>
      </c>
      <c r="U8">
        <v>-0.55473702165747152</v>
      </c>
    </row>
    <row r="9" spans="1:24">
      <c r="A9" t="s">
        <v>6</v>
      </c>
      <c r="B9">
        <v>-0.26066496492129282</v>
      </c>
      <c r="C9">
        <v>-0.31236061840520885</v>
      </c>
      <c r="D9">
        <v>-0.37570648935626244</v>
      </c>
      <c r="E9">
        <v>-0.43800360553381484</v>
      </c>
      <c r="F9">
        <v>-0.47407720584866986</v>
      </c>
      <c r="G9">
        <v>-0.49945784972510687</v>
      </c>
      <c r="H9">
        <v>-0.50420826695477006</v>
      </c>
      <c r="I9">
        <v>-0.52920520624256751</v>
      </c>
      <c r="J9">
        <v>-0.54713479454980651</v>
      </c>
      <c r="K9">
        <v>-0.53586336493396403</v>
      </c>
      <c r="L9">
        <v>-0.5441034483216719</v>
      </c>
      <c r="M9">
        <v>-0.57523438889104272</v>
      </c>
      <c r="N9">
        <v>-0.57272388967222243</v>
      </c>
      <c r="O9">
        <v>-0.59174830899534914</v>
      </c>
      <c r="P9">
        <v>-0.60117227636224335</v>
      </c>
      <c r="Q9">
        <v>-0.6042918659743447</v>
      </c>
      <c r="R9">
        <v>-0.6250120674263091</v>
      </c>
      <c r="S9">
        <v>-0.64608253675642879</v>
      </c>
      <c r="T9">
        <v>-0.67456393508988588</v>
      </c>
      <c r="U9">
        <v>-0.65023566842246339</v>
      </c>
    </row>
    <row r="10" spans="1:24">
      <c r="A10" t="s">
        <v>7</v>
      </c>
      <c r="B10">
        <v>-0.26064759196298087</v>
      </c>
      <c r="C10">
        <v>-0.32510843042903353</v>
      </c>
      <c r="D10">
        <v>-0.39678259944994992</v>
      </c>
      <c r="E10">
        <v>-0.45470289224188165</v>
      </c>
      <c r="F10">
        <v>-0.50752079738883682</v>
      </c>
      <c r="G10">
        <v>-0.54711134467377887</v>
      </c>
      <c r="H10">
        <v>-0.59665203605046646</v>
      </c>
      <c r="I10">
        <v>-0.64841289292986015</v>
      </c>
      <c r="J10">
        <v>-0.65746143792727063</v>
      </c>
      <c r="K10">
        <v>-0.66998684024019051</v>
      </c>
      <c r="L10">
        <v>-0.65296736059458149</v>
      </c>
      <c r="M10">
        <v>-0.66121618217290501</v>
      </c>
      <c r="N10">
        <v>-0.67975172668762573</v>
      </c>
      <c r="O10">
        <v>-0.69235846896192932</v>
      </c>
      <c r="P10">
        <v>-0.68340835956393509</v>
      </c>
      <c r="Q10">
        <v>-0.6893832363728738</v>
      </c>
      <c r="R10">
        <v>-0.69475099732102985</v>
      </c>
      <c r="S10">
        <v>-0.74894309344690724</v>
      </c>
      <c r="T10">
        <v>-0.71979121296120208</v>
      </c>
      <c r="U10">
        <v>-0.72009985916697716</v>
      </c>
    </row>
    <row r="11" spans="1:24">
      <c r="A11" t="s">
        <v>8</v>
      </c>
      <c r="B11">
        <v>-0.24749069239986304</v>
      </c>
      <c r="C11">
        <v>-0.31240047547037331</v>
      </c>
      <c r="D11">
        <v>-0.3822492438582123</v>
      </c>
      <c r="E11">
        <v>-0.45095187724169061</v>
      </c>
      <c r="F11">
        <v>-0.50560249981715211</v>
      </c>
      <c r="G11">
        <v>-0.54876999040229413</v>
      </c>
      <c r="H11">
        <v>-0.58340572718334704</v>
      </c>
      <c r="I11">
        <v>-0.65048589275982061</v>
      </c>
      <c r="J11">
        <v>-0.65112272983625419</v>
      </c>
      <c r="K11">
        <v>-0.69707047389702992</v>
      </c>
      <c r="L11">
        <v>-0.67799607262697115</v>
      </c>
      <c r="M11">
        <v>-0.70609662698408038</v>
      </c>
      <c r="N11">
        <v>-0.75821826914505774</v>
      </c>
      <c r="O11">
        <v>-0.77068924779117676</v>
      </c>
      <c r="P11">
        <v>-0.76687501557072091</v>
      </c>
      <c r="Q11">
        <v>-0.81492545253605531</v>
      </c>
      <c r="R11">
        <v>-0.8305376214816117</v>
      </c>
      <c r="S11">
        <v>-0.84970353898175666</v>
      </c>
      <c r="T11">
        <v>-0.8984989729100662</v>
      </c>
      <c r="U11">
        <v>-0.86955141915209089</v>
      </c>
    </row>
    <row r="12" spans="1:24">
      <c r="A12" t="s">
        <v>9</v>
      </c>
      <c r="B12">
        <v>-0.22292380207744722</v>
      </c>
      <c r="C12">
        <v>-0.26309241484851725</v>
      </c>
      <c r="D12">
        <v>-0.30691897686263853</v>
      </c>
      <c r="E12">
        <v>-0.3045404050246025</v>
      </c>
      <c r="F12">
        <v>-0.30880956159362793</v>
      </c>
      <c r="G12">
        <v>-0.30989538471132383</v>
      </c>
      <c r="H12">
        <v>-0.30349009046515146</v>
      </c>
      <c r="I12">
        <v>-0.31339216252691943</v>
      </c>
      <c r="J12">
        <v>-0.30284197777394961</v>
      </c>
      <c r="K12">
        <v>-0.3108497259464813</v>
      </c>
      <c r="L12">
        <v>-0.29091024482914007</v>
      </c>
      <c r="M12">
        <v>-0.29516358182078001</v>
      </c>
      <c r="N12">
        <v>-0.27181751238193652</v>
      </c>
      <c r="O12">
        <v>-0.27148011723614801</v>
      </c>
      <c r="P12">
        <v>-0.27007725179334519</v>
      </c>
      <c r="Q12">
        <v>-0.26339383532441091</v>
      </c>
      <c r="R12">
        <v>-0.24943220861145016</v>
      </c>
      <c r="S12">
        <v>-0.26656136781361106</v>
      </c>
      <c r="T12">
        <v>-0.27311952042920351</v>
      </c>
      <c r="U12">
        <v>-0.24460978689403615</v>
      </c>
    </row>
    <row r="13" spans="1:24">
      <c r="A13" t="s">
        <v>10</v>
      </c>
      <c r="B13">
        <v>-0.18012793358935569</v>
      </c>
      <c r="C13">
        <v>-0.20093910741998247</v>
      </c>
      <c r="D13">
        <v>-0.23140698710210733</v>
      </c>
      <c r="E13">
        <v>-0.25123662911541467</v>
      </c>
      <c r="F13">
        <v>-0.26787154149530884</v>
      </c>
      <c r="G13">
        <v>-0.27733767764046752</v>
      </c>
      <c r="H13">
        <v>-0.29995449494887472</v>
      </c>
      <c r="I13">
        <v>-0.31490367995380592</v>
      </c>
      <c r="J13">
        <v>-0.30382117930501279</v>
      </c>
      <c r="K13">
        <v>-0.29511137852288422</v>
      </c>
      <c r="L13">
        <v>-0.28978653929649451</v>
      </c>
      <c r="M13">
        <v>-0.28010805267092681</v>
      </c>
      <c r="N13">
        <v>-0.28717020869785803</v>
      </c>
      <c r="O13">
        <v>-0.27800534117374681</v>
      </c>
      <c r="P13">
        <v>-0.29512964378095641</v>
      </c>
      <c r="Q13">
        <v>-0.29533591028127804</v>
      </c>
      <c r="R13">
        <v>-0.29442070481584576</v>
      </c>
      <c r="S13">
        <v>-0.30311909080214977</v>
      </c>
      <c r="T13">
        <v>-0.30158866584322624</v>
      </c>
      <c r="U13">
        <v>-0.31498607486998947</v>
      </c>
    </row>
    <row r="14" spans="1:24">
      <c r="A14" t="s">
        <v>11</v>
      </c>
      <c r="B14">
        <v>-0.24286691363712382</v>
      </c>
      <c r="C14">
        <v>-0.31831204915842903</v>
      </c>
      <c r="D14">
        <v>-0.39595735569502605</v>
      </c>
      <c r="E14">
        <v>-0.4602783414483515</v>
      </c>
      <c r="F14">
        <v>-0.47093630463058478</v>
      </c>
      <c r="G14">
        <v>-0.49999002528273712</v>
      </c>
      <c r="H14">
        <v>-0.52390507001361253</v>
      </c>
      <c r="I14">
        <v>-0.54266170152475823</v>
      </c>
      <c r="J14">
        <v>-0.56555038715446226</v>
      </c>
      <c r="K14">
        <v>-0.54712240854172467</v>
      </c>
      <c r="L14">
        <v>-0.54208892767643613</v>
      </c>
      <c r="M14">
        <v>-0.5520852624954945</v>
      </c>
      <c r="N14">
        <v>-0.56237703343247702</v>
      </c>
      <c r="O14">
        <v>-0.57288413252605819</v>
      </c>
      <c r="P14">
        <v>-0.61563020711430971</v>
      </c>
      <c r="Q14">
        <v>-0.58602898909998558</v>
      </c>
      <c r="R14">
        <v>-0.57254125674497658</v>
      </c>
      <c r="S14">
        <v>-0.54352559705952386</v>
      </c>
      <c r="T14">
        <v>-0.5164596485112124</v>
      </c>
      <c r="U14">
        <v>-0.53282921792174909</v>
      </c>
    </row>
    <row r="15" spans="1:24">
      <c r="A15" t="s">
        <v>12</v>
      </c>
      <c r="B15">
        <v>-0.33132086220800266</v>
      </c>
      <c r="C15">
        <v>-0.40399939257874146</v>
      </c>
      <c r="D15">
        <v>-0.48411718609181453</v>
      </c>
      <c r="E15">
        <v>-0.54157241975516568</v>
      </c>
      <c r="F15">
        <v>-0.55975268322406024</v>
      </c>
      <c r="G15">
        <v>-0.57138980783767113</v>
      </c>
      <c r="H15">
        <v>-0.58406687801198176</v>
      </c>
      <c r="I15">
        <v>-0.58726295149820829</v>
      </c>
      <c r="J15">
        <v>-0.6021259633874041</v>
      </c>
      <c r="K15">
        <v>-0.60540771401373483</v>
      </c>
      <c r="L15">
        <v>-0.62327555267023016</v>
      </c>
      <c r="M15">
        <v>-0.65788879040920201</v>
      </c>
      <c r="N15">
        <v>-0.66170965040785479</v>
      </c>
      <c r="O15">
        <v>-0.62415913941896872</v>
      </c>
      <c r="P15">
        <v>-0.6477550418605843</v>
      </c>
      <c r="Q15">
        <v>-0.62238149973593815</v>
      </c>
      <c r="R15">
        <v>-0.63857468717888921</v>
      </c>
      <c r="S15">
        <v>-0.65278387803173932</v>
      </c>
      <c r="T15">
        <v>-0.65648172521354586</v>
      </c>
      <c r="U15">
        <v>-0.67557642317556132</v>
      </c>
    </row>
    <row r="16" spans="1:24">
      <c r="A16" t="s">
        <v>13</v>
      </c>
      <c r="B16">
        <v>-0.22035635343971097</v>
      </c>
      <c r="C16">
        <v>-0.27409184015366223</v>
      </c>
      <c r="D16">
        <v>-0.35819362479773537</v>
      </c>
      <c r="E16">
        <v>-0.42153678982416282</v>
      </c>
      <c r="F16">
        <v>-0.45034263840468225</v>
      </c>
      <c r="G16">
        <v>-0.48439891919276346</v>
      </c>
      <c r="H16">
        <v>-0.51293012552131823</v>
      </c>
      <c r="I16">
        <v>-0.53503938551054542</v>
      </c>
      <c r="J16">
        <v>-0.55151223995492193</v>
      </c>
      <c r="K16">
        <v>-0.57351220486672627</v>
      </c>
      <c r="L16">
        <v>-0.58597984600213326</v>
      </c>
      <c r="M16">
        <v>-0.61244152521559581</v>
      </c>
      <c r="N16">
        <v>-0.6128800898581831</v>
      </c>
      <c r="O16">
        <v>-0.60693039564103657</v>
      </c>
      <c r="P16">
        <v>-0.59543011777820143</v>
      </c>
      <c r="Q16">
        <v>-0.63109154520352506</v>
      </c>
      <c r="R16">
        <v>-0.65120662933685236</v>
      </c>
      <c r="S16">
        <v>-0.6426098938855157</v>
      </c>
      <c r="T16">
        <v>-0.63853184736628998</v>
      </c>
      <c r="U16">
        <v>-0.60947495426769938</v>
      </c>
    </row>
    <row r="17" spans="1:21">
      <c r="A17" t="s">
        <v>14</v>
      </c>
      <c r="B17">
        <v>-0.22107751448734866</v>
      </c>
      <c r="C17">
        <v>-0.28083314040019847</v>
      </c>
      <c r="D17">
        <v>-0.36160580773472778</v>
      </c>
      <c r="E17">
        <v>-0.4041166612071953</v>
      </c>
      <c r="F17">
        <v>-0.44486191606939962</v>
      </c>
      <c r="G17">
        <v>-0.47189262416290095</v>
      </c>
      <c r="H17">
        <v>-0.47425971479382001</v>
      </c>
      <c r="I17">
        <v>-0.50098645333026781</v>
      </c>
      <c r="J17">
        <v>-0.50529153892510414</v>
      </c>
      <c r="K17">
        <v>-0.50674893130244425</v>
      </c>
      <c r="L17">
        <v>-0.51147712156238712</v>
      </c>
      <c r="M17">
        <v>-0.50872594007420435</v>
      </c>
      <c r="N17">
        <v>-0.52540619290609503</v>
      </c>
      <c r="O17">
        <v>-0.55278669738784036</v>
      </c>
      <c r="P17">
        <v>-0.53561881733191863</v>
      </c>
      <c r="Q17">
        <v>-0.53566724120218701</v>
      </c>
      <c r="R17">
        <v>-0.55598017727665427</v>
      </c>
      <c r="S17">
        <v>-0.5446640295528794</v>
      </c>
      <c r="T17">
        <v>-0.54306454519377168</v>
      </c>
      <c r="U17">
        <v>-0.54297351012733452</v>
      </c>
    </row>
    <row r="18" spans="1:21">
      <c r="A18" t="s">
        <v>15</v>
      </c>
      <c r="B18">
        <v>-0.24801934949758772</v>
      </c>
      <c r="C18">
        <v>-0.32796211053631141</v>
      </c>
      <c r="D18">
        <v>-0.42619668512502884</v>
      </c>
      <c r="E18">
        <v>-0.48394424855158746</v>
      </c>
      <c r="F18">
        <v>-0.52679837413744213</v>
      </c>
      <c r="G18">
        <v>-0.5450145734019145</v>
      </c>
      <c r="H18">
        <v>-0.5736076543104407</v>
      </c>
      <c r="I18">
        <v>-0.5658299622615901</v>
      </c>
      <c r="J18">
        <v>-0.57064324600841676</v>
      </c>
      <c r="K18">
        <v>-0.57561268339915728</v>
      </c>
      <c r="L18">
        <v>-0.5895046390598464</v>
      </c>
      <c r="M18">
        <v>-0.59719717223328295</v>
      </c>
      <c r="N18">
        <v>-0.63654902689298465</v>
      </c>
      <c r="O18">
        <v>-0.63260723761393378</v>
      </c>
      <c r="P18">
        <v>-0.60106382163124428</v>
      </c>
      <c r="Q18">
        <v>-0.6073513595432013</v>
      </c>
      <c r="R18">
        <v>-0.61276073726232938</v>
      </c>
      <c r="S18">
        <v>-0.60021821684369203</v>
      </c>
      <c r="T18">
        <v>-0.59203604105569108</v>
      </c>
      <c r="U18">
        <v>-0.58298582086713435</v>
      </c>
    </row>
    <row r="19" spans="1:21">
      <c r="A19" t="s">
        <v>16</v>
      </c>
      <c r="B19">
        <v>-0.32570367269571238</v>
      </c>
      <c r="C19">
        <v>-0.37980524077567041</v>
      </c>
      <c r="D19">
        <v>-0.45495579786598767</v>
      </c>
      <c r="E19">
        <v>-0.50039101571160249</v>
      </c>
      <c r="F19">
        <v>-0.5276943232399629</v>
      </c>
      <c r="G19">
        <v>-0.5609200363401815</v>
      </c>
      <c r="H19">
        <v>-0.58412606747865037</v>
      </c>
      <c r="I19">
        <v>-0.5965752048125299</v>
      </c>
      <c r="J19">
        <v>-0.59991278622587285</v>
      </c>
      <c r="K19">
        <v>-0.61335961149488438</v>
      </c>
      <c r="L19">
        <v>-0.63276538462416743</v>
      </c>
      <c r="M19">
        <v>-0.64160195925264485</v>
      </c>
      <c r="N19">
        <v>-0.64873276792162637</v>
      </c>
      <c r="O19">
        <v>-0.6518921532418851</v>
      </c>
      <c r="P19">
        <v>-0.64949149054390543</v>
      </c>
      <c r="Q19">
        <v>-0.66217166559358565</v>
      </c>
      <c r="R19">
        <v>-0.64802371440195095</v>
      </c>
      <c r="S19">
        <v>-0.65259635230610458</v>
      </c>
      <c r="T19">
        <v>-0.64281632065004457</v>
      </c>
      <c r="U19">
        <v>-0.64952777528012073</v>
      </c>
    </row>
    <row r="20" spans="1:21">
      <c r="A20" t="s">
        <v>17</v>
      </c>
      <c r="B20">
        <v>-0.34525391818732293</v>
      </c>
      <c r="C20">
        <v>-0.42201527015832363</v>
      </c>
      <c r="D20">
        <v>-0.49710547810475064</v>
      </c>
      <c r="E20">
        <v>-0.53465607465971987</v>
      </c>
      <c r="F20">
        <v>-0.57204817802641672</v>
      </c>
      <c r="G20">
        <v>-0.6127585907168106</v>
      </c>
      <c r="H20">
        <v>-0.63281515990211279</v>
      </c>
      <c r="I20">
        <v>-0.6667568175385129</v>
      </c>
      <c r="J20">
        <v>-0.69671635485803973</v>
      </c>
      <c r="K20">
        <v>-0.69894176846157285</v>
      </c>
      <c r="L20">
        <v>-0.69367918485637559</v>
      </c>
      <c r="M20">
        <v>-0.72520802827247766</v>
      </c>
      <c r="N20">
        <v>-0.7315006101844288</v>
      </c>
      <c r="O20">
        <v>-0.73572395893211018</v>
      </c>
      <c r="P20">
        <v>-0.75472986089060345</v>
      </c>
      <c r="Q20">
        <v>-0.77029687774895461</v>
      </c>
      <c r="R20">
        <v>-0.77316403857797544</v>
      </c>
      <c r="S20">
        <v>-0.78367872906783353</v>
      </c>
      <c r="T20">
        <v>-0.79557526161826186</v>
      </c>
      <c r="U20">
        <v>-0.7956702465217016</v>
      </c>
    </row>
    <row r="21" spans="1:21">
      <c r="A21" t="s">
        <v>18</v>
      </c>
      <c r="B21">
        <v>-0.34396809101338938</v>
      </c>
      <c r="C21">
        <v>-0.41830949313773114</v>
      </c>
      <c r="D21">
        <v>-0.49256343516746293</v>
      </c>
      <c r="E21">
        <v>-0.52993914417807708</v>
      </c>
      <c r="F21">
        <v>-0.56177340372348639</v>
      </c>
      <c r="G21">
        <v>-0.61208857581921328</v>
      </c>
      <c r="H21">
        <v>-0.61869267991295251</v>
      </c>
      <c r="I21">
        <v>-0.64771459453942803</v>
      </c>
      <c r="J21">
        <v>-0.66379286879712374</v>
      </c>
      <c r="K21">
        <v>-0.69399123921596739</v>
      </c>
      <c r="L21">
        <v>-0.71003603328828446</v>
      </c>
      <c r="M21">
        <v>-0.72223939501852541</v>
      </c>
      <c r="N21">
        <v>-0.71696970257143855</v>
      </c>
      <c r="O21">
        <v>-0.73392092636964612</v>
      </c>
      <c r="P21">
        <v>-0.752982595755046</v>
      </c>
      <c r="Q21">
        <v>-0.75357567404215653</v>
      </c>
      <c r="R21">
        <v>-0.765170713737235</v>
      </c>
      <c r="S21">
        <v>-0.76822505727614698</v>
      </c>
      <c r="T21">
        <v>-0.77856249825747592</v>
      </c>
      <c r="U21">
        <v>-0.80865373916207295</v>
      </c>
    </row>
    <row r="22" spans="1:21">
      <c r="A22" t="s">
        <v>19</v>
      </c>
      <c r="B22">
        <v>-0.3120395457672609</v>
      </c>
      <c r="C22">
        <v>-0.36922856093403228</v>
      </c>
      <c r="D22">
        <v>-0.43025807161995189</v>
      </c>
      <c r="E22">
        <v>-0.45349333842380823</v>
      </c>
      <c r="F22">
        <v>-0.47902941007057059</v>
      </c>
      <c r="G22">
        <v>-0.50693528695688872</v>
      </c>
      <c r="H22">
        <v>-0.53152932847446788</v>
      </c>
      <c r="I22">
        <v>-0.54552264990971555</v>
      </c>
      <c r="J22">
        <v>-0.57537576628743459</v>
      </c>
      <c r="K22">
        <v>-0.58508803507433416</v>
      </c>
      <c r="L22">
        <v>-0.6186203857412369</v>
      </c>
      <c r="M22">
        <v>-0.60936766161024136</v>
      </c>
      <c r="N22">
        <v>-0.61571743477793017</v>
      </c>
      <c r="O22">
        <v>-0.63807921413546875</v>
      </c>
      <c r="P22">
        <v>-0.66120161082446993</v>
      </c>
      <c r="Q22">
        <v>-0.67180032895048714</v>
      </c>
      <c r="R22">
        <v>-0.69191061571197687</v>
      </c>
      <c r="S22">
        <v>-0.69547404887455455</v>
      </c>
      <c r="T22">
        <v>-0.71206552161758419</v>
      </c>
      <c r="U22">
        <v>-0.71620172937822502</v>
      </c>
    </row>
    <row r="23" spans="1:21">
      <c r="A23" t="s">
        <v>20</v>
      </c>
      <c r="B23">
        <v>-0.34174728593427889</v>
      </c>
      <c r="C23">
        <v>-0.4160879678357946</v>
      </c>
      <c r="D23">
        <v>-0.48827126651108427</v>
      </c>
      <c r="E23">
        <v>-0.52320702599854541</v>
      </c>
      <c r="F23">
        <v>-0.55745781817151341</v>
      </c>
      <c r="G23">
        <v>-0.6002354080410377</v>
      </c>
      <c r="H23">
        <v>-0.62087193562935761</v>
      </c>
      <c r="I23">
        <v>-0.64390560638879846</v>
      </c>
      <c r="J23">
        <v>-0.67530739825719566</v>
      </c>
      <c r="K23">
        <v>-0.68603030302254253</v>
      </c>
      <c r="L23">
        <v>-0.69461381235150288</v>
      </c>
      <c r="M23">
        <v>-0.71078843995510665</v>
      </c>
      <c r="N23">
        <v>-0.71764652193477718</v>
      </c>
      <c r="O23">
        <v>-0.74178735182014144</v>
      </c>
      <c r="P23">
        <v>-0.76397650559237174</v>
      </c>
      <c r="Q23">
        <v>-0.76765004518316338</v>
      </c>
      <c r="R23">
        <v>-0.7781619041483635</v>
      </c>
      <c r="S23">
        <v>-0.77283192144629498</v>
      </c>
      <c r="T23">
        <v>-0.7982407817345919</v>
      </c>
      <c r="U23">
        <v>-0.81373200192289252</v>
      </c>
    </row>
    <row r="24" spans="1:21">
      <c r="A24" t="s">
        <v>21</v>
      </c>
      <c r="B24">
        <v>-0.32244926322202333</v>
      </c>
      <c r="C24">
        <v>-0.37926535456992599</v>
      </c>
      <c r="D24">
        <v>-0.44584807136574944</v>
      </c>
      <c r="E24">
        <v>-0.475631277896581</v>
      </c>
      <c r="F24">
        <v>-0.50140328292580727</v>
      </c>
      <c r="G24">
        <v>-0.55225983610597207</v>
      </c>
      <c r="H24">
        <v>-0.57505951698206204</v>
      </c>
      <c r="I24">
        <v>-0.62229000943440593</v>
      </c>
      <c r="J24">
        <v>-0.62309233909299977</v>
      </c>
      <c r="K24">
        <v>-0.63020624993386032</v>
      </c>
      <c r="L24">
        <v>-0.64752798159955971</v>
      </c>
      <c r="M24">
        <v>-0.65958472653650257</v>
      </c>
      <c r="N24">
        <v>-0.6596510628425728</v>
      </c>
      <c r="O24">
        <v>-0.67240230492700359</v>
      </c>
      <c r="P24">
        <v>-0.66501017903348991</v>
      </c>
      <c r="Q24">
        <v>-0.67600514465241757</v>
      </c>
      <c r="R24">
        <v>-0.69082672311463567</v>
      </c>
      <c r="S24">
        <v>-0.70136070470986189</v>
      </c>
      <c r="T24">
        <v>-0.70429852762163647</v>
      </c>
      <c r="U24">
        <v>-0.70624633753840937</v>
      </c>
    </row>
    <row r="25" spans="1:21">
      <c r="A25" t="s">
        <v>34</v>
      </c>
      <c r="B25">
        <v>-0.34116519424447717</v>
      </c>
      <c r="C25">
        <v>-0.41170422197828777</v>
      </c>
      <c r="D25">
        <v>-0.48615201778008665</v>
      </c>
      <c r="E25">
        <v>-0.52757287026120114</v>
      </c>
      <c r="F25">
        <v>-0.56499921593225655</v>
      </c>
      <c r="G25">
        <v>-0.59967273117342845</v>
      </c>
      <c r="H25">
        <v>-0.61895744540788711</v>
      </c>
      <c r="I25">
        <v>-0.63231032533978904</v>
      </c>
      <c r="J25">
        <v>-0.66810100900809488</v>
      </c>
      <c r="K25">
        <v>-0.69566150997899356</v>
      </c>
      <c r="L25">
        <v>-0.71932894336520248</v>
      </c>
      <c r="M25">
        <v>-0.73908318371918946</v>
      </c>
      <c r="N25">
        <v>-0.75538388438934601</v>
      </c>
      <c r="O25">
        <v>-0.75738344763233012</v>
      </c>
      <c r="P25">
        <v>-0.74579843906102283</v>
      </c>
      <c r="Q25">
        <v>-0.73248402501824073</v>
      </c>
      <c r="R25">
        <v>-0.76256790570252253</v>
      </c>
      <c r="S25">
        <v>-0.75395799433574295</v>
      </c>
      <c r="T25">
        <v>-0.77626329006314354</v>
      </c>
      <c r="U25">
        <v>-0.80628803367047785</v>
      </c>
    </row>
    <row r="26" spans="1:21">
      <c r="A26" t="s">
        <v>22</v>
      </c>
      <c r="B26">
        <v>-0.24287583252553968</v>
      </c>
      <c r="C26">
        <v>-0.33429135129179394</v>
      </c>
      <c r="D26">
        <v>-0.45798626004446114</v>
      </c>
      <c r="E26">
        <v>-0.53581530256775933</v>
      </c>
      <c r="F26">
        <v>-0.60262126114773029</v>
      </c>
      <c r="G26">
        <v>-0.66790829248192152</v>
      </c>
      <c r="H26">
        <v>-0.70540418765653845</v>
      </c>
      <c r="I26">
        <v>-0.74005889253939294</v>
      </c>
      <c r="J26">
        <v>-0.8105912514995951</v>
      </c>
      <c r="K26">
        <v>-0.82705272139179886</v>
      </c>
      <c r="L26">
        <v>-0.85278927576566488</v>
      </c>
      <c r="M26">
        <v>-0.89569757143963158</v>
      </c>
      <c r="N26">
        <v>-0.88148147403540278</v>
      </c>
      <c r="O26">
        <v>-0.90167917125318242</v>
      </c>
      <c r="P26">
        <v>-0.92570534065477128</v>
      </c>
      <c r="Q26">
        <v>-0.93900191215744944</v>
      </c>
      <c r="R26">
        <v>-0.93658256107386373</v>
      </c>
      <c r="S26">
        <v>-0.97186344466275776</v>
      </c>
      <c r="T26">
        <v>-0.98531729690584058</v>
      </c>
      <c r="U26">
        <v>-0.97635824711800734</v>
      </c>
    </row>
    <row r="27" spans="1:21">
      <c r="A27" t="s">
        <v>23</v>
      </c>
      <c r="B27">
        <v>-0.3230445820036334</v>
      </c>
      <c r="C27">
        <v>-0.3782792570700575</v>
      </c>
      <c r="D27">
        <v>-0.42306796243323247</v>
      </c>
      <c r="E27">
        <v>-0.43388405989902395</v>
      </c>
      <c r="F27">
        <v>-0.4539765201948221</v>
      </c>
      <c r="G27">
        <v>-0.4743572770992811</v>
      </c>
      <c r="H27">
        <v>-0.50844352977941609</v>
      </c>
      <c r="I27">
        <v>-0.52260539366208747</v>
      </c>
      <c r="J27">
        <v>-0.53572779976693019</v>
      </c>
      <c r="K27">
        <v>-0.54910829584679899</v>
      </c>
      <c r="L27">
        <v>-0.56237293626302665</v>
      </c>
      <c r="M27">
        <v>-0.58820001539911382</v>
      </c>
      <c r="N27">
        <v>-0.61581858328288042</v>
      </c>
      <c r="O27">
        <v>-0.62950963387061132</v>
      </c>
      <c r="P27">
        <v>-0.6205499342132651</v>
      </c>
      <c r="Q27">
        <v>-0.61748013570316385</v>
      </c>
      <c r="R27">
        <v>-0.6219640145589953</v>
      </c>
      <c r="S27">
        <v>-0.62271461653753646</v>
      </c>
      <c r="T27">
        <v>-0.6321991925306627</v>
      </c>
      <c r="U27">
        <v>-0.64849706015325626</v>
      </c>
    </row>
    <row r="28" spans="1:21">
      <c r="A28" t="s">
        <v>24</v>
      </c>
      <c r="B28">
        <v>-0.32530357920691777</v>
      </c>
      <c r="C28">
        <v>-0.39169352781578276</v>
      </c>
      <c r="D28">
        <v>-0.46509181659707949</v>
      </c>
      <c r="E28">
        <v>-0.50541987958010526</v>
      </c>
      <c r="F28">
        <v>-0.5399597038801951</v>
      </c>
      <c r="G28">
        <v>-0.58425659187532475</v>
      </c>
      <c r="H28">
        <v>-0.61840348422131541</v>
      </c>
      <c r="I28">
        <v>-0.64581901123928331</v>
      </c>
      <c r="J28">
        <v>-0.68183955858917056</v>
      </c>
      <c r="K28">
        <v>-0.72128459931929434</v>
      </c>
      <c r="L28">
        <v>-0.72634786593250045</v>
      </c>
      <c r="M28">
        <v>-0.74182762979229666</v>
      </c>
      <c r="N28">
        <v>-0.75272909702223312</v>
      </c>
      <c r="O28">
        <v>-0.76591815128238938</v>
      </c>
      <c r="P28">
        <v>-0.77613637917851819</v>
      </c>
      <c r="Q28">
        <v>-0.75535755782648373</v>
      </c>
      <c r="R28">
        <v>-0.76833868798357896</v>
      </c>
      <c r="S28">
        <v>-0.77759280884082949</v>
      </c>
      <c r="T28">
        <v>-0.78480782696780893</v>
      </c>
      <c r="U28">
        <v>-0.80607597452426216</v>
      </c>
    </row>
    <row r="29" spans="1:21">
      <c r="A29" t="s">
        <v>25</v>
      </c>
      <c r="B29">
        <v>-0.33905367954654109</v>
      </c>
      <c r="C29">
        <v>-0.39576193661645276</v>
      </c>
      <c r="D29">
        <v>-0.46070494486130653</v>
      </c>
      <c r="E29">
        <v>-0.47581301663389297</v>
      </c>
      <c r="F29">
        <v>-0.51293913723920193</v>
      </c>
      <c r="G29">
        <v>-0.53995495309579544</v>
      </c>
      <c r="H29">
        <v>-0.55680374940160271</v>
      </c>
      <c r="I29">
        <v>-0.57349857683605898</v>
      </c>
      <c r="J29">
        <v>-0.58559117544225325</v>
      </c>
      <c r="K29">
        <v>-0.58722774406070744</v>
      </c>
      <c r="L29">
        <v>-0.60544710725292195</v>
      </c>
      <c r="M29">
        <v>-0.59911736340531807</v>
      </c>
      <c r="N29">
        <v>-0.58970659963049732</v>
      </c>
      <c r="O29">
        <v>-0.57917395834102503</v>
      </c>
      <c r="P29">
        <v>-0.57291434822076293</v>
      </c>
      <c r="Q29">
        <v>-0.57916048335806647</v>
      </c>
      <c r="R29">
        <v>-0.5924467446250411</v>
      </c>
      <c r="S29">
        <v>-0.58663822126787202</v>
      </c>
      <c r="T29">
        <v>-0.60437355170207963</v>
      </c>
      <c r="U29">
        <v>-0.62406084984697685</v>
      </c>
    </row>
    <row r="30" spans="1:21">
      <c r="A30" t="s">
        <v>26</v>
      </c>
      <c r="B30">
        <v>-0.23944672356816965</v>
      </c>
      <c r="C30">
        <v>-0.25029545838257644</v>
      </c>
      <c r="D30">
        <v>-0.24185785076979732</v>
      </c>
      <c r="E30">
        <v>-0.23051386140582894</v>
      </c>
      <c r="F30">
        <v>-0.22999951119860843</v>
      </c>
      <c r="G30">
        <v>-0.22594877405948666</v>
      </c>
      <c r="H30">
        <v>-0.22812711340817185</v>
      </c>
      <c r="I30">
        <v>-0.22994980606150944</v>
      </c>
      <c r="J30">
        <v>-0.23081982285155811</v>
      </c>
      <c r="K30">
        <v>-0.24173431409573015</v>
      </c>
      <c r="L30">
        <v>-0.24412776559944913</v>
      </c>
      <c r="M30">
        <v>-0.2260278306572287</v>
      </c>
      <c r="N30">
        <v>-0.22846854190860591</v>
      </c>
      <c r="O30">
        <v>-0.21480423718779273</v>
      </c>
      <c r="P30">
        <v>-0.20750245095152856</v>
      </c>
      <c r="Q30">
        <v>-0.20430135112023259</v>
      </c>
      <c r="R30">
        <v>-0.20805721209351347</v>
      </c>
      <c r="S30">
        <v>-0.21025315935353861</v>
      </c>
      <c r="T30">
        <v>-0.21342396436630937</v>
      </c>
      <c r="U30">
        <v>-0.22072252489079203</v>
      </c>
    </row>
    <row r="31" spans="1:21">
      <c r="A31" t="s">
        <v>27</v>
      </c>
      <c r="B31">
        <v>-0.28827390637036854</v>
      </c>
      <c r="C31">
        <v>-0.31224499307485537</v>
      </c>
      <c r="D31">
        <v>-0.33060666321656018</v>
      </c>
      <c r="E31">
        <v>-0.34039874599995429</v>
      </c>
      <c r="F31">
        <v>-0.36049364511317422</v>
      </c>
      <c r="G31">
        <v>-0.38737868465655606</v>
      </c>
      <c r="H31">
        <v>-0.41368248908367233</v>
      </c>
      <c r="I31">
        <v>-0.4406029495540959</v>
      </c>
      <c r="J31">
        <v>-0.4544379575238619</v>
      </c>
      <c r="K31">
        <v>-0.46806857379800604</v>
      </c>
      <c r="L31">
        <v>-0.48870166474849164</v>
      </c>
      <c r="M31">
        <v>-0.51788853421086067</v>
      </c>
      <c r="N31">
        <v>-0.52636955624188242</v>
      </c>
      <c r="O31">
        <v>-0.530041828238624</v>
      </c>
      <c r="P31">
        <v>-0.53879159198207272</v>
      </c>
      <c r="Q31">
        <v>-0.53087357081919972</v>
      </c>
      <c r="R31">
        <v>-0.54650070208130441</v>
      </c>
      <c r="S31">
        <v>-0.53372371859508094</v>
      </c>
      <c r="T31">
        <v>-0.53849393964592174</v>
      </c>
      <c r="U31">
        <v>-0.5373295041060504</v>
      </c>
    </row>
    <row r="32" spans="1:21">
      <c r="A32" t="s">
        <v>28</v>
      </c>
      <c r="B32">
        <v>-0.21059653070871343</v>
      </c>
      <c r="C32">
        <v>-0.25462165102727907</v>
      </c>
      <c r="D32">
        <v>-0.3026580256038171</v>
      </c>
      <c r="E32">
        <v>-0.33673606268531181</v>
      </c>
      <c r="F32">
        <v>-0.38191385969781549</v>
      </c>
      <c r="G32">
        <v>-0.3862309076306098</v>
      </c>
      <c r="H32">
        <v>-0.40894034620313102</v>
      </c>
      <c r="I32">
        <v>-0.43212731518215419</v>
      </c>
      <c r="J32">
        <v>-0.43190794210541478</v>
      </c>
      <c r="K32">
        <v>-0.44093724082987895</v>
      </c>
      <c r="L32">
        <v>-0.45618106491111204</v>
      </c>
      <c r="M32">
        <v>-0.47161265984690587</v>
      </c>
      <c r="N32">
        <v>-0.47562676213550914</v>
      </c>
      <c r="O32">
        <v>-0.48883895013429612</v>
      </c>
      <c r="P32">
        <v>-0.4916255340329338</v>
      </c>
      <c r="Q32">
        <v>-0.52198793697741475</v>
      </c>
      <c r="R32">
        <v>-0.55032550481165987</v>
      </c>
      <c r="S32">
        <v>-0.54155898041968031</v>
      </c>
      <c r="T32">
        <v>-0.52524609492794661</v>
      </c>
      <c r="U32">
        <v>-0.54385710858135283</v>
      </c>
    </row>
    <row r="33" spans="1:21">
      <c r="A33" t="s">
        <v>29</v>
      </c>
      <c r="B33">
        <v>-0.21408850789080541</v>
      </c>
      <c r="C33">
        <v>-0.26263499748746283</v>
      </c>
      <c r="D33">
        <v>-0.31680328522264761</v>
      </c>
      <c r="E33">
        <v>-0.3517591334475485</v>
      </c>
      <c r="F33">
        <v>-0.36102607477401616</v>
      </c>
      <c r="G33">
        <v>-0.38356199924842799</v>
      </c>
      <c r="H33">
        <v>-0.39971993742370421</v>
      </c>
      <c r="I33">
        <v>-0.42305130541615105</v>
      </c>
      <c r="J33">
        <v>-0.43399874173198888</v>
      </c>
      <c r="K33">
        <v>-0.44951408813260202</v>
      </c>
      <c r="L33">
        <v>-0.46573282141334466</v>
      </c>
      <c r="M33">
        <v>-0.4779581285875682</v>
      </c>
      <c r="N33">
        <v>-0.48953071654707331</v>
      </c>
      <c r="O33">
        <v>-0.4975175990534989</v>
      </c>
      <c r="P33">
        <v>-0.50482353497942212</v>
      </c>
      <c r="Q33">
        <v>-0.49592651553975714</v>
      </c>
      <c r="R33">
        <v>-0.50456553200582466</v>
      </c>
      <c r="S33">
        <v>-0.51533186499772543</v>
      </c>
      <c r="T33">
        <v>-0.52539123868204962</v>
      </c>
      <c r="U33">
        <v>-0.54291276295871616</v>
      </c>
    </row>
    <row r="34" spans="1:21">
      <c r="A34" t="s">
        <v>30</v>
      </c>
      <c r="B34">
        <v>-0.21417262547292726</v>
      </c>
      <c r="C34">
        <v>-0.26528668693746021</v>
      </c>
      <c r="D34">
        <v>-0.31169866023645892</v>
      </c>
      <c r="E34">
        <v>-0.34852178033825265</v>
      </c>
      <c r="F34">
        <v>-0.36474509528820298</v>
      </c>
      <c r="G34">
        <v>-0.38154644606733812</v>
      </c>
      <c r="H34">
        <v>-0.39918304777283331</v>
      </c>
      <c r="I34">
        <v>-0.40439871606968536</v>
      </c>
      <c r="J34">
        <v>-0.4165592965276918</v>
      </c>
      <c r="K34">
        <v>-0.44506090122395486</v>
      </c>
      <c r="L34">
        <v>-0.46087015653416913</v>
      </c>
      <c r="M34">
        <v>-0.45724132367846887</v>
      </c>
      <c r="N34">
        <v>-0.47532578576741691</v>
      </c>
      <c r="O34">
        <v>-0.48793110156566133</v>
      </c>
      <c r="P34">
        <v>-0.50557284006806624</v>
      </c>
      <c r="Q34">
        <v>-0.51207291373236585</v>
      </c>
      <c r="R34">
        <v>-0.52148293356188469</v>
      </c>
      <c r="S34">
        <v>-0.50663484770340628</v>
      </c>
      <c r="T34">
        <v>-0.50845396411976385</v>
      </c>
      <c r="U34">
        <v>-0.51433370700972958</v>
      </c>
    </row>
    <row r="35" spans="1:21">
      <c r="A35" t="s">
        <v>31</v>
      </c>
      <c r="B35">
        <v>-0.26263130839379784</v>
      </c>
      <c r="C35">
        <v>-0.29219240080287445</v>
      </c>
      <c r="D35">
        <v>-0.33429935083389573</v>
      </c>
      <c r="E35">
        <v>-0.36413396123745989</v>
      </c>
      <c r="F35">
        <v>-0.38677188871003376</v>
      </c>
      <c r="G35">
        <v>-0.40096052086865475</v>
      </c>
      <c r="H35">
        <v>-0.43332540738299019</v>
      </c>
      <c r="I35">
        <v>-0.44631130916946987</v>
      </c>
      <c r="J35">
        <v>-0.4651367545357441</v>
      </c>
      <c r="K35">
        <v>-0.4714719763437486</v>
      </c>
      <c r="L35">
        <v>-0.47399863896540484</v>
      </c>
      <c r="M35">
        <v>-0.46746806756592874</v>
      </c>
      <c r="N35">
        <v>-0.46596339687068239</v>
      </c>
      <c r="O35">
        <v>-0.4686140041940336</v>
      </c>
      <c r="P35">
        <v>-0.47541504706845766</v>
      </c>
      <c r="Q35">
        <v>-0.47774877606273758</v>
      </c>
      <c r="R35">
        <v>-0.47806690974554378</v>
      </c>
      <c r="S35">
        <v>-0.49887015984478877</v>
      </c>
      <c r="T35">
        <v>-0.50753645867923347</v>
      </c>
      <c r="U35">
        <v>-0.52310532763409345</v>
      </c>
    </row>
    <row r="36" spans="1:21">
      <c r="A36" t="s">
        <v>32</v>
      </c>
      <c r="B36">
        <v>-0.25970421117662928</v>
      </c>
      <c r="C36">
        <v>-0.29527070605333722</v>
      </c>
      <c r="D36">
        <v>-0.3434408300494014</v>
      </c>
      <c r="E36">
        <v>-0.37570319051178386</v>
      </c>
      <c r="F36">
        <v>-0.40506239805650468</v>
      </c>
      <c r="G36">
        <v>-0.43074039194667352</v>
      </c>
      <c r="H36">
        <v>-0.45386081094314296</v>
      </c>
      <c r="I36">
        <v>-0.4726442319793176</v>
      </c>
      <c r="J36">
        <v>-0.4719343872489829</v>
      </c>
      <c r="K36">
        <v>-0.49159397366210233</v>
      </c>
      <c r="L36">
        <v>-0.49773750717331861</v>
      </c>
      <c r="M36">
        <v>-0.499594673791804</v>
      </c>
      <c r="N36">
        <v>-0.51616812974158643</v>
      </c>
      <c r="O36">
        <v>-0.51026612756360845</v>
      </c>
      <c r="P36">
        <v>-0.50171905090375046</v>
      </c>
      <c r="Q36">
        <v>-0.50445343169013956</v>
      </c>
      <c r="R36">
        <v>-0.4942450027909488</v>
      </c>
      <c r="S36">
        <v>-0.49843822579755342</v>
      </c>
      <c r="T36">
        <v>-0.50118092046246077</v>
      </c>
      <c r="U36">
        <v>-0.50045420103146643</v>
      </c>
    </row>
    <row r="37" spans="1:21">
      <c r="A37" t="s">
        <v>33</v>
      </c>
      <c r="B37">
        <v>-0.30767420000278412</v>
      </c>
      <c r="C37">
        <v>-0.36168973573723234</v>
      </c>
      <c r="D37">
        <v>-0.44526550818562893</v>
      </c>
      <c r="E37">
        <v>-0.51902422932229242</v>
      </c>
      <c r="F37">
        <v>-0.58033992732577433</v>
      </c>
      <c r="G37">
        <v>-0.63527380357501795</v>
      </c>
      <c r="H37">
        <v>-0.67443123626725776</v>
      </c>
      <c r="I37">
        <v>-0.69791917222670119</v>
      </c>
      <c r="J37">
        <v>-0.70750083350803905</v>
      </c>
      <c r="K37">
        <v>-0.72318101207185026</v>
      </c>
      <c r="L37">
        <v>-0.73605646239151945</v>
      </c>
      <c r="M37">
        <v>-0.73395285868911864</v>
      </c>
      <c r="N37">
        <v>-0.73641734009897886</v>
      </c>
      <c r="O37">
        <v>-0.73396904699551135</v>
      </c>
      <c r="P37">
        <v>-0.75092505825289435</v>
      </c>
      <c r="Q37">
        <v>-0.74917261695625337</v>
      </c>
      <c r="R37">
        <v>-0.73394989957359058</v>
      </c>
      <c r="S37">
        <v>-0.74009707202713615</v>
      </c>
      <c r="T37">
        <v>-0.78669340090269579</v>
      </c>
      <c r="U37">
        <v>-0.79929304336656815</v>
      </c>
    </row>
  </sheetData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X37"/>
  <sheetViews>
    <sheetView zoomScale="75" zoomScaleNormal="75" workbookViewId="0">
      <selection activeCell="AA38" sqref="AA38"/>
    </sheetView>
  </sheetViews>
  <sheetFormatPr defaultRowHeight="15"/>
  <sheetData>
    <row r="1" spans="1:24">
      <c r="A1" s="1"/>
      <c r="B1" s="1" t="str">
        <f>"AA_pho_A_1.4A"</f>
        <v>AA_pho_A_1.4A</v>
      </c>
      <c r="C1" s="1" t="str">
        <f>"AA_pho_A_2A"</f>
        <v>AA_pho_A_2A</v>
      </c>
      <c r="D1" s="1" t="str">
        <f>"AA_pho_A_3A"</f>
        <v>AA_pho_A_3A</v>
      </c>
      <c r="E1" s="1" t="str">
        <f>"AA_pho_A_4A"</f>
        <v>AA_pho_A_4A</v>
      </c>
      <c r="F1" s="1" t="str">
        <f>"AA_pho_A_5A"</f>
        <v>AA_pho_A_5A</v>
      </c>
      <c r="G1" s="1" t="str">
        <f>"AA_pho_A_6A"</f>
        <v>AA_pho_A_6A</v>
      </c>
      <c r="H1" s="1" t="str">
        <f>"AA_pho_A_7A"</f>
        <v>AA_pho_A_7A</v>
      </c>
      <c r="I1" s="1" t="str">
        <f>"AA_pho_A_8A"</f>
        <v>AA_pho_A_8A</v>
      </c>
      <c r="J1" s="1" t="str">
        <f>"AA_pho_A_9A"</f>
        <v>AA_pho_A_9A</v>
      </c>
      <c r="K1" s="1" t="str">
        <f>"AA_pho_A_10A"</f>
        <v>AA_pho_A_10A</v>
      </c>
      <c r="L1" s="1" t="str">
        <f>"AA_pho_A_11A"</f>
        <v>AA_pho_A_11A</v>
      </c>
      <c r="M1" s="1" t="str">
        <f>"AA_pho_A_12A"</f>
        <v>AA_pho_A_12A</v>
      </c>
      <c r="N1" s="1" t="str">
        <f>"AA_pho_A_13A"</f>
        <v>AA_pho_A_13A</v>
      </c>
      <c r="O1" s="1" t="str">
        <f>"AA_pho_A_14A"</f>
        <v>AA_pho_A_14A</v>
      </c>
      <c r="P1" s="1" t="str">
        <f>"AA_pho_A_15A"</f>
        <v>AA_pho_A_15A</v>
      </c>
      <c r="Q1" s="1" t="str">
        <f>"AA_pho_A_16A"</f>
        <v>AA_pho_A_16A</v>
      </c>
      <c r="R1" s="1" t="str">
        <f>"AA_pho_A_17A"</f>
        <v>AA_pho_A_17A</v>
      </c>
      <c r="S1" s="1" t="str">
        <f>"AA_pho_A_18A"</f>
        <v>AA_pho_A_18A</v>
      </c>
      <c r="T1" s="1" t="str">
        <f>"AA_pho_A_19A"</f>
        <v>AA_pho_A_19A</v>
      </c>
      <c r="U1" s="1" t="str">
        <f>"AA_pho_A_20A"</f>
        <v>AA_pho_A_20A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562.1078</v>
      </c>
      <c r="C3">
        <v>351.8938</v>
      </c>
      <c r="D3">
        <v>197.76599999999999</v>
      </c>
      <c r="E3">
        <v>132.09059999999999</v>
      </c>
      <c r="F3">
        <v>95.020939999999996</v>
      </c>
      <c r="G3">
        <v>71.418980000000005</v>
      </c>
      <c r="H3">
        <v>59.022030000000001</v>
      </c>
      <c r="I3">
        <v>47.295020000000001</v>
      </c>
      <c r="J3">
        <v>40.357979999999998</v>
      </c>
      <c r="K3">
        <v>36.152009999999997</v>
      </c>
      <c r="L3">
        <v>32.717030000000001</v>
      </c>
      <c r="M3">
        <v>29.006019999999999</v>
      </c>
      <c r="N3">
        <v>25.850999999999999</v>
      </c>
      <c r="O3">
        <v>22.032990000000002</v>
      </c>
      <c r="P3">
        <v>20.58399</v>
      </c>
      <c r="Q3">
        <v>17.696999999999999</v>
      </c>
      <c r="R3">
        <v>16.471</v>
      </c>
      <c r="S3">
        <v>14.795999999999999</v>
      </c>
      <c r="T3">
        <v>14.531000000000001</v>
      </c>
      <c r="U3">
        <v>13.589</v>
      </c>
    </row>
    <row r="4" spans="1:24">
      <c r="A4" t="s">
        <v>1</v>
      </c>
      <c r="B4">
        <v>741.99059999999997</v>
      </c>
      <c r="C4">
        <v>453.81299999999999</v>
      </c>
      <c r="D4">
        <v>246.8817</v>
      </c>
      <c r="E4">
        <v>164.21690000000001</v>
      </c>
      <c r="F4">
        <v>125.782</v>
      </c>
      <c r="G4">
        <v>97.210909999999998</v>
      </c>
      <c r="H4">
        <v>83.552030000000002</v>
      </c>
      <c r="I4">
        <v>74.169110000000003</v>
      </c>
      <c r="J4">
        <v>65.485979999999998</v>
      </c>
      <c r="K4">
        <v>59.049959999999999</v>
      </c>
      <c r="L4">
        <v>54.862960000000001</v>
      </c>
      <c r="M4">
        <v>48.925989999999999</v>
      </c>
      <c r="N4">
        <v>44.481009999999998</v>
      </c>
      <c r="O4">
        <v>41.811999999999998</v>
      </c>
      <c r="P4">
        <v>38.704979999999999</v>
      </c>
      <c r="Q4">
        <v>35.782020000000003</v>
      </c>
      <c r="R4">
        <v>33.373019999999997</v>
      </c>
      <c r="S4">
        <v>31.46902</v>
      </c>
      <c r="T4">
        <v>29.274010000000001</v>
      </c>
      <c r="U4">
        <v>28.10201</v>
      </c>
    </row>
    <row r="5" spans="1:24">
      <c r="A5" t="s">
        <v>2</v>
      </c>
      <c r="B5">
        <v>794.33010000000002</v>
      </c>
      <c r="C5">
        <v>400.0111</v>
      </c>
      <c r="D5">
        <v>195.54990000000001</v>
      </c>
      <c r="E5">
        <v>118.7957</v>
      </c>
      <c r="F5">
        <v>82.653949999999995</v>
      </c>
      <c r="G5">
        <v>62.879040000000003</v>
      </c>
      <c r="H5">
        <v>48.628039999999999</v>
      </c>
      <c r="I5">
        <v>37.722999999999999</v>
      </c>
      <c r="J5">
        <v>31.549009999999999</v>
      </c>
      <c r="K5">
        <v>27.89002</v>
      </c>
      <c r="L5">
        <v>25.664010000000001</v>
      </c>
      <c r="M5">
        <v>22.520009999999999</v>
      </c>
      <c r="N5">
        <v>20.516999999999999</v>
      </c>
      <c r="O5">
        <v>18.577999999999999</v>
      </c>
      <c r="P5">
        <v>17.352</v>
      </c>
      <c r="Q5">
        <v>14.731999999999999</v>
      </c>
      <c r="R5">
        <v>14.003</v>
      </c>
      <c r="S5">
        <v>13.044</v>
      </c>
      <c r="T5">
        <v>12.568</v>
      </c>
      <c r="U5">
        <v>12.09</v>
      </c>
    </row>
    <row r="6" spans="1:24">
      <c r="A6" t="s">
        <v>3</v>
      </c>
      <c r="B6">
        <v>380.4828</v>
      </c>
      <c r="C6">
        <v>146.26300000000001</v>
      </c>
      <c r="D6">
        <v>75.936959999999999</v>
      </c>
      <c r="E6">
        <v>45.794989999999999</v>
      </c>
      <c r="F6">
        <v>30.42201</v>
      </c>
      <c r="G6">
        <v>21.21199</v>
      </c>
      <c r="H6">
        <v>15.805</v>
      </c>
      <c r="I6">
        <v>12.641999999999999</v>
      </c>
      <c r="J6">
        <v>10.454000000000001</v>
      </c>
      <c r="K6">
        <v>8.9799989999999994</v>
      </c>
      <c r="L6">
        <v>7.5529999999999999</v>
      </c>
      <c r="M6">
        <v>6.1260000000000003</v>
      </c>
      <c r="N6">
        <v>5.8789999999999996</v>
      </c>
      <c r="O6">
        <v>4.9409999999999998</v>
      </c>
      <c r="P6">
        <v>4.2110000000000003</v>
      </c>
      <c r="Q6">
        <v>3.9569999999999999</v>
      </c>
      <c r="R6">
        <v>3.7210000000000001</v>
      </c>
      <c r="S6">
        <v>3.4889999999999999</v>
      </c>
      <c r="T6">
        <v>3.0249999999999999</v>
      </c>
      <c r="U6">
        <v>2.7770000000000001</v>
      </c>
    </row>
    <row r="7" spans="1:24">
      <c r="A7" t="s">
        <v>4</v>
      </c>
      <c r="B7">
        <v>338.20080000000002</v>
      </c>
      <c r="C7">
        <v>132.9931</v>
      </c>
      <c r="D7">
        <v>64.665019999999998</v>
      </c>
      <c r="E7">
        <v>37.60801</v>
      </c>
      <c r="F7">
        <v>22.69501</v>
      </c>
      <c r="G7">
        <v>16.413</v>
      </c>
      <c r="H7">
        <v>12.201000000000001</v>
      </c>
      <c r="I7">
        <v>9.5289990000000007</v>
      </c>
      <c r="J7">
        <v>8.2959999999999994</v>
      </c>
      <c r="K7">
        <v>6.617</v>
      </c>
      <c r="L7">
        <v>5.4219999999999997</v>
      </c>
      <c r="M7">
        <v>4.2309989999999997</v>
      </c>
      <c r="N7">
        <v>3.5129999999999999</v>
      </c>
      <c r="O7">
        <v>3.274</v>
      </c>
      <c r="P7">
        <v>3.2679999999999998</v>
      </c>
      <c r="Q7">
        <v>3.036</v>
      </c>
      <c r="R7">
        <v>2.7839999999999998</v>
      </c>
      <c r="S7">
        <v>2.5510000000000002</v>
      </c>
      <c r="T7">
        <v>2.5510000000000002</v>
      </c>
      <c r="U7">
        <v>2.5470000000000002</v>
      </c>
    </row>
    <row r="8" spans="1:24">
      <c r="A8" t="s">
        <v>5</v>
      </c>
      <c r="B8">
        <v>345.07119999999998</v>
      </c>
      <c r="C8">
        <v>137.31010000000001</v>
      </c>
      <c r="D8">
        <v>62.07499</v>
      </c>
      <c r="E8">
        <v>34.579990000000002</v>
      </c>
      <c r="F8">
        <v>22.64301</v>
      </c>
      <c r="G8">
        <v>15.414</v>
      </c>
      <c r="H8">
        <v>11.715</v>
      </c>
      <c r="I8">
        <v>9.0229999999999997</v>
      </c>
      <c r="J8">
        <v>7.32</v>
      </c>
      <c r="K8">
        <v>6.1139999999999999</v>
      </c>
      <c r="L8">
        <v>4.4589999999999996</v>
      </c>
      <c r="M8">
        <v>4.2109990000000002</v>
      </c>
      <c r="N8">
        <v>3.9549989999999999</v>
      </c>
      <c r="O8">
        <v>3.4830000000000001</v>
      </c>
      <c r="P8">
        <v>3.2469999999999999</v>
      </c>
      <c r="Q8">
        <v>2.3180000000000001</v>
      </c>
      <c r="R8">
        <v>2.3140000000000001</v>
      </c>
      <c r="S8">
        <v>2.3109999999999999</v>
      </c>
      <c r="T8">
        <v>2.3079999999999998</v>
      </c>
      <c r="U8">
        <v>2.306</v>
      </c>
    </row>
    <row r="9" spans="1:24">
      <c r="A9" t="s">
        <v>6</v>
      </c>
      <c r="B9">
        <v>340.06459999999998</v>
      </c>
      <c r="C9">
        <v>132.3921</v>
      </c>
      <c r="D9">
        <v>59.849989999999998</v>
      </c>
      <c r="E9">
        <v>34.827010000000001</v>
      </c>
      <c r="F9">
        <v>23.384</v>
      </c>
      <c r="G9">
        <v>16.137</v>
      </c>
      <c r="H9">
        <v>11.722</v>
      </c>
      <c r="I9">
        <v>9.5259999999999998</v>
      </c>
      <c r="J9">
        <v>8.2890010000000007</v>
      </c>
      <c r="K9">
        <v>7.0809990000000003</v>
      </c>
      <c r="L9">
        <v>5.8819999999999997</v>
      </c>
      <c r="M9">
        <v>5.1589999999999998</v>
      </c>
      <c r="N9">
        <v>4.915</v>
      </c>
      <c r="O9">
        <v>4.9050010000000004</v>
      </c>
      <c r="P9">
        <v>4.43</v>
      </c>
      <c r="Q9">
        <v>3.95</v>
      </c>
      <c r="R9">
        <v>3.4860000000000002</v>
      </c>
      <c r="S9">
        <v>3.25</v>
      </c>
      <c r="T9">
        <v>3.0190000000000001</v>
      </c>
      <c r="U9">
        <v>3.0169999999999999</v>
      </c>
    </row>
    <row r="10" spans="1:24">
      <c r="A10" t="s">
        <v>7</v>
      </c>
      <c r="B10">
        <v>522.11329999999998</v>
      </c>
      <c r="C10">
        <v>206.85130000000001</v>
      </c>
      <c r="D10">
        <v>99.111009999999993</v>
      </c>
      <c r="E10">
        <v>54.511029999999998</v>
      </c>
      <c r="F10">
        <v>35.551020000000001</v>
      </c>
      <c r="G10">
        <v>24.79701</v>
      </c>
      <c r="H10">
        <v>19.047000000000001</v>
      </c>
      <c r="I10">
        <v>15.096</v>
      </c>
      <c r="J10">
        <v>12.412000000000001</v>
      </c>
      <c r="K10">
        <v>10.702</v>
      </c>
      <c r="L10">
        <v>9.4969999999999999</v>
      </c>
      <c r="M10">
        <v>8.2829990000000002</v>
      </c>
      <c r="N10">
        <v>7.3209999999999997</v>
      </c>
      <c r="O10">
        <v>6.617</v>
      </c>
      <c r="P10">
        <v>5.8979990000000004</v>
      </c>
      <c r="Q10">
        <v>5.1970000000000001</v>
      </c>
      <c r="R10">
        <v>4.7160000000000002</v>
      </c>
      <c r="S10">
        <v>3.762</v>
      </c>
      <c r="T10">
        <v>3.758</v>
      </c>
      <c r="U10">
        <v>3.0510000000000002</v>
      </c>
    </row>
    <row r="11" spans="1:24">
      <c r="A11" t="s">
        <v>8</v>
      </c>
      <c r="B11">
        <v>531.21600000000001</v>
      </c>
      <c r="C11">
        <v>211.5984</v>
      </c>
      <c r="D11">
        <v>99.745930000000001</v>
      </c>
      <c r="E11">
        <v>56.965020000000003</v>
      </c>
      <c r="F11">
        <v>37.668010000000002</v>
      </c>
      <c r="G11">
        <v>26.175000000000001</v>
      </c>
      <c r="H11">
        <v>19.276</v>
      </c>
      <c r="I11">
        <v>14.093999999999999</v>
      </c>
      <c r="J11">
        <v>10.675000000000001</v>
      </c>
      <c r="K11">
        <v>9.2130010000000002</v>
      </c>
      <c r="L11">
        <v>5.18</v>
      </c>
      <c r="M11">
        <v>3.7490000000000001</v>
      </c>
      <c r="N11">
        <v>3.274</v>
      </c>
      <c r="O11">
        <v>2.323</v>
      </c>
      <c r="P11">
        <v>2.3180000000000001</v>
      </c>
      <c r="Q11">
        <v>2.08</v>
      </c>
      <c r="R11">
        <v>1.8420000000000001</v>
      </c>
      <c r="S11">
        <v>1.61</v>
      </c>
      <c r="T11">
        <v>1.38</v>
      </c>
      <c r="U11">
        <v>1.379</v>
      </c>
    </row>
    <row r="12" spans="1:24">
      <c r="A12" t="s">
        <v>9</v>
      </c>
      <c r="B12">
        <v>268.7312</v>
      </c>
      <c r="C12">
        <v>121.1649</v>
      </c>
      <c r="D12">
        <v>57.79298</v>
      </c>
      <c r="E12">
        <v>35.246989999999997</v>
      </c>
      <c r="F12">
        <v>25.748999999999999</v>
      </c>
      <c r="G12">
        <v>18.507999999999999</v>
      </c>
      <c r="H12">
        <v>14.576000000000001</v>
      </c>
      <c r="I12">
        <v>12.816000000000001</v>
      </c>
      <c r="J12">
        <v>11.579000000000001</v>
      </c>
      <c r="K12">
        <v>10.602</v>
      </c>
      <c r="L12">
        <v>9.1840019999999996</v>
      </c>
      <c r="M12">
        <v>7.7319979999999999</v>
      </c>
      <c r="N12">
        <v>7.252999</v>
      </c>
      <c r="O12">
        <v>6.7679999999999998</v>
      </c>
      <c r="P12">
        <v>6.0569990000000002</v>
      </c>
      <c r="Q12">
        <v>5.5810000000000004</v>
      </c>
      <c r="R12">
        <v>5.5730000000000004</v>
      </c>
      <c r="S12">
        <v>4.8660009999999998</v>
      </c>
      <c r="T12">
        <v>4.625</v>
      </c>
      <c r="U12">
        <v>3.93</v>
      </c>
    </row>
    <row r="13" spans="1:24">
      <c r="A13" t="s">
        <v>10</v>
      </c>
      <c r="B13">
        <v>272.09059999999999</v>
      </c>
      <c r="C13">
        <v>110.6589</v>
      </c>
      <c r="D13">
        <v>58.994990000000001</v>
      </c>
      <c r="E13">
        <v>34.482990000000001</v>
      </c>
      <c r="F13">
        <v>24.533000000000001</v>
      </c>
      <c r="G13">
        <v>19.475989999999999</v>
      </c>
      <c r="H13">
        <v>15.055999999999999</v>
      </c>
      <c r="I13">
        <v>12.590999999999999</v>
      </c>
      <c r="J13">
        <v>10.647</v>
      </c>
      <c r="K13">
        <v>9.4350000000000005</v>
      </c>
      <c r="L13">
        <v>8.7020009999999992</v>
      </c>
      <c r="M13">
        <v>8.2059979999999992</v>
      </c>
      <c r="N13">
        <v>7.4939989999999996</v>
      </c>
      <c r="O13">
        <v>6.3199990000000001</v>
      </c>
      <c r="P13">
        <v>6.3150000000000004</v>
      </c>
      <c r="Q13">
        <v>6.0720000000000001</v>
      </c>
      <c r="R13">
        <v>5.8159999999999998</v>
      </c>
      <c r="S13">
        <v>5.3540010000000002</v>
      </c>
      <c r="T13">
        <v>4.8840000000000003</v>
      </c>
      <c r="U13">
        <v>4.8769999999999998</v>
      </c>
    </row>
    <row r="14" spans="1:24">
      <c r="A14" t="s">
        <v>11</v>
      </c>
      <c r="B14">
        <v>247.35599999999999</v>
      </c>
      <c r="C14">
        <v>102.97799999999999</v>
      </c>
      <c r="D14">
        <v>48.281999999999996</v>
      </c>
      <c r="E14">
        <v>28.591000000000001</v>
      </c>
      <c r="F14">
        <v>18.473009999999999</v>
      </c>
      <c r="G14">
        <v>14.688000000000001</v>
      </c>
      <c r="H14">
        <v>11.961</v>
      </c>
      <c r="I14">
        <v>9.9840009999999992</v>
      </c>
      <c r="J14">
        <v>8.7550000000000008</v>
      </c>
      <c r="K14">
        <v>7.542001</v>
      </c>
      <c r="L14">
        <v>6.3540010000000002</v>
      </c>
      <c r="M14">
        <v>4.6829989999999997</v>
      </c>
      <c r="N14">
        <v>4.4449990000000001</v>
      </c>
      <c r="O14">
        <v>4.1979990000000003</v>
      </c>
      <c r="P14">
        <v>3.7170000000000001</v>
      </c>
      <c r="Q14">
        <v>3.4809999999999999</v>
      </c>
      <c r="R14">
        <v>3.242</v>
      </c>
      <c r="S14">
        <v>3.24</v>
      </c>
      <c r="T14">
        <v>3.2370000000000001</v>
      </c>
      <c r="U14">
        <v>3.0030000000000001</v>
      </c>
    </row>
    <row r="15" spans="1:24">
      <c r="A15" t="s">
        <v>12</v>
      </c>
      <c r="B15">
        <v>523.34860000000003</v>
      </c>
      <c r="C15">
        <v>319.22699999999998</v>
      </c>
      <c r="D15">
        <v>173.30500000000001</v>
      </c>
      <c r="E15">
        <v>115.47199999999999</v>
      </c>
      <c r="F15">
        <v>85.876930000000002</v>
      </c>
      <c r="G15">
        <v>69.362049999999996</v>
      </c>
      <c r="H15">
        <v>56.826039999999999</v>
      </c>
      <c r="I15">
        <v>49.081989999999998</v>
      </c>
      <c r="J15">
        <v>40.998010000000001</v>
      </c>
      <c r="K15">
        <v>38.49803</v>
      </c>
      <c r="L15">
        <v>33.453989999999997</v>
      </c>
      <c r="M15">
        <v>30.509</v>
      </c>
      <c r="N15">
        <v>27.145990000000001</v>
      </c>
      <c r="O15">
        <v>24.962</v>
      </c>
      <c r="P15">
        <v>22.109000000000002</v>
      </c>
      <c r="Q15">
        <v>19.963999999999999</v>
      </c>
      <c r="R15">
        <v>18.761009999999999</v>
      </c>
      <c r="S15">
        <v>17.792999999999999</v>
      </c>
      <c r="T15">
        <v>17.545999999999999</v>
      </c>
      <c r="U15">
        <v>17.297999999999998</v>
      </c>
    </row>
    <row r="16" spans="1:24">
      <c r="A16" t="s">
        <v>13</v>
      </c>
      <c r="B16">
        <v>1025.5920000000001</v>
      </c>
      <c r="C16">
        <v>391.16140000000001</v>
      </c>
      <c r="D16">
        <v>148.322</v>
      </c>
      <c r="E16">
        <v>83.364090000000004</v>
      </c>
      <c r="F16">
        <v>55.370010000000001</v>
      </c>
      <c r="G16">
        <v>38.933</v>
      </c>
      <c r="H16">
        <v>29.03</v>
      </c>
      <c r="I16">
        <v>23.877009999999999</v>
      </c>
      <c r="J16">
        <v>20.89799</v>
      </c>
      <c r="K16">
        <v>17.494009999999999</v>
      </c>
      <c r="L16">
        <v>14.833</v>
      </c>
      <c r="M16">
        <v>12.222</v>
      </c>
      <c r="N16">
        <v>11.029</v>
      </c>
      <c r="O16">
        <v>9.8440010000000004</v>
      </c>
      <c r="P16">
        <v>8.9110010000000006</v>
      </c>
      <c r="Q16">
        <v>7.7280009999999999</v>
      </c>
      <c r="R16">
        <v>7.2569990000000004</v>
      </c>
      <c r="S16">
        <v>7.0139990000000001</v>
      </c>
      <c r="T16">
        <v>6.5389999999999997</v>
      </c>
      <c r="U16">
        <v>6.0709999999999997</v>
      </c>
    </row>
    <row r="17" spans="1:21">
      <c r="A17" t="s">
        <v>14</v>
      </c>
      <c r="B17">
        <v>1099.3599999999999</v>
      </c>
      <c r="C17">
        <v>406.74270000000001</v>
      </c>
      <c r="D17">
        <v>151.10910000000001</v>
      </c>
      <c r="E17">
        <v>82.90607</v>
      </c>
      <c r="F17">
        <v>53.719990000000003</v>
      </c>
      <c r="G17">
        <v>39.427010000000003</v>
      </c>
      <c r="H17">
        <v>31.642009999999999</v>
      </c>
      <c r="I17">
        <v>26.495000000000001</v>
      </c>
      <c r="J17">
        <v>20.942</v>
      </c>
      <c r="K17">
        <v>19.219000000000001</v>
      </c>
      <c r="L17">
        <v>16.805</v>
      </c>
      <c r="M17">
        <v>12.993</v>
      </c>
      <c r="N17">
        <v>11.807</v>
      </c>
      <c r="O17">
        <v>11.305999999999999</v>
      </c>
      <c r="P17">
        <v>9.646001</v>
      </c>
      <c r="Q17">
        <v>9.3940009999999994</v>
      </c>
      <c r="R17">
        <v>9.1479999999999997</v>
      </c>
      <c r="S17">
        <v>8.2089990000000004</v>
      </c>
      <c r="T17">
        <v>7.9669999999999996</v>
      </c>
      <c r="U17">
        <v>7.7130000000000001</v>
      </c>
    </row>
    <row r="18" spans="1:21">
      <c r="A18" t="s">
        <v>15</v>
      </c>
      <c r="B18">
        <v>1129.585</v>
      </c>
      <c r="C18">
        <v>443.53820000000002</v>
      </c>
      <c r="D18">
        <v>172.02209999999999</v>
      </c>
      <c r="E18">
        <v>95.846100000000007</v>
      </c>
      <c r="F18">
        <v>65.504999999999995</v>
      </c>
      <c r="G18">
        <v>48.161000000000001</v>
      </c>
      <c r="H18">
        <v>37.494999999999997</v>
      </c>
      <c r="I18">
        <v>29.855</v>
      </c>
      <c r="J18">
        <v>27.340009999999999</v>
      </c>
      <c r="K18">
        <v>24.878990000000002</v>
      </c>
      <c r="L18">
        <v>21.245999999999999</v>
      </c>
      <c r="M18">
        <v>18.623999999999999</v>
      </c>
      <c r="N18">
        <v>16.716000000000001</v>
      </c>
      <c r="O18">
        <v>14.339</v>
      </c>
      <c r="P18">
        <v>13.146000000000001</v>
      </c>
      <c r="Q18">
        <v>11.266999999999999</v>
      </c>
      <c r="R18">
        <v>11.010999999999999</v>
      </c>
      <c r="S18">
        <v>10.303000000000001</v>
      </c>
      <c r="T18">
        <v>10.063000000000001</v>
      </c>
      <c r="U18">
        <v>9.3589990000000007</v>
      </c>
    </row>
    <row r="19" spans="1:21">
      <c r="A19" t="s">
        <v>16</v>
      </c>
      <c r="B19">
        <v>1665.277</v>
      </c>
      <c r="C19">
        <v>818.74450000000002</v>
      </c>
      <c r="D19">
        <v>334.11739999999998</v>
      </c>
      <c r="E19">
        <v>188.17699999999999</v>
      </c>
      <c r="F19">
        <v>120.992</v>
      </c>
      <c r="G19">
        <v>85.212990000000005</v>
      </c>
      <c r="H19">
        <v>64.50703</v>
      </c>
      <c r="I19">
        <v>52.778039999999997</v>
      </c>
      <c r="J19">
        <v>42.405990000000003</v>
      </c>
      <c r="K19">
        <v>36.487009999999998</v>
      </c>
      <c r="L19">
        <v>30.938020000000002</v>
      </c>
      <c r="M19">
        <v>27.04401</v>
      </c>
      <c r="N19">
        <v>23.574999999999999</v>
      </c>
      <c r="O19">
        <v>20.007000000000001</v>
      </c>
      <c r="P19">
        <v>18.097999999999999</v>
      </c>
      <c r="Q19">
        <v>15.462999999999999</v>
      </c>
      <c r="R19">
        <v>14.768000000000001</v>
      </c>
      <c r="S19">
        <v>13.558999999999999</v>
      </c>
      <c r="T19">
        <v>12.106999999999999</v>
      </c>
      <c r="U19">
        <v>11.863</v>
      </c>
    </row>
    <row r="20" spans="1:21">
      <c r="A20" t="s">
        <v>17</v>
      </c>
      <c r="B20">
        <v>1647.6959999999999</v>
      </c>
      <c r="C20">
        <v>816.0865</v>
      </c>
      <c r="D20">
        <v>301.47770000000003</v>
      </c>
      <c r="E20">
        <v>155.99690000000001</v>
      </c>
      <c r="F20">
        <v>97.351879999999994</v>
      </c>
      <c r="G20">
        <v>61.789969999999997</v>
      </c>
      <c r="H20">
        <v>50.434010000000001</v>
      </c>
      <c r="I20">
        <v>41.407020000000003</v>
      </c>
      <c r="J20">
        <v>33.34299</v>
      </c>
      <c r="K20">
        <v>28.685009999999998</v>
      </c>
      <c r="L20">
        <v>25.975020000000001</v>
      </c>
      <c r="M20">
        <v>22.338010000000001</v>
      </c>
      <c r="N20">
        <v>21.108000000000001</v>
      </c>
      <c r="O20">
        <v>18.699000000000002</v>
      </c>
      <c r="P20">
        <v>17.23</v>
      </c>
      <c r="Q20">
        <v>15.98</v>
      </c>
      <c r="R20">
        <v>13.154999999999999</v>
      </c>
      <c r="S20">
        <v>12.43</v>
      </c>
      <c r="T20">
        <v>11.936</v>
      </c>
      <c r="U20">
        <v>11.209</v>
      </c>
    </row>
    <row r="21" spans="1:21">
      <c r="A21" t="s">
        <v>18</v>
      </c>
      <c r="B21">
        <v>1665.616</v>
      </c>
      <c r="C21">
        <v>826.76080000000002</v>
      </c>
      <c r="D21">
        <v>309.84550000000002</v>
      </c>
      <c r="E21">
        <v>157.4769</v>
      </c>
      <c r="F21">
        <v>97.272869999999998</v>
      </c>
      <c r="G21">
        <v>66.142970000000005</v>
      </c>
      <c r="H21">
        <v>49.889020000000002</v>
      </c>
      <c r="I21">
        <v>41.863030000000002</v>
      </c>
      <c r="J21">
        <v>34.482990000000001</v>
      </c>
      <c r="K21">
        <v>30.821020000000001</v>
      </c>
      <c r="L21">
        <v>27.154019999999999</v>
      </c>
      <c r="M21">
        <v>24.19501</v>
      </c>
      <c r="N21">
        <v>21.077999999999999</v>
      </c>
      <c r="O21">
        <v>18.922989999999999</v>
      </c>
      <c r="P21">
        <v>17.236999999999998</v>
      </c>
      <c r="Q21">
        <v>15.263</v>
      </c>
      <c r="R21">
        <v>14.31</v>
      </c>
      <c r="S21">
        <v>12.89</v>
      </c>
      <c r="T21">
        <v>11.922000000000001</v>
      </c>
      <c r="U21">
        <v>11.441000000000001</v>
      </c>
    </row>
    <row r="22" spans="1:21">
      <c r="A22" t="s">
        <v>19</v>
      </c>
      <c r="B22">
        <v>1585.2429999999999</v>
      </c>
      <c r="C22">
        <v>775.98130000000003</v>
      </c>
      <c r="D22">
        <v>299.07010000000002</v>
      </c>
      <c r="E22">
        <v>159.58199999999999</v>
      </c>
      <c r="F22">
        <v>98.575869999999995</v>
      </c>
      <c r="G22">
        <v>67.968950000000007</v>
      </c>
      <c r="H22">
        <v>50.799010000000003</v>
      </c>
      <c r="I22">
        <v>40.088030000000003</v>
      </c>
      <c r="J22">
        <v>31.704989999999999</v>
      </c>
      <c r="K22">
        <v>27.985019999999999</v>
      </c>
      <c r="L22">
        <v>25.30302</v>
      </c>
      <c r="M22">
        <v>23.338010000000001</v>
      </c>
      <c r="N22">
        <v>21.582000000000001</v>
      </c>
      <c r="O22">
        <v>20.604990000000001</v>
      </c>
      <c r="P22">
        <v>17.99699</v>
      </c>
      <c r="Q22">
        <v>16.064</v>
      </c>
      <c r="R22">
        <v>15.125999999999999</v>
      </c>
      <c r="S22">
        <v>13.709</v>
      </c>
      <c r="T22">
        <v>12.973000000000001</v>
      </c>
      <c r="U22">
        <v>12.731</v>
      </c>
    </row>
    <row r="23" spans="1:21">
      <c r="A23" t="s">
        <v>20</v>
      </c>
      <c r="B23">
        <v>1632.999</v>
      </c>
      <c r="C23">
        <v>812.79359999999997</v>
      </c>
      <c r="D23">
        <v>301.0428</v>
      </c>
      <c r="E23">
        <v>153.67590000000001</v>
      </c>
      <c r="F23">
        <v>93.059899999999999</v>
      </c>
      <c r="G23">
        <v>63.264969999999998</v>
      </c>
      <c r="H23">
        <v>49.96801</v>
      </c>
      <c r="I23">
        <v>39.243020000000001</v>
      </c>
      <c r="J23">
        <v>32.575989999999997</v>
      </c>
      <c r="K23">
        <v>27.434010000000001</v>
      </c>
      <c r="L23">
        <v>25.685020000000002</v>
      </c>
      <c r="M23">
        <v>22.777010000000001</v>
      </c>
      <c r="N23">
        <v>20.384</v>
      </c>
      <c r="O23">
        <v>19.370989999999999</v>
      </c>
      <c r="P23">
        <v>18.158999999999999</v>
      </c>
      <c r="Q23">
        <v>15.023</v>
      </c>
      <c r="R23">
        <v>13.574</v>
      </c>
      <c r="S23">
        <v>12.87</v>
      </c>
      <c r="T23">
        <v>11.904999999999999</v>
      </c>
      <c r="U23">
        <v>10.975</v>
      </c>
    </row>
    <row r="24" spans="1:21">
      <c r="A24" t="s">
        <v>21</v>
      </c>
      <c r="B24">
        <v>1626.01</v>
      </c>
      <c r="C24">
        <v>811.52679999999998</v>
      </c>
      <c r="D24">
        <v>312.1875</v>
      </c>
      <c r="E24">
        <v>174.4228</v>
      </c>
      <c r="F24">
        <v>108.8399</v>
      </c>
      <c r="G24">
        <v>75.687939999999998</v>
      </c>
      <c r="H24">
        <v>56.420029999999997</v>
      </c>
      <c r="I24">
        <v>45.701030000000003</v>
      </c>
      <c r="J24">
        <v>37.023980000000002</v>
      </c>
      <c r="K24">
        <v>31.829029999999999</v>
      </c>
      <c r="L24">
        <v>27.23002</v>
      </c>
      <c r="M24">
        <v>24.51801</v>
      </c>
      <c r="N24">
        <v>21.579000000000001</v>
      </c>
      <c r="O24">
        <v>19.42099</v>
      </c>
      <c r="P24">
        <v>17.956990000000001</v>
      </c>
      <c r="Q24">
        <v>16.478999999999999</v>
      </c>
      <c r="R24">
        <v>15.271000000000001</v>
      </c>
      <c r="S24">
        <v>14.792</v>
      </c>
      <c r="T24">
        <v>13.798</v>
      </c>
      <c r="U24">
        <v>12.872999999999999</v>
      </c>
    </row>
    <row r="25" spans="1:21">
      <c r="A25" t="s">
        <v>34</v>
      </c>
      <c r="B25">
        <v>1682.1559999999999</v>
      </c>
      <c r="C25">
        <v>851.55200000000002</v>
      </c>
      <c r="D25">
        <v>327.09230000000002</v>
      </c>
      <c r="E25">
        <v>169.45400000000001</v>
      </c>
      <c r="F25">
        <v>107.7379</v>
      </c>
      <c r="G25">
        <v>74.861930000000001</v>
      </c>
      <c r="H25">
        <v>55.921030000000002</v>
      </c>
      <c r="I25">
        <v>45.672029999999999</v>
      </c>
      <c r="J25">
        <v>37.07199</v>
      </c>
      <c r="K25">
        <v>31.22702</v>
      </c>
      <c r="L25">
        <v>25.449020000000001</v>
      </c>
      <c r="M25">
        <v>23.238009999999999</v>
      </c>
      <c r="N25">
        <v>19.395</v>
      </c>
      <c r="O25">
        <v>17.695989999999998</v>
      </c>
      <c r="P25">
        <v>15.536</v>
      </c>
      <c r="Q25">
        <v>15.034000000000001</v>
      </c>
      <c r="R25">
        <v>14.317</v>
      </c>
      <c r="S25">
        <v>12.872</v>
      </c>
      <c r="T25">
        <v>12.132999999999999</v>
      </c>
      <c r="U25">
        <v>10.728999999999999</v>
      </c>
    </row>
    <row r="26" spans="1:21">
      <c r="A26" t="s">
        <v>22</v>
      </c>
      <c r="B26">
        <v>2006.346</v>
      </c>
      <c r="C26">
        <v>696.17690000000005</v>
      </c>
      <c r="D26">
        <v>222.37459999999999</v>
      </c>
      <c r="E26">
        <v>112.5193</v>
      </c>
      <c r="F26">
        <v>61.89199</v>
      </c>
      <c r="G26">
        <v>41.385010000000001</v>
      </c>
      <c r="H26">
        <v>29.969000000000001</v>
      </c>
      <c r="I26">
        <v>21.213999999999999</v>
      </c>
      <c r="J26">
        <v>18.975000000000001</v>
      </c>
      <c r="K26">
        <v>15.364000000000001</v>
      </c>
      <c r="L26">
        <v>13.441000000000001</v>
      </c>
      <c r="M26">
        <v>11.768000000000001</v>
      </c>
      <c r="N26">
        <v>9.3810009999999995</v>
      </c>
      <c r="O26">
        <v>8.89</v>
      </c>
      <c r="P26">
        <v>7.7180010000000001</v>
      </c>
      <c r="Q26">
        <v>7.470002</v>
      </c>
      <c r="R26">
        <v>7.2260010000000001</v>
      </c>
      <c r="S26">
        <v>6.7510000000000003</v>
      </c>
      <c r="T26">
        <v>6.2669990000000002</v>
      </c>
      <c r="U26">
        <v>5.7999989999999997</v>
      </c>
    </row>
    <row r="27" spans="1:21">
      <c r="A27" t="s">
        <v>23</v>
      </c>
      <c r="B27">
        <v>1669.8209999999999</v>
      </c>
      <c r="C27">
        <v>828.41300000000001</v>
      </c>
      <c r="D27">
        <v>316.9991</v>
      </c>
      <c r="E27">
        <v>175.4419</v>
      </c>
      <c r="F27">
        <v>107.754</v>
      </c>
      <c r="G27">
        <v>74.946910000000003</v>
      </c>
      <c r="H27">
        <v>57.092059999999996</v>
      </c>
      <c r="I27">
        <v>45.16601</v>
      </c>
      <c r="J27">
        <v>40.64499</v>
      </c>
      <c r="K27">
        <v>32.304029999999997</v>
      </c>
      <c r="L27">
        <v>28.639019999999999</v>
      </c>
      <c r="M27">
        <v>24.511009999999999</v>
      </c>
      <c r="N27">
        <v>22.053989999999999</v>
      </c>
      <c r="O27">
        <v>19.882989999999999</v>
      </c>
      <c r="P27">
        <v>18.168990000000001</v>
      </c>
      <c r="Q27">
        <v>17.187000000000001</v>
      </c>
      <c r="R27">
        <v>16.233000000000001</v>
      </c>
      <c r="S27">
        <v>14.077</v>
      </c>
      <c r="T27">
        <v>13.567</v>
      </c>
      <c r="U27">
        <v>12.625</v>
      </c>
    </row>
    <row r="28" spans="1:21">
      <c r="A28" t="s">
        <v>24</v>
      </c>
      <c r="B28">
        <v>1628.1990000000001</v>
      </c>
      <c r="C28">
        <v>821.31700000000001</v>
      </c>
      <c r="D28">
        <v>315.25740000000002</v>
      </c>
      <c r="E28">
        <v>172.69980000000001</v>
      </c>
      <c r="F28">
        <v>108.07689999999999</v>
      </c>
      <c r="G28">
        <v>75.364919999999998</v>
      </c>
      <c r="H28">
        <v>56.184040000000003</v>
      </c>
      <c r="I28">
        <v>45.459020000000002</v>
      </c>
      <c r="J28">
        <v>39.417000000000002</v>
      </c>
      <c r="K28">
        <v>31.02403</v>
      </c>
      <c r="L28">
        <v>26.917020000000001</v>
      </c>
      <c r="M28">
        <v>23.276</v>
      </c>
      <c r="N28">
        <v>20.812989999999999</v>
      </c>
      <c r="O28">
        <v>18.177990000000001</v>
      </c>
      <c r="P28">
        <v>16.26099</v>
      </c>
      <c r="Q28">
        <v>15.262</v>
      </c>
      <c r="R28">
        <v>14.064</v>
      </c>
      <c r="S28">
        <v>13.343</v>
      </c>
      <c r="T28">
        <v>13.074999999999999</v>
      </c>
      <c r="U28">
        <v>12.13</v>
      </c>
    </row>
    <row r="29" spans="1:21">
      <c r="A29" t="s">
        <v>25</v>
      </c>
      <c r="B29">
        <v>1833.711</v>
      </c>
      <c r="C29">
        <v>955.99369999999999</v>
      </c>
      <c r="D29">
        <v>384.02769999999998</v>
      </c>
      <c r="E29">
        <v>212.88399999999999</v>
      </c>
      <c r="F29">
        <v>127.455</v>
      </c>
      <c r="G29">
        <v>90.192899999999995</v>
      </c>
      <c r="H29">
        <v>68.073120000000003</v>
      </c>
      <c r="I29">
        <v>51.048009999999998</v>
      </c>
      <c r="J29">
        <v>41.271000000000001</v>
      </c>
      <c r="K29">
        <v>32.431040000000003</v>
      </c>
      <c r="L29">
        <v>27.590019999999999</v>
      </c>
      <c r="M29">
        <v>22.758009999999999</v>
      </c>
      <c r="N29">
        <v>20.056000000000001</v>
      </c>
      <c r="O29">
        <v>17.914999999999999</v>
      </c>
      <c r="P29">
        <v>16.943999999999999</v>
      </c>
      <c r="Q29">
        <v>15.73</v>
      </c>
      <c r="R29">
        <v>13.321</v>
      </c>
      <c r="S29">
        <v>12.129</v>
      </c>
      <c r="T29">
        <v>11.648999999999999</v>
      </c>
      <c r="U29">
        <v>10.489000000000001</v>
      </c>
    </row>
    <row r="30" spans="1:21">
      <c r="A30" t="s">
        <v>26</v>
      </c>
      <c r="B30">
        <v>1687.4860000000001</v>
      </c>
      <c r="C30">
        <v>760.25149999999996</v>
      </c>
      <c r="D30">
        <v>245.61969999999999</v>
      </c>
      <c r="E30">
        <v>138.97380000000001</v>
      </c>
      <c r="F30">
        <v>91.227940000000004</v>
      </c>
      <c r="G30">
        <v>58.363999999999997</v>
      </c>
      <c r="H30">
        <v>40.816020000000002</v>
      </c>
      <c r="I30">
        <v>30.687989999999999</v>
      </c>
      <c r="J30">
        <v>25.812999999999999</v>
      </c>
      <c r="K30">
        <v>21.178000000000001</v>
      </c>
      <c r="L30">
        <v>17.742010000000001</v>
      </c>
      <c r="M30">
        <v>14.818</v>
      </c>
      <c r="N30">
        <v>13.366989999999999</v>
      </c>
      <c r="O30">
        <v>11.686</v>
      </c>
      <c r="P30">
        <v>10.738</v>
      </c>
      <c r="Q30">
        <v>9.9909999999999997</v>
      </c>
      <c r="R30">
        <v>9.7420000000000009</v>
      </c>
      <c r="S30">
        <v>9.2490009999999998</v>
      </c>
      <c r="T30">
        <v>8.2800010000000004</v>
      </c>
      <c r="U30">
        <v>8.0290009999999992</v>
      </c>
    </row>
    <row r="31" spans="1:21">
      <c r="A31" t="s">
        <v>27</v>
      </c>
      <c r="B31">
        <v>1997.5609999999999</v>
      </c>
      <c r="C31">
        <v>1040.9079999999999</v>
      </c>
      <c r="D31">
        <v>546.30349999999999</v>
      </c>
      <c r="E31">
        <v>346.47609999999997</v>
      </c>
      <c r="F31">
        <v>237.77199999999999</v>
      </c>
      <c r="G31">
        <v>172.62649999999999</v>
      </c>
      <c r="H31">
        <v>135.41480000000001</v>
      </c>
      <c r="I31">
        <v>113.0391</v>
      </c>
      <c r="J31">
        <v>95.240009999999998</v>
      </c>
      <c r="K31">
        <v>81.567989999999995</v>
      </c>
      <c r="L31">
        <v>69.980919999999998</v>
      </c>
      <c r="M31">
        <v>62.393929999999997</v>
      </c>
      <c r="N31">
        <v>57.94997</v>
      </c>
      <c r="O31">
        <v>53.523000000000003</v>
      </c>
      <c r="P31">
        <v>49.648980000000002</v>
      </c>
      <c r="Q31">
        <v>43.905009999999997</v>
      </c>
      <c r="R31">
        <v>40.094029999999997</v>
      </c>
      <c r="S31">
        <v>37.422029999999999</v>
      </c>
      <c r="T31">
        <v>34.546999999999997</v>
      </c>
      <c r="U31">
        <v>32.633009999999999</v>
      </c>
    </row>
    <row r="32" spans="1:21">
      <c r="A32" t="s">
        <v>28</v>
      </c>
      <c r="B32">
        <v>1943.674</v>
      </c>
      <c r="C32">
        <v>636.01149999999996</v>
      </c>
      <c r="D32">
        <v>175.20910000000001</v>
      </c>
      <c r="E32">
        <v>78.602069999999998</v>
      </c>
      <c r="F32">
        <v>45.286000000000001</v>
      </c>
      <c r="G32">
        <v>30.600999999999999</v>
      </c>
      <c r="H32">
        <v>20.704000000000001</v>
      </c>
      <c r="I32">
        <v>14.846</v>
      </c>
      <c r="J32">
        <v>11.93</v>
      </c>
      <c r="K32">
        <v>9.0070010000000007</v>
      </c>
      <c r="L32">
        <v>6.8239989999999997</v>
      </c>
      <c r="M32">
        <v>5.1740000000000004</v>
      </c>
      <c r="N32">
        <v>4.4549989999999999</v>
      </c>
      <c r="O32">
        <v>3.7309990000000002</v>
      </c>
      <c r="P32">
        <v>2.556</v>
      </c>
      <c r="Q32">
        <v>2.3220000000000001</v>
      </c>
      <c r="R32">
        <v>1.6220000000000001</v>
      </c>
      <c r="S32">
        <v>1.619</v>
      </c>
      <c r="T32">
        <v>1.619</v>
      </c>
      <c r="U32">
        <v>1.389</v>
      </c>
    </row>
    <row r="33" spans="1:21">
      <c r="A33" t="s">
        <v>29</v>
      </c>
      <c r="B33">
        <v>1771.1949999999999</v>
      </c>
      <c r="C33">
        <v>539.87249999999995</v>
      </c>
      <c r="D33">
        <v>170.6011</v>
      </c>
      <c r="E33">
        <v>76.733069999999998</v>
      </c>
      <c r="F33">
        <v>50.039990000000003</v>
      </c>
      <c r="G33">
        <v>33.296999999999997</v>
      </c>
      <c r="H33">
        <v>21.504010000000001</v>
      </c>
      <c r="I33">
        <v>13.942</v>
      </c>
      <c r="J33">
        <v>10.731999999999999</v>
      </c>
      <c r="K33">
        <v>7.8360010000000004</v>
      </c>
      <c r="L33">
        <v>6.3839990000000002</v>
      </c>
      <c r="M33">
        <v>5.1820009999999996</v>
      </c>
      <c r="N33">
        <v>4.4550000000000001</v>
      </c>
      <c r="O33">
        <v>3.510999</v>
      </c>
      <c r="P33">
        <v>3.036</v>
      </c>
      <c r="Q33">
        <v>2.5649999999999999</v>
      </c>
      <c r="R33">
        <v>2.327</v>
      </c>
      <c r="S33">
        <v>2.3239999999999998</v>
      </c>
      <c r="T33">
        <v>2.3239999999999998</v>
      </c>
      <c r="U33">
        <v>2.323</v>
      </c>
    </row>
    <row r="34" spans="1:21">
      <c r="A34" t="s">
        <v>30</v>
      </c>
      <c r="B34">
        <v>1774.5070000000001</v>
      </c>
      <c r="C34">
        <v>528.15049999999997</v>
      </c>
      <c r="D34">
        <v>164.5521</v>
      </c>
      <c r="E34">
        <v>78.327070000000006</v>
      </c>
      <c r="F34">
        <v>46.661000000000001</v>
      </c>
      <c r="G34">
        <v>30.20299</v>
      </c>
      <c r="H34">
        <v>21.253</v>
      </c>
      <c r="I34">
        <v>14.166</v>
      </c>
      <c r="J34">
        <v>10.228999999999999</v>
      </c>
      <c r="K34">
        <v>7.1319999999999997</v>
      </c>
      <c r="L34">
        <v>4.9909999999999997</v>
      </c>
      <c r="M34">
        <v>4.2720000000000002</v>
      </c>
      <c r="N34">
        <v>3.3059989999999999</v>
      </c>
      <c r="O34">
        <v>2.5779999999999998</v>
      </c>
      <c r="P34">
        <v>2.569</v>
      </c>
      <c r="Q34">
        <v>2.3330000000000002</v>
      </c>
      <c r="R34">
        <v>2.097</v>
      </c>
      <c r="S34">
        <v>1.8640000000000001</v>
      </c>
      <c r="T34">
        <v>1.633</v>
      </c>
      <c r="U34">
        <v>1.633</v>
      </c>
    </row>
    <row r="35" spans="1:21">
      <c r="A35" t="s">
        <v>31</v>
      </c>
      <c r="B35">
        <v>3886.6930000000002</v>
      </c>
      <c r="C35">
        <v>2303.4110000000001</v>
      </c>
      <c r="D35">
        <v>1279.7719999999999</v>
      </c>
      <c r="E35">
        <v>833.41229999999996</v>
      </c>
      <c r="F35">
        <v>594.3596</v>
      </c>
      <c r="G35">
        <v>450.78789999999998</v>
      </c>
      <c r="H35">
        <v>341.74669999999998</v>
      </c>
      <c r="I35">
        <v>269.38760000000002</v>
      </c>
      <c r="J35">
        <v>216.93299999999999</v>
      </c>
      <c r="K35">
        <v>175.35409999999999</v>
      </c>
      <c r="L35">
        <v>150.44489999999999</v>
      </c>
      <c r="M35">
        <v>134.30719999999999</v>
      </c>
      <c r="N35">
        <v>118.5201</v>
      </c>
      <c r="O35">
        <v>108.56100000000001</v>
      </c>
      <c r="P35">
        <v>96.55095</v>
      </c>
      <c r="Q35">
        <v>90.147829999999999</v>
      </c>
      <c r="R35">
        <v>83.420869999999994</v>
      </c>
      <c r="S35">
        <v>77.146929999999998</v>
      </c>
      <c r="T35">
        <v>72.58202</v>
      </c>
      <c r="U35">
        <v>66.637010000000004</v>
      </c>
    </row>
    <row r="36" spans="1:21">
      <c r="A36" t="s">
        <v>32</v>
      </c>
      <c r="B36">
        <v>4145.4570000000003</v>
      </c>
      <c r="C36">
        <v>2484.6909999999998</v>
      </c>
      <c r="D36">
        <v>1360.0070000000001</v>
      </c>
      <c r="E36">
        <v>890.76649999999995</v>
      </c>
      <c r="F36">
        <v>627.20519999999999</v>
      </c>
      <c r="G36">
        <v>468.49189999999999</v>
      </c>
      <c r="H36">
        <v>374.13490000000002</v>
      </c>
      <c r="I36">
        <v>299.59210000000002</v>
      </c>
      <c r="J36">
        <v>246.4357</v>
      </c>
      <c r="K36">
        <v>203.321</v>
      </c>
      <c r="L36">
        <v>172.8817</v>
      </c>
      <c r="M36">
        <v>150.5454</v>
      </c>
      <c r="N36">
        <v>130.73689999999999</v>
      </c>
      <c r="O36">
        <v>118.3419</v>
      </c>
      <c r="P36">
        <v>105.8839</v>
      </c>
      <c r="Q36">
        <v>97.031840000000003</v>
      </c>
      <c r="R36">
        <v>87.26491</v>
      </c>
      <c r="S36">
        <v>78.2</v>
      </c>
      <c r="T36">
        <v>72.505020000000002</v>
      </c>
      <c r="U36">
        <v>68.414050000000003</v>
      </c>
    </row>
    <row r="37" spans="1:21">
      <c r="A37" t="s">
        <v>33</v>
      </c>
      <c r="B37">
        <v>4070.7420000000002</v>
      </c>
      <c r="C37">
        <v>2562.5039999999999</v>
      </c>
      <c r="D37">
        <v>1470.99</v>
      </c>
      <c r="E37">
        <v>1007.052</v>
      </c>
      <c r="F37">
        <v>737.16010000000006</v>
      </c>
      <c r="G37">
        <v>573.01610000000005</v>
      </c>
      <c r="H37">
        <v>452.59120000000001</v>
      </c>
      <c r="I37">
        <v>381.22669999999999</v>
      </c>
      <c r="J37">
        <v>320.06029999999998</v>
      </c>
      <c r="K37">
        <v>272.55029999999999</v>
      </c>
      <c r="L37">
        <v>239.5078</v>
      </c>
      <c r="M37">
        <v>209.0342</v>
      </c>
      <c r="N37">
        <v>186.78049999999999</v>
      </c>
      <c r="O37">
        <v>168.7217</v>
      </c>
      <c r="P37">
        <v>153.33770000000001</v>
      </c>
      <c r="Q37">
        <v>139.68870000000001</v>
      </c>
      <c r="R37">
        <v>130.9847</v>
      </c>
      <c r="S37">
        <v>122.5637</v>
      </c>
      <c r="T37">
        <v>112.3368</v>
      </c>
      <c r="U37">
        <v>105.4299</v>
      </c>
    </row>
  </sheetData>
  <phoneticPr fontId="0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19"/>
  <dimension ref="A1:X37"/>
  <sheetViews>
    <sheetView zoomScale="75" zoomScaleNormal="75" workbookViewId="0">
      <selection activeCell="U26" sqref="U26"/>
    </sheetView>
  </sheetViews>
  <sheetFormatPr defaultRowHeight="15"/>
  <sheetData>
    <row r="1" spans="1:24">
      <c r="A1" s="1"/>
      <c r="B1" s="1" t="str">
        <f>"Chg_R_pos_tchg _1.4A"</f>
        <v>Chg_R_pos_tchg _1.4A</v>
      </c>
      <c r="C1" s="1" t="str">
        <f>"Chg_R_pos_tchg _2A"</f>
        <v>Chg_R_pos_tchg _2A</v>
      </c>
      <c r="D1" s="1" t="str">
        <f>"Chg_R_pos_tchg _3A"</f>
        <v>Chg_R_pos_tchg _3A</v>
      </c>
      <c r="E1" s="1" t="str">
        <f>"Chg_R_pos_tchg _4A"</f>
        <v>Chg_R_pos_tchg _4A</v>
      </c>
      <c r="F1" s="1" t="str">
        <f>"Chg_R_pos_tchg _5A"</f>
        <v>Chg_R_pos_tchg _5A</v>
      </c>
      <c r="G1" s="1" t="str">
        <f>"Chg_R_pos_tchg _6A"</f>
        <v>Chg_R_pos_tchg _6A</v>
      </c>
      <c r="H1" s="1" t="str">
        <f>"Chg_R_pos_tchg _7A"</f>
        <v>Chg_R_pos_tchg _7A</v>
      </c>
      <c r="I1" s="1" t="str">
        <f>"Chg_R_pos_tchg _8A"</f>
        <v>Chg_R_pos_tchg _8A</v>
      </c>
      <c r="J1" s="1" t="str">
        <f>"Chg_R_pos_tchg _9A"</f>
        <v>Chg_R_pos_tchg _9A</v>
      </c>
      <c r="K1" s="1" t="str">
        <f>"Chg_R_pos_tchg _10A"</f>
        <v>Chg_R_pos_tchg _10A</v>
      </c>
      <c r="L1" s="1" t="str">
        <f>"Chg_R_pos_tchg _11A"</f>
        <v>Chg_R_pos_tchg _11A</v>
      </c>
      <c r="M1" s="1" t="str">
        <f>"Chg_R_pos_tchg _12A"</f>
        <v>Chg_R_pos_tchg _12A</v>
      </c>
      <c r="N1" s="1" t="str">
        <f>"Chg_R_pos_tchg _13A"</f>
        <v>Chg_R_pos_tchg _13A</v>
      </c>
      <c r="O1" s="1" t="str">
        <f>"Chg_R_pos_tchg _14A"</f>
        <v>Chg_R_pos_tchg _14A</v>
      </c>
      <c r="P1" s="1" t="str">
        <f>"Chg_R_pos_tchg _15A"</f>
        <v>Chg_R_pos_tchg _15A</v>
      </c>
      <c r="Q1" s="1" t="str">
        <f>"Chg_R_pos_tchg _16A"</f>
        <v>Chg_R_pos_tchg _16A</v>
      </c>
      <c r="R1" s="1" t="str">
        <f>"Chg_R_pos_tchg _17A"</f>
        <v>Chg_R_pos_tchg _17A</v>
      </c>
      <c r="S1" s="1" t="str">
        <f>"Chg_R_pos_tchg _18A"</f>
        <v>Chg_R_pos_tchg _18A</v>
      </c>
      <c r="T1" s="1" t="str">
        <f>"Chg_R_pos_tchg _19A"</f>
        <v>Chg_R_pos_tchg _19A</v>
      </c>
      <c r="U1" s="1" t="str">
        <f>"Chg_R_pos_tchg _20A"</f>
        <v>Chg_R_pos_tchg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-0.41362281518090427</v>
      </c>
      <c r="C3">
        <v>-0.50538149003898258</v>
      </c>
      <c r="D3">
        <v>-0.62791976172843145</v>
      </c>
      <c r="E3">
        <v>-0.79375827487169837</v>
      </c>
      <c r="F3">
        <v>-0.82464272464086219</v>
      </c>
      <c r="G3">
        <v>-0.88744458724182063</v>
      </c>
      <c r="H3">
        <v>-1.0081712254369508</v>
      </c>
      <c r="I3">
        <v>-1.0570697442600567</v>
      </c>
      <c r="J3">
        <v>-1.1294509637264649</v>
      </c>
      <c r="K3">
        <v>-1.2108792689134844</v>
      </c>
      <c r="L3">
        <v>-1.0914682329272467</v>
      </c>
      <c r="M3">
        <v>-1.0610457281743204</v>
      </c>
      <c r="N3">
        <v>-1.1280108221191922</v>
      </c>
      <c r="O3">
        <v>-1.1985609854505581</v>
      </c>
      <c r="P3">
        <v>-1.2114703224679879</v>
      </c>
      <c r="Q3">
        <v>-1.1568242283208705</v>
      </c>
      <c r="R3">
        <v>-1.1871799796786426</v>
      </c>
      <c r="S3">
        <v>-1.3075955206202448</v>
      </c>
      <c r="T3">
        <v>-1.2794161011264722</v>
      </c>
      <c r="U3">
        <v>-1.4769662700308577</v>
      </c>
    </row>
    <row r="4" spans="1:24">
      <c r="A4" t="s">
        <v>1</v>
      </c>
      <c r="B4">
        <v>-0.37491569425170551</v>
      </c>
      <c r="C4">
        <v>-0.45829926353621353</v>
      </c>
      <c r="D4">
        <v>-0.59596901528517487</v>
      </c>
      <c r="E4">
        <v>-0.73161987903086645</v>
      </c>
      <c r="F4">
        <v>-0.79973814573934743</v>
      </c>
      <c r="G4">
        <v>-0.87183972742759785</v>
      </c>
      <c r="H4">
        <v>-0.85382010800780561</v>
      </c>
      <c r="I4">
        <v>-0.95498939066694899</v>
      </c>
      <c r="J4">
        <v>-0.94601760913848643</v>
      </c>
      <c r="K4">
        <v>-0.9835902936379971</v>
      </c>
      <c r="L4">
        <v>-0.89531825726118552</v>
      </c>
      <c r="M4">
        <v>-0.93100459374305944</v>
      </c>
      <c r="N4">
        <v>-0.90110816932800952</v>
      </c>
      <c r="O4">
        <v>-0.93414240818642624</v>
      </c>
      <c r="P4">
        <v>-0.95317693756395261</v>
      </c>
      <c r="Q4">
        <v>-0.94392780946214083</v>
      </c>
      <c r="R4">
        <v>-0.94332311611266384</v>
      </c>
      <c r="S4">
        <v>-0.92137830259916009</v>
      </c>
      <c r="T4">
        <v>-0.97064491154792709</v>
      </c>
      <c r="U4">
        <v>-0.97795393410439813</v>
      </c>
    </row>
    <row r="5" spans="1:24">
      <c r="A5" t="s">
        <v>2</v>
      </c>
      <c r="B5">
        <v>-0.34345267505853294</v>
      </c>
      <c r="C5">
        <v>-0.40293487429832603</v>
      </c>
      <c r="D5">
        <v>-0.47887799393438402</v>
      </c>
      <c r="E5">
        <v>-0.55982460932682709</v>
      </c>
      <c r="F5">
        <v>-0.59796450963379533</v>
      </c>
      <c r="G5">
        <v>-0.68519554609722</v>
      </c>
      <c r="H5">
        <v>-0.79852736516856404</v>
      </c>
      <c r="I5">
        <v>-0.89250051964398325</v>
      </c>
      <c r="J5">
        <v>-0.90301344324259958</v>
      </c>
      <c r="K5">
        <v>-0.97711436299606524</v>
      </c>
      <c r="L5">
        <v>-1.0081623164171973</v>
      </c>
      <c r="M5">
        <v>-1.0534948793229402</v>
      </c>
      <c r="N5">
        <v>-1.1022390682599903</v>
      </c>
      <c r="O5">
        <v>-1.1638722616521766</v>
      </c>
      <c r="P5">
        <v>-1.1585455218702256</v>
      </c>
      <c r="Q5">
        <v>-1.2369305569128959</v>
      </c>
      <c r="R5">
        <v>-1.3286606630446791</v>
      </c>
      <c r="S5">
        <v>-1.3239626612544197</v>
      </c>
      <c r="T5">
        <v>-1.3812138995730732</v>
      </c>
      <c r="U5">
        <v>-1.4948327796449294</v>
      </c>
    </row>
    <row r="6" spans="1:24">
      <c r="A6" t="s">
        <v>3</v>
      </c>
      <c r="B6">
        <v>-0.32429922348804724</v>
      </c>
      <c r="C6">
        <v>-0.44965378670648021</v>
      </c>
      <c r="D6">
        <v>-0.57550741914436299</v>
      </c>
      <c r="E6">
        <v>-0.63810693435359878</v>
      </c>
      <c r="F6">
        <v>-0.76097477909398059</v>
      </c>
      <c r="G6">
        <v>-0.89291747619767547</v>
      </c>
      <c r="H6">
        <v>-1.0229231041232327</v>
      </c>
      <c r="I6">
        <v>-1.1533120381519857</v>
      </c>
      <c r="J6">
        <v>-1.1635592808539299</v>
      </c>
      <c r="K6">
        <v>-1.2404328582692496</v>
      </c>
      <c r="L6">
        <v>-1.1839915059652741</v>
      </c>
      <c r="M6">
        <v>-1.2824057025210738</v>
      </c>
      <c r="N6">
        <v>-1.1887528200161597</v>
      </c>
      <c r="O6">
        <v>-1.135876792513592</v>
      </c>
      <c r="P6">
        <v>-1.1634043349741159</v>
      </c>
      <c r="Q6">
        <v>-1.343788820895506</v>
      </c>
      <c r="R6">
        <v>-1.2775897685024107</v>
      </c>
      <c r="S6">
        <v>-1.3367498974735716</v>
      </c>
      <c r="T6">
        <v>-1.607604694955086</v>
      </c>
      <c r="U6">
        <v>-1.4871482082737693</v>
      </c>
    </row>
    <row r="7" spans="1:24">
      <c r="A7" t="s">
        <v>4</v>
      </c>
      <c r="B7">
        <v>-0.34629454320065534</v>
      </c>
      <c r="C7">
        <v>-0.45460451820941949</v>
      </c>
      <c r="D7">
        <v>-0.58674326938028853</v>
      </c>
      <c r="E7">
        <v>-0.75411347269778572</v>
      </c>
      <c r="F7">
        <v>-0.87849843054689847</v>
      </c>
      <c r="G7">
        <v>-0.91177337074932741</v>
      </c>
      <c r="H7">
        <v>-1.0057396877023466</v>
      </c>
      <c r="I7">
        <v>-1.1652692074349709</v>
      </c>
      <c r="J7">
        <v>-1.1892858715942825</v>
      </c>
      <c r="K7">
        <v>-1.1056157996312244</v>
      </c>
      <c r="L7">
        <v>-1.3288733446054974</v>
      </c>
      <c r="M7">
        <v>-1.227544503568307</v>
      </c>
      <c r="N7">
        <v>-1.4121434713373018</v>
      </c>
      <c r="O7">
        <v>-1.2903723740369162</v>
      </c>
      <c r="P7">
        <v>-1.3022635469857482</v>
      </c>
      <c r="Q7">
        <v>-1.1321350551694878</v>
      </c>
      <c r="R7">
        <v>-1.0875550282102817</v>
      </c>
      <c r="S7">
        <v>-1.3551459555209266</v>
      </c>
      <c r="T7">
        <v>-1.4031671978440408</v>
      </c>
      <c r="U7">
        <v>-1.4598667033212016</v>
      </c>
    </row>
    <row r="8" spans="1:24">
      <c r="A8" t="s">
        <v>5</v>
      </c>
      <c r="B8">
        <v>-0.2946544940325872</v>
      </c>
      <c r="C8">
        <v>-0.35681282206265508</v>
      </c>
      <c r="D8">
        <v>-0.4564390575755477</v>
      </c>
      <c r="E8">
        <v>-0.53281635538620253</v>
      </c>
      <c r="F8">
        <v>-0.58281109519458507</v>
      </c>
      <c r="G8">
        <v>-0.64816606744223637</v>
      </c>
      <c r="H8">
        <v>-0.73157555547027564</v>
      </c>
      <c r="I8">
        <v>-0.75413847331719341</v>
      </c>
      <c r="J8">
        <v>-0.77360372583817816</v>
      </c>
      <c r="K8">
        <v>-0.79014862099502625</v>
      </c>
      <c r="L8">
        <v>-0.78100700904086939</v>
      </c>
      <c r="M8">
        <v>-0.75342111980136295</v>
      </c>
      <c r="N8">
        <v>-0.86253644357591708</v>
      </c>
      <c r="O8">
        <v>-0.88278604018601392</v>
      </c>
      <c r="P8">
        <v>-1.0228023367508101</v>
      </c>
      <c r="Q8">
        <v>-1.0063618130386656</v>
      </c>
      <c r="R8">
        <v>-1.0961348367138946</v>
      </c>
      <c r="S8">
        <v>-1.118203339878131</v>
      </c>
      <c r="T8">
        <v>-1.1672537066305408</v>
      </c>
      <c r="U8">
        <v>-1.2458637898045222</v>
      </c>
    </row>
    <row r="9" spans="1:24">
      <c r="A9" t="s">
        <v>6</v>
      </c>
      <c r="B9">
        <v>-0.35256676953438743</v>
      </c>
      <c r="C9">
        <v>-0.45425062433273389</v>
      </c>
      <c r="D9">
        <v>-0.60181065949068469</v>
      </c>
      <c r="E9">
        <v>-0.77937084623088126</v>
      </c>
      <c r="F9">
        <v>-0.90141977324576261</v>
      </c>
      <c r="G9">
        <v>-0.99783374776891254</v>
      </c>
      <c r="H9">
        <v>-1.0169759464480064</v>
      </c>
      <c r="I9">
        <v>-1.124067668673562</v>
      </c>
      <c r="J9">
        <v>-1.2081625789861679</v>
      </c>
      <c r="K9">
        <v>-1.1545379624207492</v>
      </c>
      <c r="L9">
        <v>-1.1934800698066719</v>
      </c>
      <c r="M9">
        <v>-1.3542395472864408</v>
      </c>
      <c r="N9">
        <v>-1.3404070010674527</v>
      </c>
      <c r="O9">
        <v>-1.4494693397084</v>
      </c>
      <c r="P9">
        <v>-1.507348262750837</v>
      </c>
      <c r="Q9">
        <v>-1.527115098258673</v>
      </c>
      <c r="R9">
        <v>-1.6667524822375042</v>
      </c>
      <c r="S9">
        <v>-1.8255175396976255</v>
      </c>
      <c r="T9">
        <v>-2.0728001835819931</v>
      </c>
      <c r="U9">
        <v>-1.8590679772569021</v>
      </c>
    </row>
    <row r="10" spans="1:24">
      <c r="A10" t="s">
        <v>7</v>
      </c>
      <c r="B10">
        <v>-0.35253498755079499</v>
      </c>
      <c r="C10">
        <v>-0.48171950145370362</v>
      </c>
      <c r="D10">
        <v>-0.65777711168169151</v>
      </c>
      <c r="E10">
        <v>-0.83386265170432139</v>
      </c>
      <c r="F10">
        <v>-1.0305425989522439</v>
      </c>
      <c r="G10">
        <v>-1.208048243733745</v>
      </c>
      <c r="H10">
        <v>-1.4792489100679305</v>
      </c>
      <c r="I10">
        <v>-1.8442453659158355</v>
      </c>
      <c r="J10">
        <v>-1.9193793362969611</v>
      </c>
      <c r="K10">
        <v>-2.0301821925156593</v>
      </c>
      <c r="L10">
        <v>-1.8815733347541315</v>
      </c>
      <c r="M10">
        <v>-1.9517348449930088</v>
      </c>
      <c r="N10">
        <v>-2.1225773355679807</v>
      </c>
      <c r="O10">
        <v>-2.250536416932114</v>
      </c>
      <c r="P10">
        <v>-2.1586430981646467</v>
      </c>
      <c r="Q10">
        <v>-2.2194012593616175</v>
      </c>
      <c r="R10">
        <v>-2.2760139794844743</v>
      </c>
      <c r="S10">
        <v>-2.9831606854779871</v>
      </c>
      <c r="T10">
        <v>-2.5687674557526963</v>
      </c>
      <c r="U10">
        <v>-2.5727027397123021</v>
      </c>
    </row>
    <row r="11" spans="1:24">
      <c r="A11" t="s">
        <v>8</v>
      </c>
      <c r="B11">
        <v>-0.32888721760684575</v>
      </c>
      <c r="C11">
        <v>-0.45433492072886511</v>
      </c>
      <c r="D11">
        <v>-0.61877584132082797</v>
      </c>
      <c r="E11">
        <v>-0.82133397520093021</v>
      </c>
      <c r="F11">
        <v>-1.0226639488066991</v>
      </c>
      <c r="G11">
        <v>-1.2161646582228653</v>
      </c>
      <c r="H11">
        <v>-1.4004170610384492</v>
      </c>
      <c r="I11">
        <v>-1.8611148428204047</v>
      </c>
      <c r="J11">
        <v>-1.8663374932125825</v>
      </c>
      <c r="K11">
        <v>-2.3010978258358543</v>
      </c>
      <c r="L11">
        <v>-2.1055521842798504</v>
      </c>
      <c r="M11">
        <v>-2.4024788138305371</v>
      </c>
      <c r="N11">
        <v>-3.1359617886098823</v>
      </c>
      <c r="O11">
        <v>-3.3608945082930259</v>
      </c>
      <c r="P11">
        <v>-3.2895445224291708</v>
      </c>
      <c r="Q11">
        <v>-4.4032281245740457</v>
      </c>
      <c r="R11">
        <v>-4.9010147782830193</v>
      </c>
      <c r="S11">
        <v>-5.6535166112701596</v>
      </c>
      <c r="T11">
        <v>-8.8521170540861824</v>
      </c>
      <c r="U11">
        <v>-6.6658557226153867</v>
      </c>
    </row>
    <row r="12" spans="1:24">
      <c r="A12" t="s">
        <v>9</v>
      </c>
      <c r="B12">
        <v>-0.28687508724809108</v>
      </c>
      <c r="C12">
        <v>-0.35702226459568143</v>
      </c>
      <c r="D12">
        <v>-0.44283275204003142</v>
      </c>
      <c r="E12">
        <v>-0.43789805651523989</v>
      </c>
      <c r="F12">
        <v>-0.44677927302586523</v>
      </c>
      <c r="G12">
        <v>-0.44905566177338513</v>
      </c>
      <c r="H12">
        <v>-0.43572975245654699</v>
      </c>
      <c r="I12">
        <v>-0.45643545765555937</v>
      </c>
      <c r="J12">
        <v>-0.43439502683618902</v>
      </c>
      <c r="K12">
        <v>-0.45106232653451866</v>
      </c>
      <c r="L12">
        <v>-0.41025870520304342</v>
      </c>
      <c r="M12">
        <v>-0.41876891461321775</v>
      </c>
      <c r="N12">
        <v>-0.37328213326177467</v>
      </c>
      <c r="O12">
        <v>-0.37264613315179435</v>
      </c>
      <c r="P12">
        <v>-0.37000799393757389</v>
      </c>
      <c r="Q12">
        <v>-0.3575775603784323</v>
      </c>
      <c r="R12">
        <v>-0.3323246900190065</v>
      </c>
      <c r="S12">
        <v>-0.36344058809526925</v>
      </c>
      <c r="T12">
        <v>-0.37574199349867432</v>
      </c>
      <c r="U12">
        <v>-0.32381911050748952</v>
      </c>
    </row>
    <row r="13" spans="1:24">
      <c r="A13" t="s">
        <v>10</v>
      </c>
      <c r="B13">
        <v>-0.2197024889236025</v>
      </c>
      <c r="C13">
        <v>-0.25146907987348477</v>
      </c>
      <c r="D13">
        <v>-0.30107870253674773</v>
      </c>
      <c r="E13">
        <v>-0.33553541597341352</v>
      </c>
      <c r="F13">
        <v>-0.36588052053380521</v>
      </c>
      <c r="G13">
        <v>-0.3837721561779292</v>
      </c>
      <c r="H13">
        <v>-0.42847856715681454</v>
      </c>
      <c r="I13">
        <v>-0.45964876870535931</v>
      </c>
      <c r="J13">
        <v>-0.43641255705209714</v>
      </c>
      <c r="K13">
        <v>-0.41866384210383367</v>
      </c>
      <c r="L13">
        <v>-0.40802738237239972</v>
      </c>
      <c r="M13">
        <v>-0.3890973551102736</v>
      </c>
      <c r="N13">
        <v>-0.40285943741671892</v>
      </c>
      <c r="O13">
        <v>-0.38505179751010921</v>
      </c>
      <c r="P13">
        <v>-0.41870060384443625</v>
      </c>
      <c r="Q13">
        <v>-0.41911588030428248</v>
      </c>
      <c r="R13">
        <v>-0.41727514798886317</v>
      </c>
      <c r="S13">
        <v>-0.43496541059082416</v>
      </c>
      <c r="T13">
        <v>-0.4318209786892262</v>
      </c>
      <c r="U13">
        <v>-0.45982433833035952</v>
      </c>
    </row>
    <row r="14" spans="1:24">
      <c r="A14" t="s">
        <v>11</v>
      </c>
      <c r="B14">
        <v>-0.32077176128150792</v>
      </c>
      <c r="C14">
        <v>-0.4669468614861978</v>
      </c>
      <c r="D14">
        <v>-0.65551225468629659</v>
      </c>
      <c r="E14">
        <v>-0.85280687583210124</v>
      </c>
      <c r="F14">
        <v>-0.89013158293115668</v>
      </c>
      <c r="G14">
        <v>-0.99996010192689244</v>
      </c>
      <c r="H14">
        <v>-1.1004214433213813</v>
      </c>
      <c r="I14">
        <v>-1.186565182347473</v>
      </c>
      <c r="J14">
        <v>-1.3017628982340363</v>
      </c>
      <c r="K14">
        <v>-1.2081021866857644</v>
      </c>
      <c r="L14">
        <v>-1.1838301374232583</v>
      </c>
      <c r="M14">
        <v>-1.2325677551298277</v>
      </c>
      <c r="N14">
        <v>-1.2850720286539286</v>
      </c>
      <c r="O14">
        <v>-1.3412850613914726</v>
      </c>
      <c r="P14">
        <v>-1.601661260871754</v>
      </c>
      <c r="Q14">
        <v>-1.4156280842610209</v>
      </c>
      <c r="R14">
        <v>-1.3394070557199866</v>
      </c>
      <c r="S14">
        <v>-1.1907033418704072</v>
      </c>
      <c r="T14">
        <v>-1.0680797309284913</v>
      </c>
      <c r="U14">
        <v>-1.1405448250667793</v>
      </c>
    </row>
    <row r="15" spans="1:24">
      <c r="A15" t="s">
        <v>12</v>
      </c>
      <c r="B15">
        <v>-0.49548556771493751</v>
      </c>
      <c r="C15">
        <v>-0.67785063898968656</v>
      </c>
      <c r="D15">
        <v>-0.93842472173918079</v>
      </c>
      <c r="E15">
        <v>-1.181369627599469</v>
      </c>
      <c r="F15">
        <v>-1.2714505276790631</v>
      </c>
      <c r="G15">
        <v>-1.3331223062032715</v>
      </c>
      <c r="H15">
        <v>-1.4042326689933748</v>
      </c>
      <c r="I15">
        <v>-1.4228501018504007</v>
      </c>
      <c r="J15">
        <v>-1.5133582691491008</v>
      </c>
      <c r="K15">
        <v>-1.5342614022485168</v>
      </c>
      <c r="L15">
        <v>-1.6544600624886947</v>
      </c>
      <c r="M15">
        <v>-1.9230261153854269</v>
      </c>
      <c r="N15">
        <v>-1.956040576403185</v>
      </c>
      <c r="O15">
        <v>-1.6607005913461612</v>
      </c>
      <c r="P15">
        <v>-1.8389334663072969</v>
      </c>
      <c r="Q15">
        <v>-1.6481753391338558</v>
      </c>
      <c r="R15">
        <v>-1.7668233644026885</v>
      </c>
      <c r="S15">
        <v>-1.8800505988354161</v>
      </c>
      <c r="T15">
        <v>-1.9110532783784016</v>
      </c>
      <c r="U15">
        <v>-2.0823900340052921</v>
      </c>
    </row>
    <row r="16" spans="1:24">
      <c r="A16" t="s">
        <v>13</v>
      </c>
      <c r="B16">
        <v>-0.28263727205615219</v>
      </c>
      <c r="C16">
        <v>-0.37758473497760753</v>
      </c>
      <c r="D16">
        <v>-0.55810231658239773</v>
      </c>
      <c r="E16">
        <v>-0.72871840837730562</v>
      </c>
      <c r="F16">
        <v>-0.81931521320412071</v>
      </c>
      <c r="G16">
        <v>-0.93948390960386996</v>
      </c>
      <c r="H16">
        <v>-1.0530935136777144</v>
      </c>
      <c r="I16">
        <v>-1.1507198004244727</v>
      </c>
      <c r="J16">
        <v>-1.2297152544352352</v>
      </c>
      <c r="K16">
        <v>-1.3447329827750609</v>
      </c>
      <c r="L16">
        <v>-1.4153413555929275</v>
      </c>
      <c r="M16">
        <v>-1.5802557938032249</v>
      </c>
      <c r="N16">
        <v>-1.583178942239529</v>
      </c>
      <c r="O16">
        <v>-1.5440786794767494</v>
      </c>
      <c r="P16">
        <v>-1.4717608599736722</v>
      </c>
      <c r="Q16">
        <v>-1.7106995976866275</v>
      </c>
      <c r="R16">
        <v>-1.8670269681408733</v>
      </c>
      <c r="S16">
        <v>-1.7980629091048921</v>
      </c>
      <c r="T16">
        <v>-1.7664954511589834</v>
      </c>
      <c r="U16">
        <v>-1.5606552279504393</v>
      </c>
    </row>
    <row r="17" spans="1:21">
      <c r="A17" t="s">
        <v>14</v>
      </c>
      <c r="B17">
        <v>-0.2838247946351754</v>
      </c>
      <c r="C17">
        <v>-0.39049788884387016</v>
      </c>
      <c r="D17">
        <v>-0.56643029043169868</v>
      </c>
      <c r="E17">
        <v>-0.67818083658101935</v>
      </c>
      <c r="F17">
        <v>-0.80135362524508991</v>
      </c>
      <c r="G17">
        <v>-0.89355431443256683</v>
      </c>
      <c r="H17">
        <v>-0.90207984462866342</v>
      </c>
      <c r="I17">
        <v>-1.0039536134313434</v>
      </c>
      <c r="J17">
        <v>-1.0213925547729938</v>
      </c>
      <c r="K17">
        <v>-1.0273650955091289</v>
      </c>
      <c r="L17">
        <v>-1.0469870381468851</v>
      </c>
      <c r="M17">
        <v>-1.0355237159296478</v>
      </c>
      <c r="N17">
        <v>-1.1070649996959105</v>
      </c>
      <c r="O17">
        <v>-1.2360694419397404</v>
      </c>
      <c r="P17">
        <v>-1.153403361984964</v>
      </c>
      <c r="Q17">
        <v>-1.153627933960687</v>
      </c>
      <c r="R17">
        <v>-1.2521517031978713</v>
      </c>
      <c r="S17">
        <v>-1.1961805455827319</v>
      </c>
      <c r="T17">
        <v>-1.1884929030601663</v>
      </c>
      <c r="U17">
        <v>-1.1880569773507337</v>
      </c>
    </row>
    <row r="18" spans="1:21">
      <c r="A18" t="s">
        <v>15</v>
      </c>
      <c r="B18">
        <v>-0.32982145129915424</v>
      </c>
      <c r="C18">
        <v>-0.48801133935772195</v>
      </c>
      <c r="D18">
        <v>-0.74275744680543521</v>
      </c>
      <c r="E18">
        <v>-0.93777512835251275</v>
      </c>
      <c r="F18">
        <v>-1.11326408310028</v>
      </c>
      <c r="G18">
        <v>-1.197872594463024</v>
      </c>
      <c r="H18">
        <v>-1.3452578595959681</v>
      </c>
      <c r="I18">
        <v>-1.3032450723891411</v>
      </c>
      <c r="J18">
        <v>-1.3290654932136066</v>
      </c>
      <c r="K18">
        <v>-1.3563380923104955</v>
      </c>
      <c r="L18">
        <v>-1.4360811233279456</v>
      </c>
      <c r="M18">
        <v>-1.4826042198967613</v>
      </c>
      <c r="N18">
        <v>-1.7514027310240763</v>
      </c>
      <c r="O18">
        <v>-1.7218826889931298</v>
      </c>
      <c r="P18">
        <v>-1.506666615419503</v>
      </c>
      <c r="Q18">
        <v>-1.5468062205350368</v>
      </c>
      <c r="R18">
        <v>-1.5823827701000319</v>
      </c>
      <c r="S18">
        <v>-1.5013645997196845</v>
      </c>
      <c r="T18">
        <v>-1.4511969208939604</v>
      </c>
      <c r="U18">
        <v>-1.397999996257653</v>
      </c>
    </row>
    <row r="19" spans="1:21">
      <c r="A19" t="s">
        <v>16</v>
      </c>
      <c r="B19">
        <v>-0.4830275051294074</v>
      </c>
      <c r="C19">
        <v>-0.61239672720015959</v>
      </c>
      <c r="D19">
        <v>-0.83471358118240435</v>
      </c>
      <c r="E19">
        <v>-1.0015652869499911</v>
      </c>
      <c r="F19">
        <v>-1.1172728789962583</v>
      </c>
      <c r="G19">
        <v>-1.2774894842953022</v>
      </c>
      <c r="H19">
        <v>-1.4045748526175377</v>
      </c>
      <c r="I19">
        <v>-1.4787767433464358</v>
      </c>
      <c r="J19">
        <v>-1.4994550327333358</v>
      </c>
      <c r="K19">
        <v>-1.5863826690903742</v>
      </c>
      <c r="L19">
        <v>-1.7230548486737485</v>
      </c>
      <c r="M19">
        <v>-1.7901938244827851</v>
      </c>
      <c r="N19">
        <v>-1.8468354252208852</v>
      </c>
      <c r="O19">
        <v>-1.8726729641772677</v>
      </c>
      <c r="P19">
        <v>-1.8529977818563121</v>
      </c>
      <c r="Q19">
        <v>-1.960083267607091</v>
      </c>
      <c r="R19">
        <v>-1.8411004971567404</v>
      </c>
      <c r="S19">
        <v>-1.8784959704312629</v>
      </c>
      <c r="T19">
        <v>-1.7996799904741356</v>
      </c>
      <c r="U19">
        <v>-1.8532931555396908</v>
      </c>
    </row>
    <row r="20" spans="1:21">
      <c r="A20" t="s">
        <v>17</v>
      </c>
      <c r="B20">
        <v>-0.52730963617450122</v>
      </c>
      <c r="C20">
        <v>-0.73014951497753844</v>
      </c>
      <c r="D20">
        <v>-0.9884885526915631</v>
      </c>
      <c r="E20">
        <v>-1.1489482198972636</v>
      </c>
      <c r="F20">
        <v>-1.3367116312025613</v>
      </c>
      <c r="G20">
        <v>-1.5823684555096242</v>
      </c>
      <c r="H20">
        <v>-1.7234239837718015</v>
      </c>
      <c r="I20">
        <v>-2.0008115773398303</v>
      </c>
      <c r="J20">
        <v>-2.2972434089939879</v>
      </c>
      <c r="K20">
        <v>-2.3216165354122191</v>
      </c>
      <c r="L20">
        <v>-2.2645512500713694</v>
      </c>
      <c r="M20">
        <v>-2.6391165058911477</v>
      </c>
      <c r="N20">
        <v>-2.7244032498058464</v>
      </c>
      <c r="O20">
        <v>-2.7839222805033246</v>
      </c>
      <c r="P20">
        <v>-3.077137166518161</v>
      </c>
      <c r="Q20">
        <v>-3.3534453959536856</v>
      </c>
      <c r="R20">
        <v>-3.4084720682339977</v>
      </c>
      <c r="S20">
        <v>-3.622753905294767</v>
      </c>
      <c r="T20">
        <v>-3.8917758580305604</v>
      </c>
      <c r="U20">
        <v>-3.8940498531272811</v>
      </c>
    </row>
    <row r="21" spans="1:21">
      <c r="A21" t="s">
        <v>18</v>
      </c>
      <c r="B21">
        <v>-0.52431609850308314</v>
      </c>
      <c r="C21">
        <v>-0.71912724757046331</v>
      </c>
      <c r="D21">
        <v>-0.97068967690575769</v>
      </c>
      <c r="E21">
        <v>-1.127384119767757</v>
      </c>
      <c r="F21">
        <v>-1.2819244849507418</v>
      </c>
      <c r="G21">
        <v>-1.5779080936114647</v>
      </c>
      <c r="H21">
        <v>-1.6225565241488491</v>
      </c>
      <c r="I21">
        <v>-1.8386075168019438</v>
      </c>
      <c r="J21">
        <v>-1.9743568984459572</v>
      </c>
      <c r="K21">
        <v>-2.267880296753189</v>
      </c>
      <c r="L21">
        <v>-2.4487043729616502</v>
      </c>
      <c r="M21">
        <v>-2.6002225732000244</v>
      </c>
      <c r="N21">
        <v>-2.5331906480874395</v>
      </c>
      <c r="O21">
        <v>-2.758281274645574</v>
      </c>
      <c r="P21">
        <v>-3.048297742649555</v>
      </c>
      <c r="Q21">
        <v>-3.0580409264102961</v>
      </c>
      <c r="R21">
        <v>-3.2584126363227046</v>
      </c>
      <c r="S21">
        <v>-3.314530243208579</v>
      </c>
      <c r="T21">
        <v>-3.5159469020868364</v>
      </c>
      <c r="U21">
        <v>-4.2261277310614078</v>
      </c>
    </row>
    <row r="22" spans="1:21">
      <c r="A22" t="s">
        <v>19</v>
      </c>
      <c r="B22">
        <v>-0.45357192240834387</v>
      </c>
      <c r="C22">
        <v>-0.58536030337831668</v>
      </c>
      <c r="D22">
        <v>-0.75518063563148341</v>
      </c>
      <c r="E22">
        <v>-0.82980386207165013</v>
      </c>
      <c r="F22">
        <v>-0.91949415059199391</v>
      </c>
      <c r="G22">
        <v>-1.0281313457379067</v>
      </c>
      <c r="H22">
        <v>-1.1346053462505796</v>
      </c>
      <c r="I22">
        <v>-1.2003296749581567</v>
      </c>
      <c r="J22">
        <v>-1.3550233844564679</v>
      </c>
      <c r="K22">
        <v>-1.4101498258290923</v>
      </c>
      <c r="L22">
        <v>-1.6220593933516012</v>
      </c>
      <c r="M22">
        <v>-1.5599519080323465</v>
      </c>
      <c r="N22">
        <v>-1.6022518076564787</v>
      </c>
      <c r="O22">
        <v>-1.7630355565549225</v>
      </c>
      <c r="P22">
        <v>-1.9516078941033692</v>
      </c>
      <c r="Q22">
        <v>-2.0469256620587473</v>
      </c>
      <c r="R22">
        <v>-2.245811283991308</v>
      </c>
      <c r="S22">
        <v>-2.2837923871652674</v>
      </c>
      <c r="T22">
        <v>-2.4730123520388734</v>
      </c>
      <c r="U22">
        <v>-2.5236296465411687</v>
      </c>
    </row>
    <row r="23" spans="1:21">
      <c r="A23" t="s">
        <v>20</v>
      </c>
      <c r="B23">
        <v>-0.51917337920791051</v>
      </c>
      <c r="C23">
        <v>-0.71258673381606907</v>
      </c>
      <c r="D23">
        <v>-0.95416034816356554</v>
      </c>
      <c r="E23">
        <v>-1.0973463421819409</v>
      </c>
      <c r="F23">
        <v>-1.2596715998195265</v>
      </c>
      <c r="G23">
        <v>-1.501472166656157</v>
      </c>
      <c r="H23">
        <v>-1.6376311699847734</v>
      </c>
      <c r="I23">
        <v>-1.8082441564408374</v>
      </c>
      <c r="J23">
        <v>-2.0798361115481172</v>
      </c>
      <c r="K23">
        <v>-2.1850207508140458</v>
      </c>
      <c r="L23">
        <v>-2.2745423350679208</v>
      </c>
      <c r="M23">
        <v>-2.4576764491874856</v>
      </c>
      <c r="N23">
        <v>-2.5416599322676059</v>
      </c>
      <c r="O23">
        <v>-2.8727769807133852</v>
      </c>
      <c r="P23">
        <v>-3.2368663446399686</v>
      </c>
      <c r="Q23">
        <v>-3.3038527844273022</v>
      </c>
      <c r="R23">
        <v>-3.5077920280599222</v>
      </c>
      <c r="S23">
        <v>-3.4020269325101893</v>
      </c>
      <c r="T23">
        <v>-3.9564030263268095</v>
      </c>
      <c r="U23">
        <v>-4.3686087267982554</v>
      </c>
    </row>
    <row r="24" spans="1:21">
      <c r="A24" t="s">
        <v>21</v>
      </c>
      <c r="B24">
        <v>-0.4759042322873086</v>
      </c>
      <c r="C24">
        <v>-0.61099433930766545</v>
      </c>
      <c r="D24">
        <v>-0.80455927035132013</v>
      </c>
      <c r="E24">
        <v>-0.90705501271827249</v>
      </c>
      <c r="F24">
        <v>-1.0056289296650081</v>
      </c>
      <c r="G24">
        <v>-1.2334382319042567</v>
      </c>
      <c r="H24">
        <v>-1.3532707284040693</v>
      </c>
      <c r="I24">
        <v>-1.647533888374439</v>
      </c>
      <c r="J24">
        <v>-1.6531697381623247</v>
      </c>
      <c r="K24">
        <v>-1.7042101166424377</v>
      </c>
      <c r="L24">
        <v>-1.8371046431944249</v>
      </c>
      <c r="M24">
        <v>-1.9375885218829039</v>
      </c>
      <c r="N24">
        <v>-1.9381610777219893</v>
      </c>
      <c r="O24">
        <v>-2.0525245294451069</v>
      </c>
      <c r="P24">
        <v>-1.9851653316354732</v>
      </c>
      <c r="Q24">
        <v>-2.0864687617561017</v>
      </c>
      <c r="R24">
        <v>-2.2344321930862781</v>
      </c>
      <c r="S24">
        <v>-2.3485211617194124</v>
      </c>
      <c r="T24">
        <v>-2.3817890454074382</v>
      </c>
      <c r="U24">
        <v>-2.4042128755782017</v>
      </c>
    </row>
    <row r="25" spans="1:21">
      <c r="A25" t="s">
        <v>34</v>
      </c>
      <c r="B25">
        <v>-0.51783116384272376</v>
      </c>
      <c r="C25">
        <v>-0.69982521948864473</v>
      </c>
      <c r="D25">
        <v>-0.94610085979091463</v>
      </c>
      <c r="E25">
        <v>-1.1167285641552633</v>
      </c>
      <c r="F25">
        <v>-1.2988464311463592</v>
      </c>
      <c r="G25">
        <v>-1.4979562419796506</v>
      </c>
      <c r="H25">
        <v>-1.6243787943067154</v>
      </c>
      <c r="I25">
        <v>-1.7196847475364085</v>
      </c>
      <c r="J25">
        <v>-2.0129648692556272</v>
      </c>
      <c r="K25">
        <v>-2.2858150802120916</v>
      </c>
      <c r="L25">
        <v>-2.5628896402423718</v>
      </c>
      <c r="M25">
        <v>-2.8326391309472165</v>
      </c>
      <c r="N25">
        <v>-3.0880380979953959</v>
      </c>
      <c r="O25">
        <v>-3.1217303198858586</v>
      </c>
      <c r="P25">
        <v>-2.9338861504475844</v>
      </c>
      <c r="Q25">
        <v>-2.7380945196569502</v>
      </c>
      <c r="R25">
        <v>-3.2117305285068376</v>
      </c>
      <c r="S25">
        <v>-3.0643466439814993</v>
      </c>
      <c r="T25">
        <v>-3.4695392199260566</v>
      </c>
      <c r="U25">
        <v>-4.1623036973302234</v>
      </c>
    </row>
    <row r="26" spans="1:21">
      <c r="A26" t="s">
        <v>22</v>
      </c>
      <c r="B26">
        <v>-0.32078731991306098</v>
      </c>
      <c r="C26">
        <v>-0.50215864243386266</v>
      </c>
      <c r="D26">
        <v>-0.84497167928257599</v>
      </c>
      <c r="E26">
        <v>-1.1543148783916448</v>
      </c>
      <c r="F26">
        <v>-1.5164909498888968</v>
      </c>
      <c r="G26">
        <v>-2.0112164120977392</v>
      </c>
      <c r="H26">
        <v>-2.3944813812700305</v>
      </c>
      <c r="I26">
        <v>-2.8470252349430551</v>
      </c>
      <c r="J26">
        <v>-4.2795871780857153</v>
      </c>
      <c r="K26">
        <v>-4.7821089065265028</v>
      </c>
      <c r="L26">
        <v>-5.7929833590667323</v>
      </c>
      <c r="M26">
        <v>-8.5875044694785565</v>
      </c>
      <c r="N26">
        <v>-7.4374994699032193</v>
      </c>
      <c r="O26">
        <v>-9.170784896200006</v>
      </c>
      <c r="P26">
        <v>-12.459917695473234</v>
      </c>
      <c r="Q26">
        <v>-15.393956521739154</v>
      </c>
      <c r="R26">
        <v>-14.768533339303133</v>
      </c>
      <c r="S26">
        <v>-34.540953326165472</v>
      </c>
      <c r="T26">
        <v>-67.107350096712295</v>
      </c>
      <c r="U26">
        <v>-41.298048075854666</v>
      </c>
    </row>
    <row r="27" spans="1:21">
      <c r="A27" t="s">
        <v>23</v>
      </c>
      <c r="B27">
        <v>-0.47720215159776919</v>
      </c>
      <c r="C27">
        <v>-0.60843917686800286</v>
      </c>
      <c r="D27">
        <v>-0.73330641199531477</v>
      </c>
      <c r="E27">
        <v>-0.76642261622527996</v>
      </c>
      <c r="F27">
        <v>-0.83142307425461204</v>
      </c>
      <c r="G27">
        <v>-0.90243288156178958</v>
      </c>
      <c r="H27">
        <v>-1.0343542615790497</v>
      </c>
      <c r="I27">
        <v>-1.0947031799772229</v>
      </c>
      <c r="J27">
        <v>-1.1539088480809081</v>
      </c>
      <c r="K27">
        <v>-1.2178274534415179</v>
      </c>
      <c r="L27">
        <v>-1.2850506352619666</v>
      </c>
      <c r="M27">
        <v>-1.4283633739549393</v>
      </c>
      <c r="N27">
        <v>-1.6029369367866118</v>
      </c>
      <c r="O27">
        <v>-1.6991255142401294</v>
      </c>
      <c r="P27">
        <v>-1.6353928755464686</v>
      </c>
      <c r="Q27">
        <v>-1.614243319986117</v>
      </c>
      <c r="R27">
        <v>-1.6452508187373533</v>
      </c>
      <c r="S27">
        <v>-1.6505134941160287</v>
      </c>
      <c r="T27">
        <v>-1.718862981515797</v>
      </c>
      <c r="U27">
        <v>-1.8449264192100436</v>
      </c>
    </row>
    <row r="28" spans="1:21">
      <c r="A28" t="s">
        <v>24</v>
      </c>
      <c r="B28">
        <v>-0.48214807309120561</v>
      </c>
      <c r="C28">
        <v>-0.6439082037206465</v>
      </c>
      <c r="D28">
        <v>-0.86947971825427894</v>
      </c>
      <c r="E28">
        <v>-1.0219170943446083</v>
      </c>
      <c r="F28">
        <v>-1.1737226248101915</v>
      </c>
      <c r="G28">
        <v>-1.4053297790355224</v>
      </c>
      <c r="H28">
        <v>-1.6205690006351432</v>
      </c>
      <c r="I28">
        <v>-1.8234152360887899</v>
      </c>
      <c r="J28">
        <v>-2.1430683071901293</v>
      </c>
      <c r="K28">
        <v>-2.5878892861955372</v>
      </c>
      <c r="L28">
        <v>-2.6542744437481276</v>
      </c>
      <c r="M28">
        <v>-2.8733811801607034</v>
      </c>
      <c r="N28">
        <v>-3.044147483417869</v>
      </c>
      <c r="O28">
        <v>-3.2720100062366226</v>
      </c>
      <c r="P28">
        <v>-3.4670053862723944</v>
      </c>
      <c r="Q28">
        <v>-3.0875981743623018</v>
      </c>
      <c r="R28">
        <v>-3.3166465358234531</v>
      </c>
      <c r="S28">
        <v>-3.4962574941397846</v>
      </c>
      <c r="T28">
        <v>-3.6470091635275583</v>
      </c>
      <c r="U28">
        <v>-4.1566586324040156</v>
      </c>
    </row>
    <row r="29" spans="1:21">
      <c r="A29" t="s">
        <v>25</v>
      </c>
      <c r="B29">
        <v>-0.51298217276393154</v>
      </c>
      <c r="C29">
        <v>-0.65497683876501878</v>
      </c>
      <c r="D29">
        <v>-0.85427251830229478</v>
      </c>
      <c r="E29">
        <v>-0.90771620000638531</v>
      </c>
      <c r="F29">
        <v>-1.0531315005104669</v>
      </c>
      <c r="G29">
        <v>-1.1737001772529259</v>
      </c>
      <c r="H29">
        <v>-1.2563367777814325</v>
      </c>
      <c r="I29">
        <v>-1.3446580613533248</v>
      </c>
      <c r="J29">
        <v>-1.4130760271989644</v>
      </c>
      <c r="K29">
        <v>-1.4226434446870202</v>
      </c>
      <c r="L29">
        <v>-1.5345144298334525</v>
      </c>
      <c r="M29">
        <v>-1.494495667097361</v>
      </c>
      <c r="N29">
        <v>-1.4372802465246051</v>
      </c>
      <c r="O29">
        <v>-1.3762787969532801</v>
      </c>
      <c r="P29">
        <v>-1.3414507039372643</v>
      </c>
      <c r="Q29">
        <v>-1.3762027101909222</v>
      </c>
      <c r="R29">
        <v>-1.4536670651298707</v>
      </c>
      <c r="S29">
        <v>-1.4191883513449672</v>
      </c>
      <c r="T29">
        <v>-1.5276368764076291</v>
      </c>
      <c r="U29">
        <v>-1.6600049491864775</v>
      </c>
    </row>
    <row r="30" spans="1:21">
      <c r="A30" t="s">
        <v>26</v>
      </c>
      <c r="B30">
        <v>-0.31483228195603158</v>
      </c>
      <c r="C30">
        <v>-0.33385879968472021</v>
      </c>
      <c r="D30">
        <v>-0.31901385645867775</v>
      </c>
      <c r="E30">
        <v>-0.29956856900238793</v>
      </c>
      <c r="F30">
        <v>-0.29870047427714402</v>
      </c>
      <c r="G30">
        <v>-0.29190416149131071</v>
      </c>
      <c r="H30">
        <v>-0.29555010594484976</v>
      </c>
      <c r="I30">
        <v>-0.29861664586487618</v>
      </c>
      <c r="J30">
        <v>-0.30008550624285374</v>
      </c>
      <c r="K30">
        <v>-0.3187989626715732</v>
      </c>
      <c r="L30">
        <v>-0.32297490830981002</v>
      </c>
      <c r="M30">
        <v>-0.29203612172407079</v>
      </c>
      <c r="N30">
        <v>-0.29612343024066551</v>
      </c>
      <c r="O30">
        <v>-0.27356774878466422</v>
      </c>
      <c r="P30">
        <v>-0.2618335554484309</v>
      </c>
      <c r="Q30">
        <v>-0.25675719244699036</v>
      </c>
      <c r="R30">
        <v>-0.26271747816975016</v>
      </c>
      <c r="S30">
        <v>-0.26622855392676487</v>
      </c>
      <c r="T30">
        <v>-0.27133290959515216</v>
      </c>
      <c r="U30">
        <v>-0.28323996514830607</v>
      </c>
    </row>
    <row r="31" spans="1:21">
      <c r="A31" t="s">
        <v>27</v>
      </c>
      <c r="B31">
        <v>-0.40503489888960115</v>
      </c>
      <c r="C31">
        <v>-0.45400613580533367</v>
      </c>
      <c r="D31">
        <v>-0.49388998224151298</v>
      </c>
      <c r="E31">
        <v>-0.51606746338891996</v>
      </c>
      <c r="F31">
        <v>-0.56370611856855002</v>
      </c>
      <c r="G31">
        <v>-0.63232975241709677</v>
      </c>
      <c r="H31">
        <v>-0.70556052204060504</v>
      </c>
      <c r="I31">
        <v>-0.78763902884880155</v>
      </c>
      <c r="J31">
        <v>-0.83297209509171111</v>
      </c>
      <c r="K31">
        <v>-0.8799415690477802</v>
      </c>
      <c r="L31">
        <v>-0.95580531180117878</v>
      </c>
      <c r="M31">
        <v>-1.0742091216668328</v>
      </c>
      <c r="N31">
        <v>-1.1113507655151884</v>
      </c>
      <c r="O31">
        <v>-1.1278489450498494</v>
      </c>
      <c r="P31">
        <v>-1.1682171933889152</v>
      </c>
      <c r="Q31">
        <v>-1.1316215369622722</v>
      </c>
      <c r="R31">
        <v>-1.205075078593137</v>
      </c>
      <c r="S31">
        <v>-1.1446512290673219</v>
      </c>
      <c r="T31">
        <v>-1.1668187829056382</v>
      </c>
      <c r="U31">
        <v>-1.1613653969178395</v>
      </c>
    </row>
    <row r="32" spans="1:21">
      <c r="A32" t="s">
        <v>28</v>
      </c>
      <c r="B32">
        <v>-0.26677933262414405</v>
      </c>
      <c r="C32">
        <v>-0.34160054605583612</v>
      </c>
      <c r="D32">
        <v>-0.43401664709181426</v>
      </c>
      <c r="E32">
        <v>-0.50769541918505678</v>
      </c>
      <c r="F32">
        <v>-0.61789746573365401</v>
      </c>
      <c r="G32">
        <v>-0.62927721912422552</v>
      </c>
      <c r="H32">
        <v>-0.69187660429225073</v>
      </c>
      <c r="I32">
        <v>-0.76095809278230353</v>
      </c>
      <c r="J32">
        <v>-0.76027808539713693</v>
      </c>
      <c r="K32">
        <v>-0.78870794664343424</v>
      </c>
      <c r="L32">
        <v>-0.83884733589967519</v>
      </c>
      <c r="M32">
        <v>-0.89255102082926796</v>
      </c>
      <c r="N32">
        <v>-0.90703858967421436</v>
      </c>
      <c r="O32">
        <v>-0.95633059338681536</v>
      </c>
      <c r="P32">
        <v>-0.967053947325479</v>
      </c>
      <c r="Q32">
        <v>-1.0919974146191196</v>
      </c>
      <c r="R32">
        <v>-1.2238308169583052</v>
      </c>
      <c r="S32">
        <v>-1.1813056800969752</v>
      </c>
      <c r="T32">
        <v>-1.1063544487290315</v>
      </c>
      <c r="U32">
        <v>-1.1922954819922904</v>
      </c>
    </row>
    <row r="33" spans="1:21">
      <c r="A33" t="s">
        <v>29</v>
      </c>
      <c r="B33">
        <v>-0.27240791112017476</v>
      </c>
      <c r="C33">
        <v>-0.35618044875000326</v>
      </c>
      <c r="D33">
        <v>-0.46370727254725008</v>
      </c>
      <c r="E33">
        <v>-0.54263646677864363</v>
      </c>
      <c r="F33">
        <v>-0.56500908804116423</v>
      </c>
      <c r="G33">
        <v>-0.62222315752887147</v>
      </c>
      <c r="H33">
        <v>-0.66588907802164377</v>
      </c>
      <c r="I33">
        <v>-0.73325636991222665</v>
      </c>
      <c r="J33">
        <v>-0.76678052458760293</v>
      </c>
      <c r="K33">
        <v>-0.8165769158519024</v>
      </c>
      <c r="L33">
        <v>-0.87172268872175396</v>
      </c>
      <c r="M33">
        <v>-0.9155551590036427</v>
      </c>
      <c r="N33">
        <v>-0.95898172997948028</v>
      </c>
      <c r="O33">
        <v>-0.9901194511814736</v>
      </c>
      <c r="P33">
        <v>-1.0194820849541857</v>
      </c>
      <c r="Q33">
        <v>-0.98383773562457977</v>
      </c>
      <c r="R33">
        <v>-1.0184304173438266</v>
      </c>
      <c r="S33">
        <v>-1.0632674768175281</v>
      </c>
      <c r="T33">
        <v>-1.1069986091767046</v>
      </c>
      <c r="U33">
        <v>-1.1877661832629129</v>
      </c>
    </row>
    <row r="34" spans="1:21">
      <c r="A34" t="s">
        <v>30</v>
      </c>
      <c r="B34">
        <v>-0.27254411390519551</v>
      </c>
      <c r="C34">
        <v>-0.36107510537906728</v>
      </c>
      <c r="D34">
        <v>-0.45285203184921863</v>
      </c>
      <c r="E34">
        <v>-0.53497073243554927</v>
      </c>
      <c r="F34">
        <v>-0.57417123832153771</v>
      </c>
      <c r="G34">
        <v>-0.61693629803101024</v>
      </c>
      <c r="H34">
        <v>-0.66440044058860637</v>
      </c>
      <c r="I34">
        <v>-0.67897556130352466</v>
      </c>
      <c r="J34">
        <v>-0.71397023561874773</v>
      </c>
      <c r="K34">
        <v>-0.80199953869814922</v>
      </c>
      <c r="L34">
        <v>-0.85484074406164501</v>
      </c>
      <c r="M34">
        <v>-0.84243945537150366</v>
      </c>
      <c r="N34">
        <v>-0.90594462787284891</v>
      </c>
      <c r="O34">
        <v>-0.95286220869402694</v>
      </c>
      <c r="P34">
        <v>-1.022542613026491</v>
      </c>
      <c r="Q34">
        <v>-1.0494865485936304</v>
      </c>
      <c r="R34">
        <v>-1.0897896232700532</v>
      </c>
      <c r="S34">
        <v>-1.0268962964754254</v>
      </c>
      <c r="T34">
        <v>-1.034397446028122</v>
      </c>
      <c r="U34">
        <v>-1.0590269788808124</v>
      </c>
    </row>
    <row r="35" spans="1:21">
      <c r="A35" t="s">
        <v>31</v>
      </c>
      <c r="B35">
        <v>-0.35617366370914239</v>
      </c>
      <c r="C35">
        <v>-0.41281331414682709</v>
      </c>
      <c r="D35">
        <v>-0.50217669346223226</v>
      </c>
      <c r="E35">
        <v>-0.57265829442016047</v>
      </c>
      <c r="F35">
        <v>-0.63071454421166906</v>
      </c>
      <c r="G35">
        <v>-0.66933905833732243</v>
      </c>
      <c r="H35">
        <v>-0.76468119980783333</v>
      </c>
      <c r="I35">
        <v>-0.8060690358331235</v>
      </c>
      <c r="J35">
        <v>-0.86963678749697981</v>
      </c>
      <c r="K35">
        <v>-0.89204726190713513</v>
      </c>
      <c r="L35">
        <v>-0.90113576518717398</v>
      </c>
      <c r="M35">
        <v>-0.87782166494551472</v>
      </c>
      <c r="N35">
        <v>-0.87253082305642771</v>
      </c>
      <c r="O35">
        <v>-0.8818711970067542</v>
      </c>
      <c r="P35">
        <v>-0.9062689358733832</v>
      </c>
      <c r="Q35">
        <v>-0.9147872789286734</v>
      </c>
      <c r="R35">
        <v>-0.91595439850819471</v>
      </c>
      <c r="S35">
        <v>-0.99549082866483751</v>
      </c>
      <c r="T35">
        <v>-1.0306071741230669</v>
      </c>
      <c r="U35">
        <v>-1.0968990805431578</v>
      </c>
    </row>
    <row r="36" spans="1:21">
      <c r="A36" t="s">
        <v>32</v>
      </c>
      <c r="B36">
        <v>-0.35081141227265966</v>
      </c>
      <c r="C36">
        <v>-0.41898457831906827</v>
      </c>
      <c r="D36">
        <v>-0.52309197063722812</v>
      </c>
      <c r="E36">
        <v>-0.6018021953688607</v>
      </c>
      <c r="F36">
        <v>-0.68084854064237788</v>
      </c>
      <c r="G36">
        <v>-0.75666775905576467</v>
      </c>
      <c r="H36">
        <v>-0.83103505486747398</v>
      </c>
      <c r="I36">
        <v>-0.89625308120415004</v>
      </c>
      <c r="J36">
        <v>-0.89370406982266426</v>
      </c>
      <c r="K36">
        <v>-0.96693183832439145</v>
      </c>
      <c r="L36">
        <v>-0.99099079521567168</v>
      </c>
      <c r="M36">
        <v>-0.99838000841730701</v>
      </c>
      <c r="N36">
        <v>-1.0668336698570562</v>
      </c>
      <c r="O36">
        <v>-1.0419253318645703</v>
      </c>
      <c r="P36">
        <v>-1.0068999262639617</v>
      </c>
      <c r="Q36">
        <v>-1.0179738170938351</v>
      </c>
      <c r="R36">
        <v>-0.9772419561218002</v>
      </c>
      <c r="S36">
        <v>-0.99377235553913568</v>
      </c>
      <c r="T36">
        <v>-1.0047348648474139</v>
      </c>
      <c r="U36">
        <v>-1.0018184560150611</v>
      </c>
    </row>
    <row r="37" spans="1:21">
      <c r="A37" t="s">
        <v>33</v>
      </c>
      <c r="B37">
        <v>-0.44440666519147681</v>
      </c>
      <c r="C37">
        <v>-0.56663625197218925</v>
      </c>
      <c r="D37">
        <v>-0.80266418395816397</v>
      </c>
      <c r="E37">
        <v>-1.0791068094573113</v>
      </c>
      <c r="F37">
        <v>-1.382880967511726</v>
      </c>
      <c r="G37">
        <v>-1.7417827669137085</v>
      </c>
      <c r="H37">
        <v>-2.0715477385935435</v>
      </c>
      <c r="I37">
        <v>-2.3103722847001245</v>
      </c>
      <c r="J37">
        <v>-2.4188131610538588</v>
      </c>
      <c r="K37">
        <v>-2.6124689548375812</v>
      </c>
      <c r="L37">
        <v>-2.7886890850244854</v>
      </c>
      <c r="M37">
        <v>-2.7587323625157101</v>
      </c>
      <c r="N37">
        <v>-2.7938762753798509</v>
      </c>
      <c r="O37">
        <v>-2.758961085942234</v>
      </c>
      <c r="P37">
        <v>-3.0148559023465888</v>
      </c>
      <c r="Q37">
        <v>-2.9868055387939467</v>
      </c>
      <c r="R37">
        <v>-2.7586905563924198</v>
      </c>
      <c r="S37">
        <v>-2.8475903592144549</v>
      </c>
      <c r="T37">
        <v>-3.6880874958014278</v>
      </c>
      <c r="U37">
        <v>-3.9823883375721008</v>
      </c>
    </row>
  </sheetData>
  <phoneticPr fontId="0" type="noConversion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20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"Chg_R_posneg_A _1.4A"</f>
        <v>Chg_R_posneg_A _1.4A</v>
      </c>
      <c r="C1" s="1" t="str">
        <f>"Chg_R_posneg_A _2A"</f>
        <v>Chg_R_posneg_A _2A</v>
      </c>
      <c r="D1" s="1" t="str">
        <f>"Chg_R_posneg_A _3A"</f>
        <v>Chg_R_posneg_A _3A</v>
      </c>
      <c r="E1" s="1" t="str">
        <f>"Chg_R_posneg_A _4A"</f>
        <v>Chg_R_posneg_A _4A</v>
      </c>
      <c r="F1" s="1" t="str">
        <f>"Chg_R_posneg_A _5A"</f>
        <v>Chg_R_posneg_A _5A</v>
      </c>
      <c r="G1" s="1" t="str">
        <f>"Chg_R_posneg_A _6A"</f>
        <v>Chg_R_posneg_A _6A</v>
      </c>
      <c r="H1" s="1" t="str">
        <f>"Chg_R_posneg_A _7A"</f>
        <v>Chg_R_posneg_A _7A</v>
      </c>
      <c r="I1" s="1" t="str">
        <f>"Chg_R_posneg_A _8A"</f>
        <v>Chg_R_posneg_A _8A</v>
      </c>
      <c r="J1" s="1" t="str">
        <f>"Chg_R_posneg_A _9A"</f>
        <v>Chg_R_posneg_A _9A</v>
      </c>
      <c r="K1" s="1" t="str">
        <f>"Chg_R_posneg_A _10A"</f>
        <v>Chg_R_posneg_A _10A</v>
      </c>
      <c r="L1" s="1" t="str">
        <f>"Chg_R_posneg_A _11A"</f>
        <v>Chg_R_posneg_A _11A</v>
      </c>
      <c r="M1" s="1" t="str">
        <f>"Chg_R_posneg_A _12A"</f>
        <v>Chg_R_posneg_A _12A</v>
      </c>
      <c r="N1" s="1" t="str">
        <f>"Chg_R_posneg_A _13A"</f>
        <v>Chg_R_posneg_A _13A</v>
      </c>
      <c r="O1" s="1" t="str">
        <f>"Chg_R_posneg_A _14A"</f>
        <v>Chg_R_posneg_A _14A</v>
      </c>
      <c r="P1" s="1" t="str">
        <f>"Chg_R_posneg_A _15A"</f>
        <v>Chg_R_posneg_A _15A</v>
      </c>
      <c r="Q1" s="1" t="str">
        <f>"Chg_R_posneg_A _16A"</f>
        <v>Chg_R_posneg_A _16A</v>
      </c>
      <c r="R1" s="1" t="str">
        <f>"Chg_R_posneg_A _17A"</f>
        <v>Chg_R_posneg_A _17A</v>
      </c>
      <c r="S1" s="1" t="str">
        <f>"Chg_R_posneg_A _18A"</f>
        <v>Chg_R_posneg_A _18A</v>
      </c>
      <c r="T1" s="1" t="str">
        <f>"Chg_R_posneg_A _19A"</f>
        <v>Chg_R_posneg_A _19A</v>
      </c>
      <c r="U1" s="1" t="str">
        <f>"Chg_R_posneg_A _20A"</f>
        <v>Chg_R_posneg_A 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0.22818713242479702</v>
      </c>
      <c r="C3">
        <v>0.24750487436837609</v>
      </c>
      <c r="D3">
        <v>0.28444075341598768</v>
      </c>
      <c r="E3">
        <v>0.32652172939951468</v>
      </c>
      <c r="F3">
        <v>0.34668577752404173</v>
      </c>
      <c r="G3">
        <v>0.37586193053462136</v>
      </c>
      <c r="H3">
        <v>0.40337080738748943</v>
      </c>
      <c r="I3">
        <v>0.42396070504435074</v>
      </c>
      <c r="J3">
        <v>0.44008314965080864</v>
      </c>
      <c r="K3">
        <v>0.46278116384433621</v>
      </c>
      <c r="L3">
        <v>0.45512992591613549</v>
      </c>
      <c r="M3">
        <v>0.45994469191133747</v>
      </c>
      <c r="N3">
        <v>0.4772168230608741</v>
      </c>
      <c r="O3">
        <v>0.50810618893363602</v>
      </c>
      <c r="P3">
        <v>0.50945318939094275</v>
      </c>
      <c r="Q3">
        <v>0.50405070697675503</v>
      </c>
      <c r="R3">
        <v>0.51064629261647276</v>
      </c>
      <c r="S3">
        <v>0.52551473412356797</v>
      </c>
      <c r="T3">
        <v>0.52382467447169134</v>
      </c>
      <c r="U3">
        <v>0.57077658874634496</v>
      </c>
    </row>
    <row r="4" spans="1:24">
      <c r="A4" t="s">
        <v>1</v>
      </c>
      <c r="B4">
        <v>0.26064841838314379</v>
      </c>
      <c r="C4">
        <v>0.26922079268831006</v>
      </c>
      <c r="D4">
        <v>0.29437944492560481</v>
      </c>
      <c r="E4">
        <v>0.32442776895163283</v>
      </c>
      <c r="F4">
        <v>0.33065566532170354</v>
      </c>
      <c r="G4">
        <v>0.34293898314210752</v>
      </c>
      <c r="H4">
        <v>0.34605918718697826</v>
      </c>
      <c r="I4">
        <v>0.35092449949230964</v>
      </c>
      <c r="J4">
        <v>0.33918907995940967</v>
      </c>
      <c r="K4">
        <v>0.33645758779561602</v>
      </c>
      <c r="L4">
        <v>0.3314225516585339</v>
      </c>
      <c r="M4">
        <v>0.33288578333119906</v>
      </c>
      <c r="N4">
        <v>0.32278923528396847</v>
      </c>
      <c r="O4">
        <v>0.32173248091817019</v>
      </c>
      <c r="P4">
        <v>0.32214855686228278</v>
      </c>
      <c r="Q4">
        <v>0.31797003355105696</v>
      </c>
      <c r="R4">
        <v>0.31142102015210349</v>
      </c>
      <c r="S4">
        <v>0.31015750142438808</v>
      </c>
      <c r="T4">
        <v>0.32926565686306586</v>
      </c>
      <c r="U4">
        <v>0.32859809707812981</v>
      </c>
    </row>
    <row r="5" spans="1:24">
      <c r="A5" t="s">
        <v>2</v>
      </c>
      <c r="B5">
        <v>0.23396307742441846</v>
      </c>
      <c r="C5">
        <v>0.24961005708359163</v>
      </c>
      <c r="D5">
        <v>0.27393872822765997</v>
      </c>
      <c r="E5">
        <v>0.2978608433377542</v>
      </c>
      <c r="F5">
        <v>0.30846558161581944</v>
      </c>
      <c r="G5">
        <v>0.32743861140598401</v>
      </c>
      <c r="H5">
        <v>0.34233804800959478</v>
      </c>
      <c r="I5">
        <v>0.35977039376451753</v>
      </c>
      <c r="J5">
        <v>0.36540301706318817</v>
      </c>
      <c r="K5">
        <v>0.37790798751244908</v>
      </c>
      <c r="L5">
        <v>0.38367414900006197</v>
      </c>
      <c r="M5">
        <v>0.38566971837635339</v>
      </c>
      <c r="N5">
        <v>0.38521430731130502</v>
      </c>
      <c r="O5">
        <v>0.40220286525838234</v>
      </c>
      <c r="P5">
        <v>0.40184963808064755</v>
      </c>
      <c r="Q5">
        <v>0.41025483953884273</v>
      </c>
      <c r="R5">
        <v>0.42584572170308777</v>
      </c>
      <c r="S5">
        <v>0.42806935290403852</v>
      </c>
      <c r="T5">
        <v>0.43342478212107394</v>
      </c>
      <c r="U5">
        <v>0.45246162258695577</v>
      </c>
    </row>
    <row r="6" spans="1:24">
      <c r="A6" t="s">
        <v>3</v>
      </c>
      <c r="B6">
        <v>0.40841191309244257</v>
      </c>
      <c r="C6">
        <v>0.50500055861213311</v>
      </c>
      <c r="D6">
        <v>0.58058721267711433</v>
      </c>
      <c r="E6">
        <v>0.63512129077727308</v>
      </c>
      <c r="F6">
        <v>0.67955171185974761</v>
      </c>
      <c r="G6">
        <v>0.73896750549097767</v>
      </c>
      <c r="H6">
        <v>0.80664593303063581</v>
      </c>
      <c r="I6">
        <v>0.83075187204862966</v>
      </c>
      <c r="J6">
        <v>0.86617099116481822</v>
      </c>
      <c r="K6">
        <v>0.89319208350978319</v>
      </c>
      <c r="L6">
        <v>0.90534422614636612</v>
      </c>
      <c r="M6">
        <v>0.9320963864266183</v>
      </c>
      <c r="N6">
        <v>0.90846726380891452</v>
      </c>
      <c r="O6">
        <v>0.94262608859833374</v>
      </c>
      <c r="P6">
        <v>0.96795871324659366</v>
      </c>
      <c r="Q6">
        <v>0.99766056985035101</v>
      </c>
      <c r="R6">
        <v>0.99720988959361057</v>
      </c>
      <c r="S6">
        <v>1.0052574433002521</v>
      </c>
      <c r="T6">
        <v>1.0531889697174759</v>
      </c>
      <c r="U6">
        <v>1.0483904954149035</v>
      </c>
    </row>
    <row r="7" spans="1:24">
      <c r="A7" t="s">
        <v>4</v>
      </c>
      <c r="B7">
        <v>0.38316682909541949</v>
      </c>
      <c r="C7">
        <v>0.43446636572745839</v>
      </c>
      <c r="D7">
        <v>0.48048023902647413</v>
      </c>
      <c r="E7">
        <v>0.52930275237996194</v>
      </c>
      <c r="F7">
        <v>0.55768301692531907</v>
      </c>
      <c r="G7">
        <v>0.58759754334732073</v>
      </c>
      <c r="H7">
        <v>0.59289528863554586</v>
      </c>
      <c r="I7">
        <v>0.6105941971795884</v>
      </c>
      <c r="J7">
        <v>0.60393495214037507</v>
      </c>
      <c r="K7">
        <v>0.58980521674317288</v>
      </c>
      <c r="L7">
        <v>0.63616173206063242</v>
      </c>
      <c r="M7">
        <v>0.61242602354446996</v>
      </c>
      <c r="N7">
        <v>0.62197639661759119</v>
      </c>
      <c r="O7">
        <v>0.63369711186508004</v>
      </c>
      <c r="P7">
        <v>0.61728087029239131</v>
      </c>
      <c r="Q7">
        <v>0.58535060940085293</v>
      </c>
      <c r="R7">
        <v>0.56502997248427667</v>
      </c>
      <c r="S7">
        <v>0.60325559347743651</v>
      </c>
      <c r="T7">
        <v>0.62868252702743976</v>
      </c>
      <c r="U7">
        <v>0.63618125941904791</v>
      </c>
    </row>
    <row r="8" spans="1:24">
      <c r="A8" t="s">
        <v>5</v>
      </c>
      <c r="B8">
        <v>0.40267542747012325</v>
      </c>
      <c r="C8">
        <v>0.47326811242501887</v>
      </c>
      <c r="D8">
        <v>0.5639022010002962</v>
      </c>
      <c r="E8">
        <v>0.65990575943718177</v>
      </c>
      <c r="F8">
        <v>0.71798889297210766</v>
      </c>
      <c r="G8">
        <v>0.76120839524954031</v>
      </c>
      <c r="H8">
        <v>0.82316017167516575</v>
      </c>
      <c r="I8">
        <v>0.86336355087920613</v>
      </c>
      <c r="J8">
        <v>0.87537699750903031</v>
      </c>
      <c r="K8">
        <v>0.91311572288465337</v>
      </c>
      <c r="L8">
        <v>0.94012369686661823</v>
      </c>
      <c r="M8">
        <v>0.95774794475648339</v>
      </c>
      <c r="N8">
        <v>1.0352428898901653</v>
      </c>
      <c r="O8">
        <v>1.0676019934456409</v>
      </c>
      <c r="P8">
        <v>1.0985370649994508</v>
      </c>
      <c r="Q8">
        <v>1.1045541508168961</v>
      </c>
      <c r="R8">
        <v>1.1499634915204984</v>
      </c>
      <c r="S8">
        <v>1.1873534026809112</v>
      </c>
      <c r="T8">
        <v>1.2151912903673472</v>
      </c>
      <c r="U8">
        <v>1.2345228539576365</v>
      </c>
    </row>
    <row r="9" spans="1:24">
      <c r="A9" t="s">
        <v>6</v>
      </c>
      <c r="B9">
        <v>0.42244823675869825</v>
      </c>
      <c r="C9">
        <v>0.4940814789029282</v>
      </c>
      <c r="D9">
        <v>0.58533632482502118</v>
      </c>
      <c r="E9">
        <v>0.66678706700687329</v>
      </c>
      <c r="F9">
        <v>0.72744419282192629</v>
      </c>
      <c r="G9">
        <v>0.78436337312216531</v>
      </c>
      <c r="H9">
        <v>0.79610310414082053</v>
      </c>
      <c r="I9">
        <v>0.80184791890632023</v>
      </c>
      <c r="J9">
        <v>0.81245244596068511</v>
      </c>
      <c r="K9">
        <v>0.78908564757674682</v>
      </c>
      <c r="L9">
        <v>0.82502704965663776</v>
      </c>
      <c r="M9">
        <v>0.86521802186897701</v>
      </c>
      <c r="N9">
        <v>0.85133039503754482</v>
      </c>
      <c r="O9">
        <v>0.88709416143815945</v>
      </c>
      <c r="P9">
        <v>0.90647307806870792</v>
      </c>
      <c r="Q9">
        <v>0.93955046539441511</v>
      </c>
      <c r="R9">
        <v>0.95481450049552097</v>
      </c>
      <c r="S9">
        <v>0.95214982836912543</v>
      </c>
      <c r="T9">
        <v>0.9782847507285557</v>
      </c>
      <c r="U9">
        <v>0.96870615693106743</v>
      </c>
    </row>
    <row r="10" spans="1:24">
      <c r="A10" t="s">
        <v>7</v>
      </c>
      <c r="B10">
        <v>0.31379486440193421</v>
      </c>
      <c r="C10">
        <v>0.36746813746349771</v>
      </c>
      <c r="D10">
        <v>0.41923002121528363</v>
      </c>
      <c r="E10">
        <v>0.45714288484528809</v>
      </c>
      <c r="F10">
        <v>0.49374307637353443</v>
      </c>
      <c r="G10">
        <v>0.52892947054838491</v>
      </c>
      <c r="H10">
        <v>0.57463555973432845</v>
      </c>
      <c r="I10">
        <v>0.5997380358967922</v>
      </c>
      <c r="J10">
        <v>0.62337954404050444</v>
      </c>
      <c r="K10">
        <v>0.63239006824698207</v>
      </c>
      <c r="L10">
        <v>0.62511683621268221</v>
      </c>
      <c r="M10">
        <v>0.64327328837285025</v>
      </c>
      <c r="N10">
        <v>0.63762048622252143</v>
      </c>
      <c r="O10">
        <v>0.65808144024349358</v>
      </c>
      <c r="P10">
        <v>0.67113421727715483</v>
      </c>
      <c r="Q10">
        <v>0.69131622696468753</v>
      </c>
      <c r="R10">
        <v>0.71024440811218092</v>
      </c>
      <c r="S10">
        <v>0.73754801371617373</v>
      </c>
      <c r="T10">
        <v>0.73472901006422697</v>
      </c>
      <c r="U10">
        <v>0.7253782276365105</v>
      </c>
    </row>
    <row r="11" spans="1:24">
      <c r="A11" t="s">
        <v>8</v>
      </c>
      <c r="B11">
        <v>0.29745309458229618</v>
      </c>
      <c r="C11">
        <v>0.34912050495669394</v>
      </c>
      <c r="D11">
        <v>0.39571268782299762</v>
      </c>
      <c r="E11">
        <v>0.44799698122949722</v>
      </c>
      <c r="F11">
        <v>0.49603222856055279</v>
      </c>
      <c r="G11">
        <v>0.51864558234804392</v>
      </c>
      <c r="H11">
        <v>0.54922217517597138</v>
      </c>
      <c r="I11">
        <v>0.58896454608501503</v>
      </c>
      <c r="J11">
        <v>0.60039199120226172</v>
      </c>
      <c r="K11">
        <v>0.64306622715996731</v>
      </c>
      <c r="L11">
        <v>0.65695063163461542</v>
      </c>
      <c r="M11">
        <v>0.69213310846099685</v>
      </c>
      <c r="N11">
        <v>0.70972919671948376</v>
      </c>
      <c r="O11">
        <v>0.72037514118652379</v>
      </c>
      <c r="P11">
        <v>0.71409109962962469</v>
      </c>
      <c r="Q11">
        <v>0.75478412334225342</v>
      </c>
      <c r="R11">
        <v>0.77750535152576428</v>
      </c>
      <c r="S11">
        <v>0.79812935351030911</v>
      </c>
      <c r="T11">
        <v>0.82697120606076668</v>
      </c>
      <c r="U11">
        <v>0.80401149967919983</v>
      </c>
    </row>
    <row r="12" spans="1:24">
      <c r="A12" t="s">
        <v>9</v>
      </c>
      <c r="B12">
        <v>0.30406424446622493</v>
      </c>
      <c r="C12">
        <v>0.33091646994687646</v>
      </c>
      <c r="D12">
        <v>0.35369644680161727</v>
      </c>
      <c r="E12">
        <v>0.35885936500009213</v>
      </c>
      <c r="F12">
        <v>0.35433361009283226</v>
      </c>
      <c r="G12">
        <v>0.35273901976929561</v>
      </c>
      <c r="H12">
        <v>0.35466014954668801</v>
      </c>
      <c r="I12">
        <v>0.34803517878750678</v>
      </c>
      <c r="J12">
        <v>0.33163562754335096</v>
      </c>
      <c r="K12">
        <v>0.34172365453622267</v>
      </c>
      <c r="L12">
        <v>0.33948717218914021</v>
      </c>
      <c r="M12">
        <v>0.34860969397674435</v>
      </c>
      <c r="N12">
        <v>0.34658556421298015</v>
      </c>
      <c r="O12">
        <v>0.33817497294195864</v>
      </c>
      <c r="P12">
        <v>0.33468649986461485</v>
      </c>
      <c r="Q12">
        <v>0.32622839866109898</v>
      </c>
      <c r="R12">
        <v>0.31580128904043298</v>
      </c>
      <c r="S12">
        <v>0.33361716089433457</v>
      </c>
      <c r="T12">
        <v>0.32217048384877578</v>
      </c>
      <c r="U12">
        <v>0.30765771682197873</v>
      </c>
    </row>
    <row r="13" spans="1:24">
      <c r="A13" t="s">
        <v>10</v>
      </c>
      <c r="B13">
        <v>0.27588639709208135</v>
      </c>
      <c r="C13">
        <v>0.29508179672573764</v>
      </c>
      <c r="D13">
        <v>0.29925981987218131</v>
      </c>
      <c r="E13">
        <v>0.32340034859551425</v>
      </c>
      <c r="F13">
        <v>0.32667520977904102</v>
      </c>
      <c r="G13">
        <v>0.33383028807750703</v>
      </c>
      <c r="H13">
        <v>0.33925635982051128</v>
      </c>
      <c r="I13">
        <v>0.34514966280477261</v>
      </c>
      <c r="J13">
        <v>0.34216749134564106</v>
      </c>
      <c r="K13">
        <v>0.33819122757171771</v>
      </c>
      <c r="L13">
        <v>0.33096139145064374</v>
      </c>
      <c r="M13">
        <v>0.33830551163450989</v>
      </c>
      <c r="N13">
        <v>0.33877650150593519</v>
      </c>
      <c r="O13">
        <v>0.34541461944486929</v>
      </c>
      <c r="P13">
        <v>0.34651475702028761</v>
      </c>
      <c r="Q13">
        <v>0.34721641708672135</v>
      </c>
      <c r="R13">
        <v>0.35028382729011376</v>
      </c>
      <c r="S13">
        <v>0.34282851146471183</v>
      </c>
      <c r="T13">
        <v>0.3401203629074292</v>
      </c>
      <c r="U13">
        <v>0.35083523724822901</v>
      </c>
    </row>
    <row r="14" spans="1:24">
      <c r="A14" t="s">
        <v>11</v>
      </c>
      <c r="B14">
        <v>0.30303160346994457</v>
      </c>
      <c r="C14">
        <v>0.35646194583815444</v>
      </c>
      <c r="D14">
        <v>0.39946837448946532</v>
      </c>
      <c r="E14">
        <v>0.43439310333821474</v>
      </c>
      <c r="F14">
        <v>0.4359374487872828</v>
      </c>
      <c r="G14">
        <v>0.46267238398862287</v>
      </c>
      <c r="H14">
        <v>0.46432588642590328</v>
      </c>
      <c r="I14">
        <v>0.4740140972176044</v>
      </c>
      <c r="J14">
        <v>0.46857345980738208</v>
      </c>
      <c r="K14">
        <v>0.4634361613101986</v>
      </c>
      <c r="L14">
        <v>0.46471311252631586</v>
      </c>
      <c r="M14">
        <v>0.4819420489520222</v>
      </c>
      <c r="N14">
        <v>0.49919643775841016</v>
      </c>
      <c r="O14">
        <v>0.50517558855044575</v>
      </c>
      <c r="P14">
        <v>0.519310935566765</v>
      </c>
      <c r="Q14">
        <v>0.4948075881748949</v>
      </c>
      <c r="R14">
        <v>0.49001339997873022</v>
      </c>
      <c r="S14">
        <v>0.47359093667996272</v>
      </c>
      <c r="T14">
        <v>0.46907325346519863</v>
      </c>
      <c r="U14">
        <v>0.490294405601715</v>
      </c>
    </row>
    <row r="15" spans="1:24">
      <c r="A15" t="s">
        <v>12</v>
      </c>
      <c r="B15">
        <v>0.36789320118482272</v>
      </c>
      <c r="C15">
        <v>0.40434508803234803</v>
      </c>
      <c r="D15">
        <v>0.45122802855085492</v>
      </c>
      <c r="E15">
        <v>0.49100212576598157</v>
      </c>
      <c r="F15">
        <v>0.51126092045644778</v>
      </c>
      <c r="G15">
        <v>0.53312000579619179</v>
      </c>
      <c r="H15">
        <v>0.54635031096171971</v>
      </c>
      <c r="I15">
        <v>0.55735889156705676</v>
      </c>
      <c r="J15">
        <v>0.5720716360926682</v>
      </c>
      <c r="K15">
        <v>0.56672972194904092</v>
      </c>
      <c r="L15">
        <v>0.57950433291572134</v>
      </c>
      <c r="M15">
        <v>0.59320814368147901</v>
      </c>
      <c r="N15">
        <v>0.59871577864657455</v>
      </c>
      <c r="O15">
        <v>0.57529450441363672</v>
      </c>
      <c r="P15">
        <v>0.59506036320722122</v>
      </c>
      <c r="Q15">
        <v>0.58374626996178525</v>
      </c>
      <c r="R15">
        <v>0.57554504700197495</v>
      </c>
      <c r="S15">
        <v>0.58428011638690502</v>
      </c>
      <c r="T15">
        <v>0.59957351719381902</v>
      </c>
      <c r="U15">
        <v>0.63296161449024568</v>
      </c>
    </row>
    <row r="16" spans="1:24">
      <c r="A16" t="s">
        <v>13</v>
      </c>
      <c r="B16">
        <v>0.18262283408351296</v>
      </c>
      <c r="C16">
        <v>0.20802896416436131</v>
      </c>
      <c r="D16">
        <v>0.25608832213942051</v>
      </c>
      <c r="E16">
        <v>0.29004865392512952</v>
      </c>
      <c r="F16">
        <v>0.30291305544463132</v>
      </c>
      <c r="G16">
        <v>0.31984062456458812</v>
      </c>
      <c r="H16">
        <v>0.3404187799841486</v>
      </c>
      <c r="I16">
        <v>0.34548308665484356</v>
      </c>
      <c r="J16">
        <v>0.3525959576279008</v>
      </c>
      <c r="K16">
        <v>0.35807462071380969</v>
      </c>
      <c r="L16">
        <v>0.36648766089773832</v>
      </c>
      <c r="M16">
        <v>0.38293526096819963</v>
      </c>
      <c r="N16">
        <v>0.38014843289998362</v>
      </c>
      <c r="O16">
        <v>0.37666847658370994</v>
      </c>
      <c r="P16">
        <v>0.37050943564142441</v>
      </c>
      <c r="Q16">
        <v>0.38274323118119608</v>
      </c>
      <c r="R16">
        <v>0.38814768882332085</v>
      </c>
      <c r="S16">
        <v>0.38304167971942288</v>
      </c>
      <c r="T16">
        <v>0.38978715151662896</v>
      </c>
      <c r="U16">
        <v>0.38290499892775309</v>
      </c>
    </row>
    <row r="17" spans="1:21">
      <c r="A17" t="s">
        <v>14</v>
      </c>
      <c r="B17">
        <v>0.17800087033881798</v>
      </c>
      <c r="C17">
        <v>0.20658733317082253</v>
      </c>
      <c r="D17">
        <v>0.25126536778495523</v>
      </c>
      <c r="E17">
        <v>0.27457259465301459</v>
      </c>
      <c r="F17">
        <v>0.30073260065319968</v>
      </c>
      <c r="G17">
        <v>0.30521379619127542</v>
      </c>
      <c r="H17">
        <v>0.30746446522928805</v>
      </c>
      <c r="I17">
        <v>0.32068497501750515</v>
      </c>
      <c r="J17">
        <v>0.32308010429257489</v>
      </c>
      <c r="K17">
        <v>0.32277139356962459</v>
      </c>
      <c r="L17">
        <v>0.31876364153301795</v>
      </c>
      <c r="M17">
        <v>0.31684445395947963</v>
      </c>
      <c r="N17">
        <v>0.32221473211731716</v>
      </c>
      <c r="O17">
        <v>0.33815235068978855</v>
      </c>
      <c r="P17">
        <v>0.33331286131238802</v>
      </c>
      <c r="Q17">
        <v>0.33475227910813232</v>
      </c>
      <c r="R17">
        <v>0.34176457474699279</v>
      </c>
      <c r="S17">
        <v>0.3385162803758</v>
      </c>
      <c r="T17">
        <v>0.3387557698008995</v>
      </c>
      <c r="U17">
        <v>0.34222417484290524</v>
      </c>
    </row>
    <row r="18" spans="1:21">
      <c r="A18" t="s">
        <v>15</v>
      </c>
      <c r="B18">
        <v>0.21524663419790843</v>
      </c>
      <c r="C18">
        <v>0.26118048122594267</v>
      </c>
      <c r="D18">
        <v>0.32346139184117845</v>
      </c>
      <c r="E18">
        <v>0.36601931442581059</v>
      </c>
      <c r="F18">
        <v>0.4019463406439987</v>
      </c>
      <c r="G18">
        <v>0.41685239476511055</v>
      </c>
      <c r="H18">
        <v>0.43539143626231619</v>
      </c>
      <c r="I18">
        <v>0.434186208024399</v>
      </c>
      <c r="J18">
        <v>0.45320783661288527</v>
      </c>
      <c r="K18">
        <v>0.46195079773270092</v>
      </c>
      <c r="L18">
        <v>0.46145756434321417</v>
      </c>
      <c r="M18">
        <v>0.45950520446738369</v>
      </c>
      <c r="N18">
        <v>0.48244353509881932</v>
      </c>
      <c r="O18">
        <v>0.47807116316200843</v>
      </c>
      <c r="P18">
        <v>0.46640691824746111</v>
      </c>
      <c r="Q18">
        <v>0.48174933934064029</v>
      </c>
      <c r="R18">
        <v>0.48301843068699551</v>
      </c>
      <c r="S18">
        <v>0.48471675925197472</v>
      </c>
      <c r="T18">
        <v>0.49018314154941145</v>
      </c>
      <c r="U18">
        <v>0.49078114262218248</v>
      </c>
    </row>
    <row r="19" spans="1:21">
      <c r="A19" t="s">
        <v>16</v>
      </c>
      <c r="B19">
        <v>0.21503732937690564</v>
      </c>
      <c r="C19">
        <v>0.23056311029020629</v>
      </c>
      <c r="D19">
        <v>0.26127511840351414</v>
      </c>
      <c r="E19">
        <v>0.28072425657684935</v>
      </c>
      <c r="F19">
        <v>0.2963373734019592</v>
      </c>
      <c r="G19">
        <v>0.30893790059138243</v>
      </c>
      <c r="H19">
        <v>0.31902108974264309</v>
      </c>
      <c r="I19">
        <v>0.32554169565421176</v>
      </c>
      <c r="J19">
        <v>0.32874928899393729</v>
      </c>
      <c r="K19">
        <v>0.33066408813886755</v>
      </c>
      <c r="L19">
        <v>0.33067896348807602</v>
      </c>
      <c r="M19">
        <v>0.33451824718720485</v>
      </c>
      <c r="N19">
        <v>0.33258044667681669</v>
      </c>
      <c r="O19">
        <v>0.33994143707751423</v>
      </c>
      <c r="P19">
        <v>0.33696236702269261</v>
      </c>
      <c r="Q19">
        <v>0.34088944282436578</v>
      </c>
      <c r="R19">
        <v>0.33888688623791419</v>
      </c>
      <c r="S19">
        <v>0.34512871588099298</v>
      </c>
      <c r="T19">
        <v>0.33960927006098585</v>
      </c>
      <c r="U19">
        <v>0.36009320702170633</v>
      </c>
    </row>
    <row r="20" spans="1:21">
      <c r="A20" t="s">
        <v>17</v>
      </c>
      <c r="B20">
        <v>0.21479990637968135</v>
      </c>
      <c r="C20">
        <v>0.2361004737500533</v>
      </c>
      <c r="D20">
        <v>0.26938741738734212</v>
      </c>
      <c r="E20">
        <v>0.28852718303199704</v>
      </c>
      <c r="F20">
        <v>0.31004927509156938</v>
      </c>
      <c r="G20">
        <v>0.32453653839798741</v>
      </c>
      <c r="H20">
        <v>0.33301357444357277</v>
      </c>
      <c r="I20">
        <v>0.34534728686110494</v>
      </c>
      <c r="J20">
        <v>0.35405781026333505</v>
      </c>
      <c r="K20">
        <v>0.36033077631509031</v>
      </c>
      <c r="L20">
        <v>0.36154133793854393</v>
      </c>
      <c r="M20">
        <v>0.36923784165368967</v>
      </c>
      <c r="N20">
        <v>0.36752348963972969</v>
      </c>
      <c r="O20">
        <v>0.36349033554528792</v>
      </c>
      <c r="P20">
        <v>0.36249595319051647</v>
      </c>
      <c r="Q20">
        <v>0.36117063665183374</v>
      </c>
      <c r="R20">
        <v>0.36000001539974269</v>
      </c>
      <c r="S20">
        <v>0.36095958345187246</v>
      </c>
      <c r="T20">
        <v>0.37398345477118328</v>
      </c>
      <c r="U20">
        <v>0.38419463112023317</v>
      </c>
    </row>
    <row r="21" spans="1:21">
      <c r="A21" t="s">
        <v>18</v>
      </c>
      <c r="B21">
        <v>0.21462310410713381</v>
      </c>
      <c r="C21">
        <v>0.2338790951774406</v>
      </c>
      <c r="D21">
        <v>0.26729779430369649</v>
      </c>
      <c r="E21">
        <v>0.28798437057374432</v>
      </c>
      <c r="F21">
        <v>0.30571649842924337</v>
      </c>
      <c r="G21">
        <v>0.32422303558107451</v>
      </c>
      <c r="H21">
        <v>0.32884940735935453</v>
      </c>
      <c r="I21">
        <v>0.33665864258040568</v>
      </c>
      <c r="J21">
        <v>0.34167440852981884</v>
      </c>
      <c r="K21">
        <v>0.34868541097658223</v>
      </c>
      <c r="L21">
        <v>0.35244169318546459</v>
      </c>
      <c r="M21">
        <v>0.35694618065359057</v>
      </c>
      <c r="N21">
        <v>0.35811138469849385</v>
      </c>
      <c r="O21">
        <v>0.35625588553814624</v>
      </c>
      <c r="P21">
        <v>0.357554876753992</v>
      </c>
      <c r="Q21">
        <v>0.35972930977328432</v>
      </c>
      <c r="R21">
        <v>0.36224086570152375</v>
      </c>
      <c r="S21">
        <v>0.36162043011525019</v>
      </c>
      <c r="T21">
        <v>0.37265292763599944</v>
      </c>
      <c r="U21">
        <v>0.38439706570995591</v>
      </c>
    </row>
    <row r="22" spans="1:21">
      <c r="A22" t="s">
        <v>19</v>
      </c>
      <c r="B22">
        <v>0.20326362386767091</v>
      </c>
      <c r="C22">
        <v>0.22008683161070719</v>
      </c>
      <c r="D22">
        <v>0.25286811923498242</v>
      </c>
      <c r="E22">
        <v>0.27308161847289614</v>
      </c>
      <c r="F22">
        <v>0.29256159687758099</v>
      </c>
      <c r="G22">
        <v>0.30760928280659078</v>
      </c>
      <c r="H22">
        <v>0.31315263052227543</v>
      </c>
      <c r="I22">
        <v>0.31962235901484243</v>
      </c>
      <c r="J22">
        <v>0.32768665487056814</v>
      </c>
      <c r="K22">
        <v>0.33096254518899909</v>
      </c>
      <c r="L22">
        <v>0.34013238135441487</v>
      </c>
      <c r="M22">
        <v>0.33905395591278198</v>
      </c>
      <c r="N22">
        <v>0.34379932845648725</v>
      </c>
      <c r="O22">
        <v>0.34987163045324421</v>
      </c>
      <c r="P22">
        <v>0.3603057094960721</v>
      </c>
      <c r="Q22">
        <v>0.3621638348349096</v>
      </c>
      <c r="R22">
        <v>0.36765298999457069</v>
      </c>
      <c r="S22">
        <v>0.36038371294692179</v>
      </c>
      <c r="T22">
        <v>0.36741740943843992</v>
      </c>
      <c r="U22">
        <v>0.3731200734151035</v>
      </c>
    </row>
    <row r="23" spans="1:21">
      <c r="A23" t="s">
        <v>20</v>
      </c>
      <c r="B23">
        <v>0.21381507964393812</v>
      </c>
      <c r="C23">
        <v>0.2347294048417409</v>
      </c>
      <c r="D23">
        <v>0.26973122701931251</v>
      </c>
      <c r="E23">
        <v>0.28882622667707958</v>
      </c>
      <c r="F23">
        <v>0.30590435664060284</v>
      </c>
      <c r="G23">
        <v>0.31996741054486488</v>
      </c>
      <c r="H23">
        <v>0.32714007944417195</v>
      </c>
      <c r="I23">
        <v>0.33479577865785609</v>
      </c>
      <c r="J23">
        <v>0.3456744856028483</v>
      </c>
      <c r="K23">
        <v>0.35558271710056116</v>
      </c>
      <c r="L23">
        <v>0.36040058157375204</v>
      </c>
      <c r="M23">
        <v>0.36275886193665663</v>
      </c>
      <c r="N23">
        <v>0.3623876612826013</v>
      </c>
      <c r="O23">
        <v>0.36415429617231615</v>
      </c>
      <c r="P23">
        <v>0.36596121266777404</v>
      </c>
      <c r="Q23">
        <v>0.36165365467115984</v>
      </c>
      <c r="R23">
        <v>0.36296878177314917</v>
      </c>
      <c r="S23">
        <v>0.36337108137354951</v>
      </c>
      <c r="T23">
        <v>0.3808948557611842</v>
      </c>
      <c r="U23">
        <v>0.39213542878338142</v>
      </c>
    </row>
    <row r="24" spans="1:21">
      <c r="A24" t="s">
        <v>21</v>
      </c>
      <c r="B24">
        <v>0.20484592754471107</v>
      </c>
      <c r="C24">
        <v>0.22172020990656596</v>
      </c>
      <c r="D24">
        <v>0.25106071441662264</v>
      </c>
      <c r="E24">
        <v>0.26153903633412612</v>
      </c>
      <c r="F24">
        <v>0.27663340214826404</v>
      </c>
      <c r="G24">
        <v>0.29706672012930246</v>
      </c>
      <c r="H24">
        <v>0.30670151436504656</v>
      </c>
      <c r="I24">
        <v>0.32451149208425895</v>
      </c>
      <c r="J24">
        <v>0.32371032667444383</v>
      </c>
      <c r="K24">
        <v>0.32966622617839064</v>
      </c>
      <c r="L24">
        <v>0.33551497210342873</v>
      </c>
      <c r="M24">
        <v>0.33865153771969875</v>
      </c>
      <c r="N24">
        <v>0.3367017557090628</v>
      </c>
      <c r="O24">
        <v>0.3420423951697163</v>
      </c>
      <c r="P24">
        <v>0.33970632292792907</v>
      </c>
      <c r="Q24">
        <v>0.33607337657258013</v>
      </c>
      <c r="R24">
        <v>0.33815689618577005</v>
      </c>
      <c r="S24">
        <v>0.34012245204488589</v>
      </c>
      <c r="T24">
        <v>0.3463598679600503</v>
      </c>
      <c r="U24">
        <v>0.34956393535181191</v>
      </c>
    </row>
    <row r="25" spans="1:21">
      <c r="A25" t="s">
        <v>34</v>
      </c>
      <c r="B25">
        <v>0.21481436608068175</v>
      </c>
      <c r="C25">
        <v>0.23315433771067226</v>
      </c>
      <c r="D25">
        <v>0.26791485872025622</v>
      </c>
      <c r="E25">
        <v>0.2875199038516158</v>
      </c>
      <c r="F25">
        <v>0.31027665547330652</v>
      </c>
      <c r="G25">
        <v>0.32258213152701676</v>
      </c>
      <c r="H25">
        <v>0.32970294985805382</v>
      </c>
      <c r="I25">
        <v>0.33533356589426194</v>
      </c>
      <c r="J25">
        <v>0.34225436194065545</v>
      </c>
      <c r="K25">
        <v>0.35636206877780913</v>
      </c>
      <c r="L25">
        <v>0.36509703813123406</v>
      </c>
      <c r="M25">
        <v>0.36768661650854007</v>
      </c>
      <c r="N25">
        <v>0.36766984140197045</v>
      </c>
      <c r="O25">
        <v>0.36430428742151105</v>
      </c>
      <c r="P25">
        <v>0.36440536809743551</v>
      </c>
      <c r="Q25">
        <v>0.36192764982228282</v>
      </c>
      <c r="R25">
        <v>0.37352323048176778</v>
      </c>
      <c r="S25">
        <v>0.37203919725978912</v>
      </c>
      <c r="T25">
        <v>0.38868594513285476</v>
      </c>
      <c r="U25">
        <v>0.40371724739647585</v>
      </c>
    </row>
    <row r="26" spans="1:21">
      <c r="A26" t="s">
        <v>22</v>
      </c>
      <c r="B26">
        <v>0.18816987322564438</v>
      </c>
      <c r="C26">
        <v>0.22344144283853359</v>
      </c>
      <c r="D26">
        <v>0.28120452659043765</v>
      </c>
      <c r="E26">
        <v>0.32006446453666487</v>
      </c>
      <c r="F26">
        <v>0.35769396069481396</v>
      </c>
      <c r="G26">
        <v>0.39422147807862812</v>
      </c>
      <c r="H26">
        <v>0.41163896303034364</v>
      </c>
      <c r="I26">
        <v>0.42989450741012364</v>
      </c>
      <c r="J26">
        <v>0.45932153580330842</v>
      </c>
      <c r="K26">
        <v>0.46155352440967728</v>
      </c>
      <c r="L26">
        <v>0.45988651976368755</v>
      </c>
      <c r="M26">
        <v>0.48281650024453232</v>
      </c>
      <c r="N26">
        <v>0.48676781845244227</v>
      </c>
      <c r="O26">
        <v>0.49157836501313557</v>
      </c>
      <c r="P26">
        <v>0.50119221518893964</v>
      </c>
      <c r="Q26">
        <v>0.50892470162517212</v>
      </c>
      <c r="R26">
        <v>0.51218354155924228</v>
      </c>
      <c r="S26">
        <v>0.51679569302901163</v>
      </c>
      <c r="T26">
        <v>0.52618686264270276</v>
      </c>
      <c r="U26">
        <v>0.52131907627690355</v>
      </c>
    </row>
    <row r="27" spans="1:21">
      <c r="A27" t="s">
        <v>23</v>
      </c>
      <c r="B27">
        <v>0.20968517516325721</v>
      </c>
      <c r="C27">
        <v>0.22591539501763513</v>
      </c>
      <c r="D27">
        <v>0.25174449148857214</v>
      </c>
      <c r="E27">
        <v>0.26116767169572258</v>
      </c>
      <c r="F27">
        <v>0.27557036216341929</v>
      </c>
      <c r="G27">
        <v>0.28500140555495657</v>
      </c>
      <c r="H27">
        <v>0.29873909262223081</v>
      </c>
      <c r="I27">
        <v>0.30550431723814808</v>
      </c>
      <c r="J27">
        <v>0.31138301072048014</v>
      </c>
      <c r="K27">
        <v>0.31649039580405225</v>
      </c>
      <c r="L27">
        <v>0.31403846010682634</v>
      </c>
      <c r="M27">
        <v>0.32478688192320238</v>
      </c>
      <c r="N27">
        <v>0.33600437439283815</v>
      </c>
      <c r="O27">
        <v>0.33676384103558854</v>
      </c>
      <c r="P27">
        <v>0.33434511452411569</v>
      </c>
      <c r="Q27">
        <v>0.32975082213400259</v>
      </c>
      <c r="R27">
        <v>0.3330157371172226</v>
      </c>
      <c r="S27">
        <v>0.33064480167353899</v>
      </c>
      <c r="T27">
        <v>0.33503660547844083</v>
      </c>
      <c r="U27">
        <v>0.34989019521546338</v>
      </c>
    </row>
    <row r="28" spans="1:21">
      <c r="A28" t="s">
        <v>24</v>
      </c>
      <c r="B28">
        <v>0.20840042138686088</v>
      </c>
      <c r="C28">
        <v>0.22682682911164806</v>
      </c>
      <c r="D28">
        <v>0.26010375495038363</v>
      </c>
      <c r="E28">
        <v>0.27682238191499997</v>
      </c>
      <c r="F28">
        <v>0.29071011066272867</v>
      </c>
      <c r="G28">
        <v>0.30910113691740621</v>
      </c>
      <c r="H28">
        <v>0.31944570974119824</v>
      </c>
      <c r="I28">
        <v>0.32928238779259345</v>
      </c>
      <c r="J28">
        <v>0.34429399109063802</v>
      </c>
      <c r="K28">
        <v>0.35977613940131803</v>
      </c>
      <c r="L28">
        <v>0.36110025703837278</v>
      </c>
      <c r="M28">
        <v>0.36394298017077104</v>
      </c>
      <c r="N28">
        <v>0.36164524951678284</v>
      </c>
      <c r="O28">
        <v>0.36653315355329952</v>
      </c>
      <c r="P28">
        <v>0.37096272168542332</v>
      </c>
      <c r="Q28">
        <v>0.3605067023298455</v>
      </c>
      <c r="R28">
        <v>0.36232225659696221</v>
      </c>
      <c r="S28">
        <v>0.36566831181674869</v>
      </c>
      <c r="T28">
        <v>0.37145379337522055</v>
      </c>
      <c r="U28">
        <v>0.37147369314572365</v>
      </c>
    </row>
    <row r="29" spans="1:21">
      <c r="A29" t="s">
        <v>25</v>
      </c>
      <c r="B29">
        <v>0.2143185716754484</v>
      </c>
      <c r="C29">
        <v>0.22835529457183204</v>
      </c>
      <c r="D29">
        <v>0.26023703463295056</v>
      </c>
      <c r="E29">
        <v>0.26931812640672204</v>
      </c>
      <c r="F29">
        <v>0.28501185479048058</v>
      </c>
      <c r="G29">
        <v>0.29486846319755156</v>
      </c>
      <c r="H29">
        <v>0.29870139875130636</v>
      </c>
      <c r="I29">
        <v>0.3040988394614732</v>
      </c>
      <c r="J29">
        <v>0.30773659455319674</v>
      </c>
      <c r="K29">
        <v>0.30569675221382148</v>
      </c>
      <c r="L29">
        <v>0.30577433848690155</v>
      </c>
      <c r="M29">
        <v>0.30127271300604758</v>
      </c>
      <c r="N29">
        <v>0.29569824029927783</v>
      </c>
      <c r="O29">
        <v>0.29127310378892918</v>
      </c>
      <c r="P29">
        <v>0.28624841607140855</v>
      </c>
      <c r="Q29">
        <v>0.28787994280700729</v>
      </c>
      <c r="R29">
        <v>0.29433347800911941</v>
      </c>
      <c r="S29">
        <v>0.29833225720197226</v>
      </c>
      <c r="T29">
        <v>0.31297457410882901</v>
      </c>
      <c r="U29">
        <v>0.32852573929201523</v>
      </c>
    </row>
    <row r="30" spans="1:21">
      <c r="A30" t="s">
        <v>26</v>
      </c>
      <c r="B30">
        <v>0.19450094452517194</v>
      </c>
      <c r="C30">
        <v>0.19478193770615604</v>
      </c>
      <c r="D30">
        <v>0.19457634786613198</v>
      </c>
      <c r="E30">
        <v>0.19086061501202764</v>
      </c>
      <c r="F30">
        <v>0.18928927546776686</v>
      </c>
      <c r="G30">
        <v>0.18659208398332913</v>
      </c>
      <c r="H30">
        <v>0.1850115218542355</v>
      </c>
      <c r="I30">
        <v>0.18163304238774899</v>
      </c>
      <c r="J30">
        <v>0.1848179744365174</v>
      </c>
      <c r="K30">
        <v>0.1883145220635381</v>
      </c>
      <c r="L30">
        <v>0.19013820710437732</v>
      </c>
      <c r="M30">
        <v>0.17991425440099776</v>
      </c>
      <c r="N30">
        <v>0.17705437740143315</v>
      </c>
      <c r="O30">
        <v>0.16952593185522238</v>
      </c>
      <c r="P30">
        <v>0.1714417594993084</v>
      </c>
      <c r="Q30">
        <v>0.17226664815567846</v>
      </c>
      <c r="R30">
        <v>0.17072512352125718</v>
      </c>
      <c r="S30">
        <v>0.17049377674127542</v>
      </c>
      <c r="T30">
        <v>0.17214149032995316</v>
      </c>
      <c r="U30">
        <v>0.17469666501173337</v>
      </c>
    </row>
    <row r="31" spans="1:21">
      <c r="A31" t="s">
        <v>27</v>
      </c>
      <c r="B31">
        <v>0.2171167970154276</v>
      </c>
      <c r="C31">
        <v>0.21516883215608673</v>
      </c>
      <c r="D31">
        <v>0.21269865384521894</v>
      </c>
      <c r="E31">
        <v>0.21310394828226459</v>
      </c>
      <c r="F31">
        <v>0.21699902709371038</v>
      </c>
      <c r="G31">
        <v>0.22935934363525881</v>
      </c>
      <c r="H31">
        <v>0.24417035781678434</v>
      </c>
      <c r="I31">
        <v>0.25296950279491232</v>
      </c>
      <c r="J31">
        <v>0.25794502115554829</v>
      </c>
      <c r="K31">
        <v>0.26518703367017871</v>
      </c>
      <c r="L31">
        <v>0.27664371009356309</v>
      </c>
      <c r="M31">
        <v>0.28766631555262134</v>
      </c>
      <c r="N31">
        <v>0.29051997623091852</v>
      </c>
      <c r="O31">
        <v>0.2950952239421058</v>
      </c>
      <c r="P31">
        <v>0.3010261461355187</v>
      </c>
      <c r="Q31">
        <v>0.29921521587336952</v>
      </c>
      <c r="R31">
        <v>0.30333569153194395</v>
      </c>
      <c r="S31">
        <v>0.30397911854829579</v>
      </c>
      <c r="T31">
        <v>0.30944449164954241</v>
      </c>
      <c r="U31">
        <v>0.31614394080125141</v>
      </c>
    </row>
    <row r="32" spans="1:21">
      <c r="A32" t="s">
        <v>28</v>
      </c>
      <c r="B32">
        <v>0.19567320416250245</v>
      </c>
      <c r="C32">
        <v>0.2203511639679826</v>
      </c>
      <c r="D32">
        <v>0.25624904488578359</v>
      </c>
      <c r="E32">
        <v>0.27913441997054306</v>
      </c>
      <c r="F32">
        <v>0.31107930870323353</v>
      </c>
      <c r="G32">
        <v>0.3129060627798616</v>
      </c>
      <c r="H32">
        <v>0.32884921899904368</v>
      </c>
      <c r="I32">
        <v>0.35207797146878789</v>
      </c>
      <c r="J32">
        <v>0.35487523247399738</v>
      </c>
      <c r="K32">
        <v>0.3597757847729367</v>
      </c>
      <c r="L32">
        <v>0.37690176088221983</v>
      </c>
      <c r="M32">
        <v>0.39394841879912068</v>
      </c>
      <c r="N32">
        <v>0.40229184132222151</v>
      </c>
      <c r="O32">
        <v>0.41586434352238716</v>
      </c>
      <c r="P32">
        <v>0.42672710450089735</v>
      </c>
      <c r="Q32">
        <v>0.44602916855382169</v>
      </c>
      <c r="R32">
        <v>0.46943849375695951</v>
      </c>
      <c r="S32">
        <v>0.45771787296898081</v>
      </c>
      <c r="T32">
        <v>0.44880763423145592</v>
      </c>
      <c r="U32">
        <v>0.46811794926846328</v>
      </c>
    </row>
    <row r="33" spans="1:21">
      <c r="A33" t="s">
        <v>29</v>
      </c>
      <c r="B33">
        <v>0.19261582945209618</v>
      </c>
      <c r="C33">
        <v>0.21571195444666921</v>
      </c>
      <c r="D33">
        <v>0.23943965925583474</v>
      </c>
      <c r="E33">
        <v>0.26472866370165743</v>
      </c>
      <c r="F33">
        <v>0.26668962938403223</v>
      </c>
      <c r="G33">
        <v>0.2809553671497953</v>
      </c>
      <c r="H33">
        <v>0.28848240355675747</v>
      </c>
      <c r="I33">
        <v>0.30842758001727266</v>
      </c>
      <c r="J33">
        <v>0.31998290226741233</v>
      </c>
      <c r="K33">
        <v>0.33494634953012065</v>
      </c>
      <c r="L33">
        <v>0.3540142052023551</v>
      </c>
      <c r="M33">
        <v>0.35699683184888514</v>
      </c>
      <c r="N33">
        <v>0.36956493193716616</v>
      </c>
      <c r="O33">
        <v>0.38284068430691376</v>
      </c>
      <c r="P33">
        <v>0.39313173258123663</v>
      </c>
      <c r="Q33">
        <v>0.3902652293447707</v>
      </c>
      <c r="R33">
        <v>0.39936007939996521</v>
      </c>
      <c r="S33">
        <v>0.41318782219297806</v>
      </c>
      <c r="T33">
        <v>0.41574753226382788</v>
      </c>
      <c r="U33">
        <v>0.4281631803517536</v>
      </c>
    </row>
    <row r="34" spans="1:21">
      <c r="A34" t="s">
        <v>30</v>
      </c>
      <c r="B34">
        <v>0.19097542193834174</v>
      </c>
      <c r="C34">
        <v>0.21815694066410929</v>
      </c>
      <c r="D34">
        <v>0.24432164377218904</v>
      </c>
      <c r="E34">
        <v>0.2591446132275842</v>
      </c>
      <c r="F34">
        <v>0.26943075156023771</v>
      </c>
      <c r="G34">
        <v>0.2827441486440242</v>
      </c>
      <c r="H34">
        <v>0.29379311524732343</v>
      </c>
      <c r="I34">
        <v>0.29541423100181413</v>
      </c>
      <c r="J34">
        <v>0.30414544189082671</v>
      </c>
      <c r="K34">
        <v>0.3282228134233347</v>
      </c>
      <c r="L34">
        <v>0.34656934182198684</v>
      </c>
      <c r="M34">
        <v>0.34747043654573662</v>
      </c>
      <c r="N34">
        <v>0.36247758979732642</v>
      </c>
      <c r="O34">
        <v>0.37760985494048471</v>
      </c>
      <c r="P34">
        <v>0.39267902818246103</v>
      </c>
      <c r="Q34">
        <v>0.40110955455394487</v>
      </c>
      <c r="R34">
        <v>0.40310873069869252</v>
      </c>
      <c r="S34">
        <v>0.39956116563766325</v>
      </c>
      <c r="T34">
        <v>0.39547764313460559</v>
      </c>
      <c r="U34">
        <v>0.40421704942251552</v>
      </c>
    </row>
    <row r="35" spans="1:21">
      <c r="A35" t="s">
        <v>31</v>
      </c>
      <c r="B35">
        <v>0.28940889992747487</v>
      </c>
      <c r="C35">
        <v>0.30457607951130478</v>
      </c>
      <c r="D35">
        <v>0.33473259562770658</v>
      </c>
      <c r="E35">
        <v>0.36394643591111886</v>
      </c>
      <c r="F35">
        <v>0.38720237306794542</v>
      </c>
      <c r="G35">
        <v>0.40715426364351892</v>
      </c>
      <c r="H35">
        <v>0.44125713164206953</v>
      </c>
      <c r="I35">
        <v>0.46322499515156368</v>
      </c>
      <c r="J35">
        <v>0.48654536977085289</v>
      </c>
      <c r="K35">
        <v>0.50797041984151847</v>
      </c>
      <c r="L35">
        <v>0.52036935522374705</v>
      </c>
      <c r="M35">
        <v>0.52315420680373614</v>
      </c>
      <c r="N35">
        <v>0.52756836188649658</v>
      </c>
      <c r="O35">
        <v>0.53031475634259972</v>
      </c>
      <c r="P35">
        <v>0.54505240148167033</v>
      </c>
      <c r="Q35">
        <v>0.54846985008809768</v>
      </c>
      <c r="R35">
        <v>0.54038792240971822</v>
      </c>
      <c r="S35">
        <v>0.54823678818306054</v>
      </c>
      <c r="T35">
        <v>0.56143975135099522</v>
      </c>
      <c r="U35">
        <v>0.60611072138198252</v>
      </c>
    </row>
    <row r="36" spans="1:21">
      <c r="A36" t="s">
        <v>32</v>
      </c>
      <c r="B36">
        <v>0.28902969155599723</v>
      </c>
      <c r="C36">
        <v>0.30219457573531761</v>
      </c>
      <c r="D36">
        <v>0.32511583931211385</v>
      </c>
      <c r="E36">
        <v>0.34425578129050022</v>
      </c>
      <c r="F36">
        <v>0.36051380699672003</v>
      </c>
      <c r="G36">
        <v>0.38060492310111893</v>
      </c>
      <c r="H36">
        <v>0.39810639045523744</v>
      </c>
      <c r="I36">
        <v>0.41393017982497649</v>
      </c>
      <c r="J36">
        <v>0.41426439980317059</v>
      </c>
      <c r="K36">
        <v>0.42611319995350166</v>
      </c>
      <c r="L36">
        <v>0.43093529545406539</v>
      </c>
      <c r="M36">
        <v>0.43726401302224083</v>
      </c>
      <c r="N36">
        <v>0.44548246916968348</v>
      </c>
      <c r="O36">
        <v>0.44642763865241342</v>
      </c>
      <c r="P36">
        <v>0.44075561468822327</v>
      </c>
      <c r="Q36">
        <v>0.44484357040152422</v>
      </c>
      <c r="R36">
        <v>0.41645924404142748</v>
      </c>
      <c r="S36">
        <v>0.42053605756390106</v>
      </c>
      <c r="T36">
        <v>0.44518689509070297</v>
      </c>
      <c r="U36">
        <v>0.4497372278358362</v>
      </c>
    </row>
    <row r="37" spans="1:21">
      <c r="A37" t="s">
        <v>33</v>
      </c>
      <c r="B37">
        <v>0.32950183404224181</v>
      </c>
      <c r="C37">
        <v>0.35576802817364972</v>
      </c>
      <c r="D37">
        <v>0.4001218365067461</v>
      </c>
      <c r="E37">
        <v>0.44608346814066474</v>
      </c>
      <c r="F37">
        <v>0.48343650379245912</v>
      </c>
      <c r="G37">
        <v>0.51868844599530062</v>
      </c>
      <c r="H37">
        <v>0.54875190978641919</v>
      </c>
      <c r="I37">
        <v>0.56539506213054869</v>
      </c>
      <c r="J37">
        <v>0.57940333654297582</v>
      </c>
      <c r="K37">
        <v>0.60902835202917305</v>
      </c>
      <c r="L37">
        <v>0.61759481291531382</v>
      </c>
      <c r="M37">
        <v>0.6314467588128283</v>
      </c>
      <c r="N37">
        <v>0.64315397117080908</v>
      </c>
      <c r="O37">
        <v>0.64641371209374376</v>
      </c>
      <c r="P37">
        <v>0.66368836147123245</v>
      </c>
      <c r="Q37">
        <v>0.67557909474146483</v>
      </c>
      <c r="R37">
        <v>0.66750915258617638</v>
      </c>
      <c r="S37">
        <v>0.67113850184455903</v>
      </c>
      <c r="T37">
        <v>0.74908772191829953</v>
      </c>
      <c r="U37">
        <v>0.77296054075963061</v>
      </c>
    </row>
  </sheetData>
  <phoneticPr fontId="0" type="noConversion"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21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"T_A_1.4A"</f>
        <v>T_A_1.4A</v>
      </c>
      <c r="C1" s="1" t="str">
        <f>"T_A_2A"</f>
        <v>T_A_2A</v>
      </c>
      <c r="D1" s="1" t="str">
        <f>"T_A_3A"</f>
        <v>T_A_3A</v>
      </c>
      <c r="E1" s="1" t="str">
        <f>"T_A_4A"</f>
        <v>T_A_4A</v>
      </c>
      <c r="F1" s="1" t="str">
        <f>"T_A_5A"</f>
        <v>T_A_5A</v>
      </c>
      <c r="G1" s="1" t="str">
        <f>"T_A_6A"</f>
        <v>T_A_6A</v>
      </c>
      <c r="H1" s="1" t="str">
        <f>"T_A_7A"</f>
        <v>T_A_7A</v>
      </c>
      <c r="I1" s="1" t="str">
        <f>"T_A_8A"</f>
        <v>T_A_8A</v>
      </c>
      <c r="J1" s="1" t="str">
        <f>"T_A_9A"</f>
        <v>T_A_9A</v>
      </c>
      <c r="K1" s="1" t="str">
        <f>"T_A_10A"</f>
        <v>T_A_10A</v>
      </c>
      <c r="L1" s="1" t="str">
        <f>"T_A_11A"</f>
        <v>T_A_11A</v>
      </c>
      <c r="M1" s="1" t="str">
        <f>"T_A_12A"</f>
        <v>T_A_12A</v>
      </c>
      <c r="N1" s="1" t="str">
        <f>"T_A_13A"</f>
        <v>T_A_13A</v>
      </c>
      <c r="O1" s="1" t="str">
        <f>"T_A_14A"</f>
        <v>T_A_14A</v>
      </c>
      <c r="P1" s="1" t="str">
        <f>"T_A_15A"</f>
        <v>T_A_15A</v>
      </c>
      <c r="Q1" s="1" t="str">
        <f>"T_A_16A"</f>
        <v>T_A_16A</v>
      </c>
      <c r="R1" s="1" t="str">
        <f>"T_A_17A"</f>
        <v>T_A_17A</v>
      </c>
      <c r="S1" s="1" t="str">
        <f>"T_A_18A"</f>
        <v>T_A_18A</v>
      </c>
      <c r="T1" s="1" t="str">
        <f>"T_A_19A"</f>
        <v>T_A_19A</v>
      </c>
      <c r="U1" s="1" t="str">
        <f>"T_A_20A"</f>
        <v>T_A_20A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2073.7089999999998</v>
      </c>
      <c r="C3">
        <v>1403.7829999999999</v>
      </c>
      <c r="D3">
        <v>882.81140000000005</v>
      </c>
      <c r="E3">
        <v>622.33100000000002</v>
      </c>
      <c r="F3">
        <v>467.52609999999999</v>
      </c>
      <c r="G3">
        <v>376.99619999999999</v>
      </c>
      <c r="H3">
        <v>317.31889999999999</v>
      </c>
      <c r="I3">
        <v>273.1164</v>
      </c>
      <c r="J3">
        <v>240.4939</v>
      </c>
      <c r="K3">
        <v>213.76779999999999</v>
      </c>
      <c r="L3">
        <v>191.56469999999999</v>
      </c>
      <c r="M3">
        <v>175.6431</v>
      </c>
      <c r="N3">
        <v>162.3519</v>
      </c>
      <c r="O3">
        <v>149.3039</v>
      </c>
      <c r="P3">
        <v>138.601</v>
      </c>
      <c r="Q3">
        <v>129.03980000000001</v>
      </c>
      <c r="R3">
        <v>120.8909</v>
      </c>
      <c r="S3">
        <v>115.18389999999999</v>
      </c>
      <c r="T3">
        <v>112.4079</v>
      </c>
      <c r="U3">
        <v>110.26690000000001</v>
      </c>
    </row>
    <row r="4" spans="1:24">
      <c r="A4" t="s">
        <v>1</v>
      </c>
      <c r="B4">
        <v>2732.0859999999998</v>
      </c>
      <c r="C4">
        <v>1811.431</v>
      </c>
      <c r="D4">
        <v>1081.8789999999999</v>
      </c>
      <c r="E4">
        <v>740.6164</v>
      </c>
      <c r="F4">
        <v>553.61410000000001</v>
      </c>
      <c r="G4">
        <v>438.97190000000001</v>
      </c>
      <c r="H4">
        <v>371.53859999999997</v>
      </c>
      <c r="I4">
        <v>316.91570000000002</v>
      </c>
      <c r="J4">
        <v>275.02789999999999</v>
      </c>
      <c r="K4">
        <v>244.24270000000001</v>
      </c>
      <c r="L4">
        <v>220.16399999999999</v>
      </c>
      <c r="M4">
        <v>194.64400000000001</v>
      </c>
      <c r="N4">
        <v>178.63589999999999</v>
      </c>
      <c r="O4">
        <v>167.3997</v>
      </c>
      <c r="P4">
        <v>154.77180000000001</v>
      </c>
      <c r="Q4">
        <v>144.71690000000001</v>
      </c>
      <c r="R4">
        <v>134.51900000000001</v>
      </c>
      <c r="S4">
        <v>126.81780000000001</v>
      </c>
      <c r="T4">
        <v>121.89490000000001</v>
      </c>
      <c r="U4">
        <v>117.0959</v>
      </c>
    </row>
    <row r="5" spans="1:24">
      <c r="A5" t="s">
        <v>2</v>
      </c>
      <c r="B5">
        <v>4634.8620000000001</v>
      </c>
      <c r="C5">
        <v>3084.4119999999998</v>
      </c>
      <c r="D5">
        <v>1932.2260000000001</v>
      </c>
      <c r="E5">
        <v>1356.3130000000001</v>
      </c>
      <c r="F5">
        <v>1028.8040000000001</v>
      </c>
      <c r="G5">
        <v>819.43960000000004</v>
      </c>
      <c r="H5">
        <v>673.32119999999998</v>
      </c>
      <c r="I5">
        <v>574.56920000000002</v>
      </c>
      <c r="J5">
        <v>506.9846</v>
      </c>
      <c r="K5">
        <v>443.84179999999998</v>
      </c>
      <c r="L5">
        <v>403.87169999999998</v>
      </c>
      <c r="M5">
        <v>365.41480000000001</v>
      </c>
      <c r="N5">
        <v>333.98090000000002</v>
      </c>
      <c r="O5">
        <v>311.79450000000003</v>
      </c>
      <c r="P5">
        <v>289.88409999999999</v>
      </c>
      <c r="Q5">
        <v>267.74090000000001</v>
      </c>
      <c r="R5">
        <v>251.8767</v>
      </c>
      <c r="S5">
        <v>237.27789999999999</v>
      </c>
      <c r="T5">
        <v>229.1627</v>
      </c>
      <c r="U5">
        <v>220.73179999999999</v>
      </c>
    </row>
    <row r="6" spans="1:24">
      <c r="A6" t="s">
        <v>3</v>
      </c>
      <c r="B6">
        <v>1615.779</v>
      </c>
      <c r="C6">
        <v>921.40899999999999</v>
      </c>
      <c r="D6">
        <v>537.24220000000003</v>
      </c>
      <c r="E6">
        <v>370.28339999999997</v>
      </c>
      <c r="F6">
        <v>273.11200000000002</v>
      </c>
      <c r="G6">
        <v>218.83690000000001</v>
      </c>
      <c r="H6">
        <v>180.5104</v>
      </c>
      <c r="I6">
        <v>152.03309999999999</v>
      </c>
      <c r="J6">
        <v>132.64009999999999</v>
      </c>
      <c r="K6">
        <v>117.9783</v>
      </c>
      <c r="L6">
        <v>105.41719999999999</v>
      </c>
      <c r="M6">
        <v>95.803139999999999</v>
      </c>
      <c r="N6">
        <v>89.488110000000006</v>
      </c>
      <c r="O6">
        <v>82.311089999999993</v>
      </c>
      <c r="P6">
        <v>76.837100000000007</v>
      </c>
      <c r="Q6">
        <v>70.88306</v>
      </c>
      <c r="R6">
        <v>68.017020000000002</v>
      </c>
      <c r="S6">
        <v>64.455039999999997</v>
      </c>
      <c r="T6">
        <v>60.682000000000002</v>
      </c>
      <c r="U6">
        <v>58.034970000000001</v>
      </c>
    </row>
    <row r="7" spans="1:24">
      <c r="A7" t="s">
        <v>4</v>
      </c>
      <c r="B7">
        <v>1561.171</v>
      </c>
      <c r="C7">
        <v>885.73159999999996</v>
      </c>
      <c r="D7">
        <v>517.40329999999994</v>
      </c>
      <c r="E7">
        <v>357.31970000000001</v>
      </c>
      <c r="F7">
        <v>270.51190000000003</v>
      </c>
      <c r="G7">
        <v>217.24199999999999</v>
      </c>
      <c r="H7">
        <v>179.73859999999999</v>
      </c>
      <c r="I7">
        <v>153.54589999999999</v>
      </c>
      <c r="J7">
        <v>136.31209999999999</v>
      </c>
      <c r="K7">
        <v>120.0433</v>
      </c>
      <c r="L7">
        <v>107.00530000000001</v>
      </c>
      <c r="M7">
        <v>95.741200000000006</v>
      </c>
      <c r="N7">
        <v>85.470160000000007</v>
      </c>
      <c r="O7">
        <v>78.308109999999999</v>
      </c>
      <c r="P7">
        <v>72.079089999999994</v>
      </c>
      <c r="Q7">
        <v>68.029079999999993</v>
      </c>
      <c r="R7">
        <v>63.703049999999998</v>
      </c>
      <c r="S7">
        <v>59.189019999999999</v>
      </c>
      <c r="T7">
        <v>57.056019999999997</v>
      </c>
      <c r="U7">
        <v>55.369990000000001</v>
      </c>
    </row>
    <row r="8" spans="1:24">
      <c r="A8" t="s">
        <v>5</v>
      </c>
      <c r="B8">
        <v>1620.0619999999999</v>
      </c>
      <c r="C8">
        <v>939.78549999999996</v>
      </c>
      <c r="D8">
        <v>538.44849999999997</v>
      </c>
      <c r="E8">
        <v>379.39530000000002</v>
      </c>
      <c r="F8">
        <v>283.76949999999999</v>
      </c>
      <c r="G8">
        <v>224.59809999999999</v>
      </c>
      <c r="H8">
        <v>186.01669999999999</v>
      </c>
      <c r="I8">
        <v>156.6662</v>
      </c>
      <c r="J8">
        <v>139.16800000000001</v>
      </c>
      <c r="K8">
        <v>120.2013</v>
      </c>
      <c r="L8">
        <v>107.9003</v>
      </c>
      <c r="M8">
        <v>100.8242</v>
      </c>
      <c r="N8">
        <v>92.630170000000007</v>
      </c>
      <c r="O8">
        <v>85.179180000000002</v>
      </c>
      <c r="P8">
        <v>78.926150000000007</v>
      </c>
      <c r="Q8">
        <v>74.175120000000007</v>
      </c>
      <c r="R8">
        <v>70.579099999999997</v>
      </c>
      <c r="S8">
        <v>66.034049999999993</v>
      </c>
      <c r="T8">
        <v>62.73198</v>
      </c>
      <c r="U8">
        <v>60.130940000000002</v>
      </c>
    </row>
    <row r="9" spans="1:24">
      <c r="A9" t="s">
        <v>6</v>
      </c>
      <c r="B9">
        <v>1590.52</v>
      </c>
      <c r="C9">
        <v>906.90589999999997</v>
      </c>
      <c r="D9">
        <v>519.98519999999996</v>
      </c>
      <c r="E9">
        <v>367.31959999999998</v>
      </c>
      <c r="F9">
        <v>274.76170000000002</v>
      </c>
      <c r="G9">
        <v>213.70609999999999</v>
      </c>
      <c r="H9">
        <v>179.66560000000001</v>
      </c>
      <c r="I9">
        <v>155.65799999999999</v>
      </c>
      <c r="J9">
        <v>136.494</v>
      </c>
      <c r="K9">
        <v>119.9512</v>
      </c>
      <c r="L9">
        <v>107.8503</v>
      </c>
      <c r="M9">
        <v>97.743210000000005</v>
      </c>
      <c r="N9">
        <v>90.730180000000004</v>
      </c>
      <c r="O9">
        <v>85.157169999999994</v>
      </c>
      <c r="P9">
        <v>80.070149999999998</v>
      </c>
      <c r="Q9">
        <v>74.599109999999996</v>
      </c>
      <c r="R9">
        <v>69.609080000000006</v>
      </c>
      <c r="S9">
        <v>65.805019999999999</v>
      </c>
      <c r="T9">
        <v>62.038989999999998</v>
      </c>
      <c r="U9">
        <v>59.889960000000002</v>
      </c>
    </row>
    <row r="10" spans="1:24">
      <c r="A10" t="s">
        <v>7</v>
      </c>
      <c r="B10">
        <v>2150.7220000000002</v>
      </c>
      <c r="C10">
        <v>1195.4290000000001</v>
      </c>
      <c r="D10">
        <v>669.90139999999997</v>
      </c>
      <c r="E10">
        <v>450.85559999999998</v>
      </c>
      <c r="F10">
        <v>330.3621</v>
      </c>
      <c r="G10">
        <v>258.4119</v>
      </c>
      <c r="H10">
        <v>209.1754</v>
      </c>
      <c r="I10">
        <v>178.43770000000001</v>
      </c>
      <c r="J10">
        <v>156.786</v>
      </c>
      <c r="K10">
        <v>140.095</v>
      </c>
      <c r="L10">
        <v>126.0363</v>
      </c>
      <c r="M10">
        <v>114.0583</v>
      </c>
      <c r="N10">
        <v>104.16930000000001</v>
      </c>
      <c r="O10">
        <v>94.887249999999995</v>
      </c>
      <c r="P10">
        <v>88.393230000000003</v>
      </c>
      <c r="Q10">
        <v>83.891210000000001</v>
      </c>
      <c r="R10">
        <v>79.092119999999994</v>
      </c>
      <c r="S10">
        <v>74.553089999999997</v>
      </c>
      <c r="T10">
        <v>70.770009999999999</v>
      </c>
      <c r="U10">
        <v>65.151960000000003</v>
      </c>
    </row>
    <row r="11" spans="1:24">
      <c r="A11" t="s">
        <v>8</v>
      </c>
      <c r="B11">
        <v>2152.7020000000002</v>
      </c>
      <c r="C11">
        <v>1205.415</v>
      </c>
      <c r="D11">
        <v>679.68190000000004</v>
      </c>
      <c r="E11">
        <v>453.18650000000002</v>
      </c>
      <c r="F11">
        <v>339.56950000000001</v>
      </c>
      <c r="G11">
        <v>268.6909</v>
      </c>
      <c r="H11">
        <v>219.89779999999999</v>
      </c>
      <c r="I11">
        <v>187.87569999999999</v>
      </c>
      <c r="J11">
        <v>161.39009999999999</v>
      </c>
      <c r="K11">
        <v>140.21600000000001</v>
      </c>
      <c r="L11">
        <v>125.0123</v>
      </c>
      <c r="M11">
        <v>111.09739999999999</v>
      </c>
      <c r="N11">
        <v>100.7563</v>
      </c>
      <c r="O11">
        <v>92.348219999999998</v>
      </c>
      <c r="P11">
        <v>87.057249999999996</v>
      </c>
      <c r="Q11">
        <v>80.41319</v>
      </c>
      <c r="R11">
        <v>76.303030000000007</v>
      </c>
      <c r="S11">
        <v>72.479010000000002</v>
      </c>
      <c r="T11">
        <v>68.969970000000004</v>
      </c>
      <c r="U11">
        <v>66.834919999999997</v>
      </c>
    </row>
    <row r="12" spans="1:24">
      <c r="A12" t="s">
        <v>9</v>
      </c>
      <c r="B12">
        <v>1599.2619999999999</v>
      </c>
      <c r="C12">
        <v>938.94380000000001</v>
      </c>
      <c r="D12">
        <v>547.76739999999995</v>
      </c>
      <c r="E12">
        <v>376.02460000000002</v>
      </c>
      <c r="F12">
        <v>277.7901</v>
      </c>
      <c r="G12">
        <v>216.2</v>
      </c>
      <c r="H12">
        <v>180.06379999999999</v>
      </c>
      <c r="I12">
        <v>153.73769999999999</v>
      </c>
      <c r="J12">
        <v>132.8441</v>
      </c>
      <c r="K12">
        <v>122.0033</v>
      </c>
      <c r="L12">
        <v>109.1833</v>
      </c>
      <c r="M12">
        <v>102.31529999999999</v>
      </c>
      <c r="N12">
        <v>93.418210000000002</v>
      </c>
      <c r="O12">
        <v>85.781139999999994</v>
      </c>
      <c r="P12">
        <v>77.931129999999996</v>
      </c>
      <c r="Q12">
        <v>72.737110000000001</v>
      </c>
      <c r="R12">
        <v>69.573040000000006</v>
      </c>
      <c r="S12">
        <v>65.766009999999994</v>
      </c>
      <c r="T12">
        <v>61.789009999999998</v>
      </c>
      <c r="U12">
        <v>58.04298</v>
      </c>
    </row>
    <row r="13" spans="1:24">
      <c r="A13" t="s">
        <v>10</v>
      </c>
      <c r="B13">
        <v>1551.4580000000001</v>
      </c>
      <c r="C13">
        <v>909.06989999999996</v>
      </c>
      <c r="D13">
        <v>540.07920000000001</v>
      </c>
      <c r="E13">
        <v>370.67770000000002</v>
      </c>
      <c r="F13">
        <v>282.01029999999997</v>
      </c>
      <c r="G13">
        <v>220.2499</v>
      </c>
      <c r="H13">
        <v>183.01580000000001</v>
      </c>
      <c r="I13">
        <v>155.5797</v>
      </c>
      <c r="J13">
        <v>133.64510000000001</v>
      </c>
      <c r="K13">
        <v>117.60720000000001</v>
      </c>
      <c r="L13">
        <v>106.8312</v>
      </c>
      <c r="M13">
        <v>97.430250000000001</v>
      </c>
      <c r="N13">
        <v>90.678190000000001</v>
      </c>
      <c r="O13">
        <v>83.748140000000006</v>
      </c>
      <c r="P13">
        <v>77.057130000000001</v>
      </c>
      <c r="Q13">
        <v>73.232100000000003</v>
      </c>
      <c r="R13">
        <v>68.188059999999993</v>
      </c>
      <c r="S13">
        <v>64.629000000000005</v>
      </c>
      <c r="T13">
        <v>60.42201</v>
      </c>
      <c r="U13">
        <v>58.066989999999997</v>
      </c>
    </row>
    <row r="14" spans="1:24">
      <c r="A14" t="s">
        <v>11</v>
      </c>
      <c r="B14">
        <v>1572.8140000000001</v>
      </c>
      <c r="C14">
        <v>932.58399999999995</v>
      </c>
      <c r="D14">
        <v>545.59789999999998</v>
      </c>
      <c r="E14">
        <v>377.49669999999998</v>
      </c>
      <c r="F14">
        <v>280.38709999999998</v>
      </c>
      <c r="G14">
        <v>223.80179999999999</v>
      </c>
      <c r="H14">
        <v>185.30250000000001</v>
      </c>
      <c r="I14">
        <v>155.1678</v>
      </c>
      <c r="J14">
        <v>135.79900000000001</v>
      </c>
      <c r="K14">
        <v>119.8952</v>
      </c>
      <c r="L14">
        <v>109.66930000000001</v>
      </c>
      <c r="M14">
        <v>100.94119999999999</v>
      </c>
      <c r="N14">
        <v>94.124189999999999</v>
      </c>
      <c r="O14">
        <v>86.966160000000002</v>
      </c>
      <c r="P14">
        <v>79.817139999999995</v>
      </c>
      <c r="Q14">
        <v>75.28013</v>
      </c>
      <c r="R14">
        <v>70.053089999999997</v>
      </c>
      <c r="S14">
        <v>65.090029999999999</v>
      </c>
      <c r="T14">
        <v>61.77599</v>
      </c>
      <c r="U14">
        <v>59.882989999999999</v>
      </c>
    </row>
    <row r="15" spans="1:24">
      <c r="A15" t="s">
        <v>12</v>
      </c>
      <c r="B15">
        <v>3951.7429999999999</v>
      </c>
      <c r="C15">
        <v>2745.13</v>
      </c>
      <c r="D15">
        <v>1749.3689999999999</v>
      </c>
      <c r="E15">
        <v>1224.143</v>
      </c>
      <c r="F15">
        <v>939.81389999999999</v>
      </c>
      <c r="G15">
        <v>753.30520000000001</v>
      </c>
      <c r="H15">
        <v>623.91380000000004</v>
      </c>
      <c r="I15">
        <v>540.34379999999999</v>
      </c>
      <c r="J15">
        <v>469.40940000000001</v>
      </c>
      <c r="K15">
        <v>418.50479999999999</v>
      </c>
      <c r="L15">
        <v>379.60919999999999</v>
      </c>
      <c r="M15">
        <v>348.52289999999999</v>
      </c>
      <c r="N15">
        <v>320.1857</v>
      </c>
      <c r="O15">
        <v>295.6506</v>
      </c>
      <c r="P15">
        <v>274.64179999999999</v>
      </c>
      <c r="Q15">
        <v>257.19670000000002</v>
      </c>
      <c r="R15">
        <v>236.45570000000001</v>
      </c>
      <c r="S15">
        <v>223.62100000000001</v>
      </c>
      <c r="T15">
        <v>215.24760000000001</v>
      </c>
      <c r="U15">
        <v>206.8518</v>
      </c>
    </row>
    <row r="16" spans="1:24">
      <c r="A16" t="s">
        <v>13</v>
      </c>
      <c r="B16">
        <v>3839.7510000000002</v>
      </c>
      <c r="C16">
        <v>2154.1410000000001</v>
      </c>
      <c r="D16">
        <v>1188.134</v>
      </c>
      <c r="E16">
        <v>806.68730000000005</v>
      </c>
      <c r="F16">
        <v>602.63530000000003</v>
      </c>
      <c r="G16">
        <v>471.74</v>
      </c>
      <c r="H16">
        <v>385.77</v>
      </c>
      <c r="I16">
        <v>329.26350000000002</v>
      </c>
      <c r="J16">
        <v>290.18169999999998</v>
      </c>
      <c r="K16">
        <v>254.36519999999999</v>
      </c>
      <c r="L16">
        <v>225.6026</v>
      </c>
      <c r="M16">
        <v>207.0198</v>
      </c>
      <c r="N16">
        <v>191.50370000000001</v>
      </c>
      <c r="O16">
        <v>176.21109999999999</v>
      </c>
      <c r="P16">
        <v>161.69749999999999</v>
      </c>
      <c r="Q16">
        <v>151.04050000000001</v>
      </c>
      <c r="R16">
        <v>141.70529999999999</v>
      </c>
      <c r="S16">
        <v>133.59540000000001</v>
      </c>
      <c r="T16">
        <v>127.7021</v>
      </c>
      <c r="U16">
        <v>122.5239</v>
      </c>
    </row>
    <row r="17" spans="1:21">
      <c r="A17" t="s">
        <v>14</v>
      </c>
      <c r="B17">
        <v>4028.04</v>
      </c>
      <c r="C17">
        <v>2222.4580000000001</v>
      </c>
      <c r="D17">
        <v>1200.9649999999999</v>
      </c>
      <c r="E17">
        <v>803.35109999999997</v>
      </c>
      <c r="F17">
        <v>600.06650000000002</v>
      </c>
      <c r="G17">
        <v>473.4221</v>
      </c>
      <c r="H17">
        <v>389.81310000000002</v>
      </c>
      <c r="I17">
        <v>333.46870000000001</v>
      </c>
      <c r="J17">
        <v>285.69349999999997</v>
      </c>
      <c r="K17">
        <v>257.73700000000002</v>
      </c>
      <c r="L17">
        <v>228.20750000000001</v>
      </c>
      <c r="M17">
        <v>205.4409</v>
      </c>
      <c r="N17">
        <v>191.82679999999999</v>
      </c>
      <c r="O17">
        <v>178.13509999999999</v>
      </c>
      <c r="P17">
        <v>165.64340000000001</v>
      </c>
      <c r="Q17">
        <v>154.6986</v>
      </c>
      <c r="R17">
        <v>145.65430000000001</v>
      </c>
      <c r="S17">
        <v>137.28530000000001</v>
      </c>
      <c r="T17">
        <v>130.6841</v>
      </c>
      <c r="U17">
        <v>124.0979</v>
      </c>
    </row>
    <row r="18" spans="1:21">
      <c r="A18" t="s">
        <v>15</v>
      </c>
      <c r="B18">
        <v>4023.5650000000001</v>
      </c>
      <c r="C18">
        <v>2229.3490000000002</v>
      </c>
      <c r="D18">
        <v>1224.4649999999999</v>
      </c>
      <c r="E18">
        <v>824.95060000000001</v>
      </c>
      <c r="F18">
        <v>603.40959999999995</v>
      </c>
      <c r="G18">
        <v>474.44040000000001</v>
      </c>
      <c r="H18">
        <v>393.42700000000002</v>
      </c>
      <c r="I18">
        <v>337.6354</v>
      </c>
      <c r="J18">
        <v>291.38979999999998</v>
      </c>
      <c r="K18">
        <v>261.73509999999999</v>
      </c>
      <c r="L18">
        <v>232.0171</v>
      </c>
      <c r="M18">
        <v>211.3759</v>
      </c>
      <c r="N18">
        <v>195.40979999999999</v>
      </c>
      <c r="O18">
        <v>176.81610000000001</v>
      </c>
      <c r="P18">
        <v>163.38040000000001</v>
      </c>
      <c r="Q18">
        <v>153.91460000000001</v>
      </c>
      <c r="R18">
        <v>144.75919999999999</v>
      </c>
      <c r="S18">
        <v>136.4442</v>
      </c>
      <c r="T18">
        <v>130.9991</v>
      </c>
      <c r="U18">
        <v>124.43089999999999</v>
      </c>
    </row>
    <row r="19" spans="1:21">
      <c r="A19" t="s">
        <v>16</v>
      </c>
      <c r="B19">
        <v>8479.1479999999992</v>
      </c>
      <c r="C19">
        <v>5456.8879999999999</v>
      </c>
      <c r="D19">
        <v>3202.0740000000001</v>
      </c>
      <c r="E19">
        <v>2172.6770000000001</v>
      </c>
      <c r="F19">
        <v>1600.606</v>
      </c>
      <c r="G19">
        <v>1261.3130000000001</v>
      </c>
      <c r="H19">
        <v>1027.1790000000001</v>
      </c>
      <c r="I19">
        <v>865.40459999999996</v>
      </c>
      <c r="J19">
        <v>747.2953</v>
      </c>
      <c r="K19">
        <v>650.77639999999997</v>
      </c>
      <c r="L19">
        <v>580.0231</v>
      </c>
      <c r="M19">
        <v>521.56849999999997</v>
      </c>
      <c r="N19">
        <v>469.7475</v>
      </c>
      <c r="O19">
        <v>430.83730000000003</v>
      </c>
      <c r="P19">
        <v>401.76150000000001</v>
      </c>
      <c r="Q19">
        <v>375.25659999999999</v>
      </c>
      <c r="R19">
        <v>350.24979999999999</v>
      </c>
      <c r="S19">
        <v>326.56880000000001</v>
      </c>
      <c r="T19">
        <v>304.57929999999999</v>
      </c>
      <c r="U19">
        <v>294.87860000000001</v>
      </c>
    </row>
    <row r="20" spans="1:21">
      <c r="A20" t="s">
        <v>17</v>
      </c>
      <c r="B20">
        <v>8584.5640000000003</v>
      </c>
      <c r="C20">
        <v>5564.6679999999997</v>
      </c>
      <c r="D20">
        <v>3237.1089999999999</v>
      </c>
      <c r="E20">
        <v>2155.6309999999999</v>
      </c>
      <c r="F20">
        <v>1584.8119999999999</v>
      </c>
      <c r="G20">
        <v>1238.5050000000001</v>
      </c>
      <c r="H20">
        <v>1011.49</v>
      </c>
      <c r="I20">
        <v>852.3374</v>
      </c>
      <c r="J20">
        <v>734.41079999999999</v>
      </c>
      <c r="K20">
        <v>650.2079</v>
      </c>
      <c r="L20">
        <v>582.94770000000005</v>
      </c>
      <c r="M20">
        <v>522.72490000000005</v>
      </c>
      <c r="N20">
        <v>475.87520000000001</v>
      </c>
      <c r="O20">
        <v>438.25259999999997</v>
      </c>
      <c r="P20">
        <v>401.07490000000001</v>
      </c>
      <c r="Q20">
        <v>374.40899999999999</v>
      </c>
      <c r="R20">
        <v>353.25299999999999</v>
      </c>
      <c r="S20">
        <v>332.47399999999999</v>
      </c>
      <c r="T20">
        <v>312.31240000000003</v>
      </c>
      <c r="U20">
        <v>299.97680000000003</v>
      </c>
    </row>
    <row r="21" spans="1:21">
      <c r="A21" t="s">
        <v>18</v>
      </c>
      <c r="B21">
        <v>8619.8349999999991</v>
      </c>
      <c r="C21">
        <v>5576.5959999999995</v>
      </c>
      <c r="D21">
        <v>3255.5369999999998</v>
      </c>
      <c r="E21">
        <v>2155.1320000000001</v>
      </c>
      <c r="F21">
        <v>1583.14</v>
      </c>
      <c r="G21">
        <v>1244.5550000000001</v>
      </c>
      <c r="H21">
        <v>1007.421</v>
      </c>
      <c r="I21">
        <v>852.7876</v>
      </c>
      <c r="J21">
        <v>739.55849999999998</v>
      </c>
      <c r="K21">
        <v>652.65329999999994</v>
      </c>
      <c r="L21">
        <v>580.79819999999995</v>
      </c>
      <c r="M21">
        <v>523.85889999999995</v>
      </c>
      <c r="N21">
        <v>476.66160000000002</v>
      </c>
      <c r="O21">
        <v>441.57749999999999</v>
      </c>
      <c r="P21">
        <v>411.71910000000003</v>
      </c>
      <c r="Q21">
        <v>383.10899999999998</v>
      </c>
      <c r="R21">
        <v>360.20929999999998</v>
      </c>
      <c r="S21">
        <v>341.22629999999998</v>
      </c>
      <c r="T21">
        <v>316.64580000000001</v>
      </c>
      <c r="U21">
        <v>300.36689999999999</v>
      </c>
    </row>
    <row r="22" spans="1:21">
      <c r="A22" t="s">
        <v>19</v>
      </c>
      <c r="B22">
        <v>8416.6460000000006</v>
      </c>
      <c r="C22">
        <v>5464.5439999999999</v>
      </c>
      <c r="D22">
        <v>3236.7359999999999</v>
      </c>
      <c r="E22">
        <v>2163.86</v>
      </c>
      <c r="F22">
        <v>1591.5989999999999</v>
      </c>
      <c r="G22">
        <v>1256.5830000000001</v>
      </c>
      <c r="H22">
        <v>1028.845</v>
      </c>
      <c r="I22">
        <v>863.22709999999995</v>
      </c>
      <c r="J22">
        <v>743.67409999999995</v>
      </c>
      <c r="K22">
        <v>648.11670000000004</v>
      </c>
      <c r="L22">
        <v>573.34090000000003</v>
      </c>
      <c r="M22">
        <v>523.0865</v>
      </c>
      <c r="N22">
        <v>476.73289999999997</v>
      </c>
      <c r="O22">
        <v>438.7072</v>
      </c>
      <c r="P22">
        <v>408.56900000000002</v>
      </c>
      <c r="Q22">
        <v>382.97089999999997</v>
      </c>
      <c r="R22">
        <v>356.19009999999997</v>
      </c>
      <c r="S22">
        <v>335.06099999999998</v>
      </c>
      <c r="T22">
        <v>316.50850000000003</v>
      </c>
      <c r="U22">
        <v>300.7527</v>
      </c>
    </row>
    <row r="23" spans="1:21">
      <c r="A23" t="s">
        <v>20</v>
      </c>
      <c r="B23">
        <v>8594.7849999999999</v>
      </c>
      <c r="C23">
        <v>5589.5720000000001</v>
      </c>
      <c r="D23">
        <v>3250.8789999999999</v>
      </c>
      <c r="E23">
        <v>2155.2849999999999</v>
      </c>
      <c r="F23">
        <v>1588.46</v>
      </c>
      <c r="G23">
        <v>1243.442</v>
      </c>
      <c r="H23">
        <v>1010.104</v>
      </c>
      <c r="I23">
        <v>856.55629999999996</v>
      </c>
      <c r="J23">
        <v>739.50519999999995</v>
      </c>
      <c r="K23">
        <v>649.24869999999999</v>
      </c>
      <c r="L23">
        <v>582.54790000000003</v>
      </c>
      <c r="M23">
        <v>523.58550000000002</v>
      </c>
      <c r="N23">
        <v>476.68619999999999</v>
      </c>
      <c r="O23">
        <v>436.04450000000003</v>
      </c>
      <c r="P23">
        <v>405.3229</v>
      </c>
      <c r="Q23">
        <v>376.15010000000001</v>
      </c>
      <c r="R23">
        <v>349.87830000000002</v>
      </c>
      <c r="S23">
        <v>331.9821</v>
      </c>
      <c r="T23">
        <v>310.22570000000002</v>
      </c>
      <c r="U23">
        <v>298.00599999999997</v>
      </c>
    </row>
    <row r="24" spans="1:21">
      <c r="A24" t="s">
        <v>21</v>
      </c>
      <c r="B24">
        <v>8416.3770000000004</v>
      </c>
      <c r="C24">
        <v>5488.326</v>
      </c>
      <c r="D24">
        <v>3208.3139999999999</v>
      </c>
      <c r="E24">
        <v>2177.8809999999999</v>
      </c>
      <c r="F24">
        <v>1608.4280000000001</v>
      </c>
      <c r="G24">
        <v>1255.117</v>
      </c>
      <c r="H24">
        <v>1017.7809999999999</v>
      </c>
      <c r="I24">
        <v>861.74260000000004</v>
      </c>
      <c r="J24">
        <v>745.37940000000003</v>
      </c>
      <c r="K24">
        <v>655.54039999999998</v>
      </c>
      <c r="L24">
        <v>582.69529999999997</v>
      </c>
      <c r="M24">
        <v>527.19079999999997</v>
      </c>
      <c r="N24">
        <v>482.09930000000003</v>
      </c>
      <c r="O24">
        <v>444.29860000000002</v>
      </c>
      <c r="P24">
        <v>412.74669999999998</v>
      </c>
      <c r="Q24">
        <v>385.99709999999999</v>
      </c>
      <c r="R24">
        <v>359.358</v>
      </c>
      <c r="S24">
        <v>339.04669999999999</v>
      </c>
      <c r="T24">
        <v>318.9504</v>
      </c>
      <c r="U24">
        <v>304.99990000000003</v>
      </c>
    </row>
    <row r="25" spans="1:21">
      <c r="A25" t="s">
        <v>34</v>
      </c>
      <c r="B25">
        <v>8582.6049999999996</v>
      </c>
      <c r="C25">
        <v>5580.8360000000002</v>
      </c>
      <c r="D25">
        <v>3256.0740000000001</v>
      </c>
      <c r="E25">
        <v>2153.2759999999998</v>
      </c>
      <c r="F25">
        <v>1593.9380000000001</v>
      </c>
      <c r="G25">
        <v>1245.7380000000001</v>
      </c>
      <c r="H25">
        <v>1011.285</v>
      </c>
      <c r="I25">
        <v>853.62630000000001</v>
      </c>
      <c r="J25">
        <v>739.49900000000002</v>
      </c>
      <c r="K25">
        <v>647.83969999999999</v>
      </c>
      <c r="L25">
        <v>574.16330000000005</v>
      </c>
      <c r="M25">
        <v>518.97159999999997</v>
      </c>
      <c r="N25">
        <v>473.1884</v>
      </c>
      <c r="O25">
        <v>438.26839999999999</v>
      </c>
      <c r="P25">
        <v>404.65839999999997</v>
      </c>
      <c r="Q25">
        <v>377.5401</v>
      </c>
      <c r="R25">
        <v>353.50470000000001</v>
      </c>
      <c r="S25">
        <v>332.589</v>
      </c>
      <c r="T25">
        <v>311.02449999999999</v>
      </c>
      <c r="U25">
        <v>296.99680000000001</v>
      </c>
    </row>
    <row r="26" spans="1:21">
      <c r="A26" t="s">
        <v>22</v>
      </c>
      <c r="B26">
        <v>7381.0940000000001</v>
      </c>
      <c r="C26">
        <v>3944.6610000000001</v>
      </c>
      <c r="D26">
        <v>2108.5340000000001</v>
      </c>
      <c r="E26">
        <v>1346.992</v>
      </c>
      <c r="F26">
        <v>948.97709999999995</v>
      </c>
      <c r="G26">
        <v>727.78629999999998</v>
      </c>
      <c r="H26">
        <v>587.53610000000003</v>
      </c>
      <c r="I26">
        <v>486.25119999999998</v>
      </c>
      <c r="J26">
        <v>412.15789999999998</v>
      </c>
      <c r="K26">
        <v>362.74360000000001</v>
      </c>
      <c r="L26">
        <v>318.45089999999999</v>
      </c>
      <c r="M26">
        <v>289.24549999999999</v>
      </c>
      <c r="N26">
        <v>266.99970000000002</v>
      </c>
      <c r="O26">
        <v>241.2996</v>
      </c>
      <c r="P26">
        <v>223.82849999999999</v>
      </c>
      <c r="Q26">
        <v>207.49420000000001</v>
      </c>
      <c r="R26">
        <v>191.79509999999999</v>
      </c>
      <c r="S26">
        <v>178.70609999999999</v>
      </c>
      <c r="T26">
        <v>168.33709999999999</v>
      </c>
      <c r="U26">
        <v>159.6611</v>
      </c>
    </row>
    <row r="27" spans="1:21">
      <c r="A27" t="s">
        <v>23</v>
      </c>
      <c r="B27">
        <v>8382.0550000000003</v>
      </c>
      <c r="C27">
        <v>5450.8220000000001</v>
      </c>
      <c r="D27">
        <v>3180.7959999999998</v>
      </c>
      <c r="E27">
        <v>2149.9839999999999</v>
      </c>
      <c r="F27">
        <v>1579.5830000000001</v>
      </c>
      <c r="G27">
        <v>1238.3320000000001</v>
      </c>
      <c r="H27">
        <v>1011.587</v>
      </c>
      <c r="I27">
        <v>849.30579999999998</v>
      </c>
      <c r="J27">
        <v>741.64200000000005</v>
      </c>
      <c r="K27">
        <v>647.70860000000005</v>
      </c>
      <c r="L27">
        <v>582.48599999999999</v>
      </c>
      <c r="M27">
        <v>520.2799</v>
      </c>
      <c r="N27">
        <v>472.53710000000001</v>
      </c>
      <c r="O27">
        <v>435.74090000000001</v>
      </c>
      <c r="P27">
        <v>402.9402</v>
      </c>
      <c r="Q27">
        <v>382.52409999999998</v>
      </c>
      <c r="R27">
        <v>355.92290000000003</v>
      </c>
      <c r="S27">
        <v>332.4187</v>
      </c>
      <c r="T27">
        <v>314.32569999999998</v>
      </c>
      <c r="U27">
        <v>301.80689999999998</v>
      </c>
    </row>
    <row r="28" spans="1:21">
      <c r="A28" t="s">
        <v>24</v>
      </c>
      <c r="B28">
        <v>8422.7890000000007</v>
      </c>
      <c r="C28">
        <v>5482.0950000000003</v>
      </c>
      <c r="D28">
        <v>3218.3939999999998</v>
      </c>
      <c r="E28">
        <v>2158.2530000000002</v>
      </c>
      <c r="F28">
        <v>1603.374</v>
      </c>
      <c r="G28">
        <v>1253.1849999999999</v>
      </c>
      <c r="H28">
        <v>1018.172</v>
      </c>
      <c r="I28">
        <v>862.80849999999998</v>
      </c>
      <c r="J28">
        <v>752.91470000000004</v>
      </c>
      <c r="K28">
        <v>657.61479999999995</v>
      </c>
      <c r="L28">
        <v>586.24429999999995</v>
      </c>
      <c r="M28">
        <v>525.8768</v>
      </c>
      <c r="N28">
        <v>480.72879999999998</v>
      </c>
      <c r="O28">
        <v>441.06920000000002</v>
      </c>
      <c r="P28">
        <v>407.42840000000001</v>
      </c>
      <c r="Q28">
        <v>377.82530000000003</v>
      </c>
      <c r="R28">
        <v>354.87779999999998</v>
      </c>
      <c r="S28">
        <v>335.00799999999998</v>
      </c>
      <c r="T28">
        <v>317.39760000000001</v>
      </c>
      <c r="U28">
        <v>300.51990000000001</v>
      </c>
    </row>
    <row r="29" spans="1:21">
      <c r="A29" t="s">
        <v>25</v>
      </c>
      <c r="B29">
        <v>9225.598</v>
      </c>
      <c r="C29">
        <v>6045.1589999999997</v>
      </c>
      <c r="D29">
        <v>3603.3960000000002</v>
      </c>
      <c r="E29">
        <v>2472.933</v>
      </c>
      <c r="F29">
        <v>1817.7950000000001</v>
      </c>
      <c r="G29">
        <v>1427.068</v>
      </c>
      <c r="H29">
        <v>1163.192</v>
      </c>
      <c r="I29">
        <v>972.92989999999998</v>
      </c>
      <c r="J29">
        <v>832.93520000000001</v>
      </c>
      <c r="K29">
        <v>739.06560000000002</v>
      </c>
      <c r="L29">
        <v>656.76790000000005</v>
      </c>
      <c r="M29">
        <v>595.35580000000004</v>
      </c>
      <c r="N29">
        <v>540.44830000000002</v>
      </c>
      <c r="O29">
        <v>497.21899999999999</v>
      </c>
      <c r="P29">
        <v>458.815</v>
      </c>
      <c r="Q29">
        <v>428.47480000000002</v>
      </c>
      <c r="R29">
        <v>401.69510000000002</v>
      </c>
      <c r="S29">
        <v>381.65069999999997</v>
      </c>
      <c r="T29">
        <v>359.17239999999998</v>
      </c>
      <c r="U29">
        <v>342.32420000000002</v>
      </c>
    </row>
    <row r="30" spans="1:21">
      <c r="A30" t="s">
        <v>26</v>
      </c>
      <c r="B30">
        <v>8701.6910000000007</v>
      </c>
      <c r="C30">
        <v>5366.4709999999995</v>
      </c>
      <c r="D30">
        <v>2946.7629999999999</v>
      </c>
      <c r="E30">
        <v>1973.771</v>
      </c>
      <c r="F30">
        <v>1438.414</v>
      </c>
      <c r="G30">
        <v>1097.9860000000001</v>
      </c>
      <c r="H30">
        <v>889.84720000000004</v>
      </c>
      <c r="I30">
        <v>738.33010000000002</v>
      </c>
      <c r="J30">
        <v>623.51800000000003</v>
      </c>
      <c r="K30">
        <v>542.09690000000001</v>
      </c>
      <c r="L30">
        <v>477.71910000000003</v>
      </c>
      <c r="M30">
        <v>425.1481</v>
      </c>
      <c r="N30">
        <v>382.49810000000002</v>
      </c>
      <c r="O30">
        <v>348.32089999999999</v>
      </c>
      <c r="P30">
        <v>317.7432</v>
      </c>
      <c r="Q30">
        <v>297.22019999999998</v>
      </c>
      <c r="R30">
        <v>276.66079999999999</v>
      </c>
      <c r="S30">
        <v>257.37389999999999</v>
      </c>
      <c r="T30">
        <v>243.91820000000001</v>
      </c>
      <c r="U30">
        <v>230.21680000000001</v>
      </c>
    </row>
    <row r="31" spans="1:21">
      <c r="A31" t="s">
        <v>27</v>
      </c>
      <c r="B31">
        <v>8731.1299999999992</v>
      </c>
      <c r="C31">
        <v>5242.9179999999997</v>
      </c>
      <c r="D31">
        <v>2993.3690000000001</v>
      </c>
      <c r="E31">
        <v>1989.463</v>
      </c>
      <c r="F31">
        <v>1442.2760000000001</v>
      </c>
      <c r="G31">
        <v>1096.1320000000001</v>
      </c>
      <c r="H31">
        <v>880.08489999999995</v>
      </c>
      <c r="I31">
        <v>727.17349999999999</v>
      </c>
      <c r="J31">
        <v>614.68269999999995</v>
      </c>
      <c r="K31">
        <v>534.57669999999996</v>
      </c>
      <c r="L31">
        <v>467.98770000000002</v>
      </c>
      <c r="M31">
        <v>416.61329999999998</v>
      </c>
      <c r="N31">
        <v>374.41129999999998</v>
      </c>
      <c r="O31">
        <v>343.80009999999999</v>
      </c>
      <c r="P31">
        <v>313.71069999999997</v>
      </c>
      <c r="Q31">
        <v>286.91609999999997</v>
      </c>
      <c r="R31">
        <v>266.02460000000002</v>
      </c>
      <c r="S31">
        <v>248.8629</v>
      </c>
      <c r="T31">
        <v>234.24440000000001</v>
      </c>
      <c r="U31">
        <v>222.46889999999999</v>
      </c>
    </row>
    <row r="32" spans="1:21">
      <c r="A32" t="s">
        <v>28</v>
      </c>
      <c r="B32">
        <v>7915.5379999999996</v>
      </c>
      <c r="C32">
        <v>4158.3720000000003</v>
      </c>
      <c r="D32">
        <v>2055.134</v>
      </c>
      <c r="E32">
        <v>1275.787</v>
      </c>
      <c r="F32">
        <v>897.5326</v>
      </c>
      <c r="G32">
        <v>681.93589999999995</v>
      </c>
      <c r="H32">
        <v>546.08699999999999</v>
      </c>
      <c r="I32">
        <v>440.1345</v>
      </c>
      <c r="J32">
        <v>365.85629999999998</v>
      </c>
      <c r="K32">
        <v>311.52589999999998</v>
      </c>
      <c r="L32">
        <v>272.48910000000001</v>
      </c>
      <c r="M32">
        <v>242.5428</v>
      </c>
      <c r="N32">
        <v>220.45949999999999</v>
      </c>
      <c r="O32">
        <v>202.88489999999999</v>
      </c>
      <c r="P32">
        <v>181.8014</v>
      </c>
      <c r="Q32">
        <v>168.5745</v>
      </c>
      <c r="R32">
        <v>155.9812</v>
      </c>
      <c r="S32">
        <v>143.61019999999999</v>
      </c>
      <c r="T32">
        <v>134.2612</v>
      </c>
      <c r="U32">
        <v>125.13500000000001</v>
      </c>
    </row>
    <row r="33" spans="1:21">
      <c r="A33" t="s">
        <v>29</v>
      </c>
      <c r="B33">
        <v>7718.3289999999997</v>
      </c>
      <c r="C33">
        <v>3938.681</v>
      </c>
      <c r="D33">
        <v>1962.4749999999999</v>
      </c>
      <c r="E33">
        <v>1226.241</v>
      </c>
      <c r="F33">
        <v>884.81269999999995</v>
      </c>
      <c r="G33">
        <v>672.03549999999996</v>
      </c>
      <c r="H33">
        <v>527.51319999999998</v>
      </c>
      <c r="I33">
        <v>428.90429999999998</v>
      </c>
      <c r="J33">
        <v>363.15809999999999</v>
      </c>
      <c r="K33">
        <v>312.57130000000001</v>
      </c>
      <c r="L33">
        <v>272.8766</v>
      </c>
      <c r="M33">
        <v>238.36199999999999</v>
      </c>
      <c r="N33">
        <v>216.9453</v>
      </c>
      <c r="O33">
        <v>194.1327</v>
      </c>
      <c r="P33">
        <v>175.0575</v>
      </c>
      <c r="Q33">
        <v>162.52549999999999</v>
      </c>
      <c r="R33">
        <v>150.58109999999999</v>
      </c>
      <c r="S33">
        <v>139.68819999999999</v>
      </c>
      <c r="T33">
        <v>130.9853</v>
      </c>
      <c r="U33">
        <v>123.5091</v>
      </c>
    </row>
    <row r="34" spans="1:21">
      <c r="A34" t="s">
        <v>30</v>
      </c>
      <c r="B34">
        <v>7674.57</v>
      </c>
      <c r="C34">
        <v>3898.6030000000001</v>
      </c>
      <c r="D34">
        <v>1956.4259999999999</v>
      </c>
      <c r="E34">
        <v>1239.6769999999999</v>
      </c>
      <c r="F34">
        <v>878.86659999999995</v>
      </c>
      <c r="G34">
        <v>664.22029999999995</v>
      </c>
      <c r="H34">
        <v>529.35630000000003</v>
      </c>
      <c r="I34">
        <v>431.86369999999999</v>
      </c>
      <c r="J34">
        <v>362.00920000000002</v>
      </c>
      <c r="K34">
        <v>309.63839999999999</v>
      </c>
      <c r="L34">
        <v>268.70069999999998</v>
      </c>
      <c r="M34">
        <v>237.648</v>
      </c>
      <c r="N34">
        <v>215.44929999999999</v>
      </c>
      <c r="O34">
        <v>194.23869999999999</v>
      </c>
      <c r="P34">
        <v>180.00450000000001</v>
      </c>
      <c r="Q34">
        <v>165.62450000000001</v>
      </c>
      <c r="R34">
        <v>151.78720000000001</v>
      </c>
      <c r="S34">
        <v>141.15719999999999</v>
      </c>
      <c r="T34">
        <v>132.2022</v>
      </c>
      <c r="U34">
        <v>125.20010000000001</v>
      </c>
    </row>
    <row r="35" spans="1:21">
      <c r="A35" t="s">
        <v>31</v>
      </c>
      <c r="B35">
        <v>19093.8</v>
      </c>
      <c r="C35">
        <v>12497.15</v>
      </c>
      <c r="D35">
        <v>7512.5709999999999</v>
      </c>
      <c r="E35">
        <v>5117.0540000000001</v>
      </c>
      <c r="F35">
        <v>3770.2370000000001</v>
      </c>
      <c r="G35">
        <v>2908.7579999999998</v>
      </c>
      <c r="H35">
        <v>2320.5439999999999</v>
      </c>
      <c r="I35">
        <v>1901.287</v>
      </c>
      <c r="J35">
        <v>1574.991</v>
      </c>
      <c r="K35">
        <v>1337.413</v>
      </c>
      <c r="L35">
        <v>1169.309</v>
      </c>
      <c r="M35">
        <v>1041.2260000000001</v>
      </c>
      <c r="N35">
        <v>926.00419999999997</v>
      </c>
      <c r="O35">
        <v>831.67750000000001</v>
      </c>
      <c r="P35">
        <v>758.55550000000005</v>
      </c>
      <c r="Q35">
        <v>700.60749999999996</v>
      </c>
      <c r="R35">
        <v>637.41719999999998</v>
      </c>
      <c r="S35">
        <v>589.81299999999999</v>
      </c>
      <c r="T35">
        <v>549.80150000000003</v>
      </c>
      <c r="U35">
        <v>524.52390000000003</v>
      </c>
    </row>
    <row r="36" spans="1:21">
      <c r="A36" t="s">
        <v>32</v>
      </c>
      <c r="B36">
        <v>19947.099999999999</v>
      </c>
      <c r="C36">
        <v>13047.42</v>
      </c>
      <c r="D36">
        <v>7852.951</v>
      </c>
      <c r="E36">
        <v>5352.21</v>
      </c>
      <c r="F36">
        <v>3952.22</v>
      </c>
      <c r="G36">
        <v>3054.8789999999999</v>
      </c>
      <c r="H36">
        <v>2454.8710000000001</v>
      </c>
      <c r="I36">
        <v>2017.194</v>
      </c>
      <c r="J36">
        <v>1701.4680000000001</v>
      </c>
      <c r="K36">
        <v>1459.9280000000001</v>
      </c>
      <c r="L36">
        <v>1280.4680000000001</v>
      </c>
      <c r="M36">
        <v>1135.4939999999999</v>
      </c>
      <c r="N36">
        <v>1015.4930000000001</v>
      </c>
      <c r="O36">
        <v>916.55880000000002</v>
      </c>
      <c r="P36">
        <v>834.68679999999995</v>
      </c>
      <c r="Q36">
        <v>770.41729999999995</v>
      </c>
      <c r="R36">
        <v>698.02170000000001</v>
      </c>
      <c r="S36">
        <v>646.21619999999996</v>
      </c>
      <c r="T36">
        <v>608.84939999999995</v>
      </c>
      <c r="U36">
        <v>569.00630000000001</v>
      </c>
    </row>
    <row r="37" spans="1:21">
      <c r="A37" t="s">
        <v>33</v>
      </c>
      <c r="B37">
        <v>20895</v>
      </c>
      <c r="C37">
        <v>14004.78</v>
      </c>
      <c r="D37">
        <v>8545.5540000000001</v>
      </c>
      <c r="E37">
        <v>5836.4979999999996</v>
      </c>
      <c r="F37">
        <v>4318.433</v>
      </c>
      <c r="G37">
        <v>3357.7379999999998</v>
      </c>
      <c r="H37">
        <v>2701.5050000000001</v>
      </c>
      <c r="I37">
        <v>2258.6179999999999</v>
      </c>
      <c r="J37">
        <v>1914.1990000000001</v>
      </c>
      <c r="K37">
        <v>1652.01</v>
      </c>
      <c r="L37">
        <v>1458.383</v>
      </c>
      <c r="M37">
        <v>1290.0619999999999</v>
      </c>
      <c r="N37">
        <v>1149.6500000000001</v>
      </c>
      <c r="O37">
        <v>1042.115</v>
      </c>
      <c r="P37">
        <v>954.12990000000002</v>
      </c>
      <c r="Q37">
        <v>876.77419999999995</v>
      </c>
      <c r="R37">
        <v>805.22820000000002</v>
      </c>
      <c r="S37">
        <v>743.49180000000001</v>
      </c>
      <c r="T37">
        <v>714.42650000000003</v>
      </c>
      <c r="U37">
        <v>671.89009999999996</v>
      </c>
    </row>
  </sheetData>
  <phoneticPr fontId="0" type="noConversion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22"/>
  <dimension ref="A1:X37"/>
  <sheetViews>
    <sheetView zoomScale="75" zoomScaleNormal="75" workbookViewId="0">
      <selection activeCell="AD11" sqref="AD11"/>
    </sheetView>
  </sheetViews>
  <sheetFormatPr defaultRowHeight="15"/>
  <sheetData>
    <row r="1" spans="1:24">
      <c r="A1" s="1"/>
      <c r="B1" s="1" t="str">
        <f>"Shape_factor_1.4A"</f>
        <v>Shape_factor_1.4A</v>
      </c>
      <c r="C1" s="1" t="str">
        <f>"Shape_factor_2A"</f>
        <v>Shape_factor_2A</v>
      </c>
      <c r="D1" s="1" t="str">
        <f>"Shape_factor_3A"</f>
        <v>Shape_factor_3A</v>
      </c>
      <c r="E1" s="1" t="str">
        <f>"Shape_factor_4A"</f>
        <v>Shape_factor_4A</v>
      </c>
      <c r="F1" s="1" t="str">
        <f>"Shape_factor_5A"</f>
        <v>Shape_factor_5A</v>
      </c>
      <c r="G1" s="1" t="str">
        <f>"Shape_factor_6A"</f>
        <v>Shape_factor_6A</v>
      </c>
      <c r="H1" s="1" t="str">
        <f>"Shape_factor_7A"</f>
        <v>Shape_factor_7A</v>
      </c>
      <c r="I1" s="1" t="str">
        <f>"Shape_factor_8A"</f>
        <v>Shape_factor_8A</v>
      </c>
      <c r="J1" s="1" t="str">
        <f>"Shape_factor_9A"</f>
        <v>Shape_factor_9A</v>
      </c>
      <c r="K1" s="1" t="str">
        <f>"Shape_factor_10A"</f>
        <v>Shape_factor_10A</v>
      </c>
      <c r="L1" s="1" t="str">
        <f>"Shape_factor_11A"</f>
        <v>Shape_factor_11A</v>
      </c>
      <c r="M1" s="1" t="str">
        <f>"Shape_factor_12A"</f>
        <v>Shape_factor_12A</v>
      </c>
      <c r="N1" s="1" t="str">
        <f>"Shape_factor_13A"</f>
        <v>Shape_factor_13A</v>
      </c>
      <c r="O1" s="1" t="str">
        <f>"Shape_factor_14A"</f>
        <v>Shape_factor_14A</v>
      </c>
      <c r="P1" s="1" t="str">
        <f>"Shape_factor_15A"</f>
        <v>Shape_factor_15A</v>
      </c>
      <c r="Q1" s="1" t="str">
        <f>"Shape_factor_16A"</f>
        <v>Shape_factor_16A</v>
      </c>
      <c r="R1" s="1" t="str">
        <f>"Shape_factor_17A"</f>
        <v>Shape_factor_17A</v>
      </c>
      <c r="S1" s="1" t="str">
        <f>"Shape_factor_18A"</f>
        <v>Shape_factor_18A</v>
      </c>
      <c r="T1" s="1" t="str">
        <f>"Shape_factor_19A"</f>
        <v>Shape_factor_19A</v>
      </c>
      <c r="U1" s="1" t="str">
        <f>"Shape_factor_20A"</f>
        <v>Shape_factor_20A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2.1095717192268566</v>
      </c>
      <c r="C3">
        <v>1.4280600203458798</v>
      </c>
      <c r="D3">
        <v>0.89807873855544262</v>
      </c>
      <c r="E3">
        <v>0.63309359104781282</v>
      </c>
      <c r="F3">
        <v>0.47561149542217701</v>
      </c>
      <c r="G3">
        <v>0.38351597151576805</v>
      </c>
      <c r="H3">
        <v>0.32280661241098674</v>
      </c>
      <c r="I3">
        <v>0.27783967446592067</v>
      </c>
      <c r="J3">
        <v>0.24465300101729398</v>
      </c>
      <c r="K3">
        <v>0.21746469989827058</v>
      </c>
      <c r="L3">
        <v>0.19487761953204474</v>
      </c>
      <c r="M3">
        <v>0.17868067141403865</v>
      </c>
      <c r="N3">
        <v>0.16515961342828078</v>
      </c>
      <c r="O3">
        <v>0.15188596134282809</v>
      </c>
      <c r="P3">
        <v>0.14099796541200407</v>
      </c>
      <c r="Q3">
        <v>0.13127141403865719</v>
      </c>
      <c r="R3">
        <v>0.12298158697863683</v>
      </c>
      <c r="S3">
        <v>0.11717589013224822</v>
      </c>
      <c r="T3">
        <v>0.11435188199389623</v>
      </c>
      <c r="U3">
        <v>0.1121738555442523</v>
      </c>
    </row>
    <row r="4" spans="1:24">
      <c r="A4" t="s">
        <v>1</v>
      </c>
      <c r="B4">
        <v>2.1891714743589743</v>
      </c>
      <c r="C4">
        <v>1.4514671474358976</v>
      </c>
      <c r="D4">
        <v>0.86689022435897434</v>
      </c>
      <c r="E4">
        <v>0.59344262820512816</v>
      </c>
      <c r="F4">
        <v>0.4436010416666667</v>
      </c>
      <c r="G4">
        <v>0.35174030448717947</v>
      </c>
      <c r="H4">
        <v>0.29770721153846152</v>
      </c>
      <c r="I4">
        <v>0.25393886217948719</v>
      </c>
      <c r="J4">
        <v>0.22037491987179486</v>
      </c>
      <c r="K4">
        <v>0.19570729166666667</v>
      </c>
      <c r="L4">
        <v>0.17641346153846152</v>
      </c>
      <c r="M4">
        <v>0.1559647435897436</v>
      </c>
      <c r="N4">
        <v>0.14313774038461538</v>
      </c>
      <c r="O4">
        <v>0.134134375</v>
      </c>
      <c r="P4">
        <v>0.1240158653846154</v>
      </c>
      <c r="Q4">
        <v>0.1159590544871795</v>
      </c>
      <c r="R4">
        <v>0.10778766025641026</v>
      </c>
      <c r="S4">
        <v>0.10161682692307693</v>
      </c>
      <c r="T4">
        <v>9.7672195512820512E-2</v>
      </c>
      <c r="U4">
        <v>9.3826842948717945E-2</v>
      </c>
    </row>
    <row r="5" spans="1:24">
      <c r="A5" t="s">
        <v>2</v>
      </c>
      <c r="B5">
        <v>1.877982982171799</v>
      </c>
      <c r="C5">
        <v>1.2497617504051863</v>
      </c>
      <c r="D5">
        <v>0.78291166936790924</v>
      </c>
      <c r="E5">
        <v>0.54955956239870341</v>
      </c>
      <c r="F5">
        <v>0.41685737439222048</v>
      </c>
      <c r="G5">
        <v>0.3320257698541329</v>
      </c>
      <c r="H5">
        <v>0.27282058346839544</v>
      </c>
      <c r="I5">
        <v>0.23280761750405188</v>
      </c>
      <c r="J5">
        <v>0.20542325769854133</v>
      </c>
      <c r="K5">
        <v>0.17983865478119934</v>
      </c>
      <c r="L5">
        <v>0.16364331442463531</v>
      </c>
      <c r="M5">
        <v>0.14806110210696921</v>
      </c>
      <c r="N5">
        <v>0.13532451377633711</v>
      </c>
      <c r="O5">
        <v>0.126334886547812</v>
      </c>
      <c r="P5">
        <v>0.1174570907617504</v>
      </c>
      <c r="Q5">
        <v>0.10848496758508915</v>
      </c>
      <c r="R5">
        <v>0.10205700972447326</v>
      </c>
      <c r="S5">
        <v>9.6141774716369519E-2</v>
      </c>
      <c r="T5">
        <v>9.2853606158833063E-2</v>
      </c>
      <c r="U5">
        <v>8.9437520259319281E-2</v>
      </c>
    </row>
    <row r="6" spans="1:24">
      <c r="A6" t="s">
        <v>3</v>
      </c>
      <c r="B6">
        <v>1.6271691842900302</v>
      </c>
      <c r="C6">
        <v>0.92790433031218533</v>
      </c>
      <c r="D6">
        <v>0.54102940584088621</v>
      </c>
      <c r="E6">
        <v>0.37289365558912385</v>
      </c>
      <c r="F6">
        <v>0.27503726082578051</v>
      </c>
      <c r="G6">
        <v>0.22037955689828803</v>
      </c>
      <c r="H6">
        <v>0.1817828801611279</v>
      </c>
      <c r="I6">
        <v>0.153104833836858</v>
      </c>
      <c r="J6">
        <v>0.13357512588116816</v>
      </c>
      <c r="K6">
        <v>0.11880996978851964</v>
      </c>
      <c r="L6">
        <v>0.10616032225579053</v>
      </c>
      <c r="M6">
        <v>9.6478489425981875E-2</v>
      </c>
      <c r="N6">
        <v>9.0118942598187313E-2</v>
      </c>
      <c r="O6">
        <v>8.2891329305135944E-2</v>
      </c>
      <c r="P6">
        <v>7.737875125881169E-2</v>
      </c>
      <c r="Q6">
        <v>7.1382739174219542E-2</v>
      </c>
      <c r="R6">
        <v>6.8496495468277949E-2</v>
      </c>
      <c r="S6">
        <v>6.4909405840886197E-2</v>
      </c>
      <c r="T6">
        <v>6.1109768378650557E-2</v>
      </c>
      <c r="U6">
        <v>5.8444078549848941E-2</v>
      </c>
    </row>
    <row r="7" spans="1:24">
      <c r="A7" t="s">
        <v>4</v>
      </c>
      <c r="B7">
        <v>1.5705945674044266</v>
      </c>
      <c r="C7">
        <v>0.89107806841046278</v>
      </c>
      <c r="D7">
        <v>0.52052645875251502</v>
      </c>
      <c r="E7">
        <v>0.35947655935613682</v>
      </c>
      <c r="F7">
        <v>0.27214476861167003</v>
      </c>
      <c r="G7">
        <v>0.2185533199195171</v>
      </c>
      <c r="H7">
        <v>0.1808235412474849</v>
      </c>
      <c r="I7">
        <v>0.15447273641851106</v>
      </c>
      <c r="J7">
        <v>0.13713490945674042</v>
      </c>
      <c r="K7">
        <v>0.120767907444668</v>
      </c>
      <c r="L7">
        <v>0.10765120724346076</v>
      </c>
      <c r="M7">
        <v>9.6319114688128774E-2</v>
      </c>
      <c r="N7">
        <v>8.5986076458752517E-2</v>
      </c>
      <c r="O7">
        <v>7.8780794768611676E-2</v>
      </c>
      <c r="P7">
        <v>7.2514175050301805E-2</v>
      </c>
      <c r="Q7">
        <v>6.8439718309859149E-2</v>
      </c>
      <c r="R7">
        <v>6.4087575452716289E-2</v>
      </c>
      <c r="S7">
        <v>5.9546297786720319E-2</v>
      </c>
      <c r="T7">
        <v>5.7400422535211264E-2</v>
      </c>
      <c r="U7">
        <v>5.5704215291750507E-2</v>
      </c>
    </row>
    <row r="8" spans="1:24">
      <c r="A8" t="s">
        <v>5</v>
      </c>
      <c r="B8">
        <v>1.6184435564435564</v>
      </c>
      <c r="C8">
        <v>0.93884665334665329</v>
      </c>
      <c r="D8">
        <v>0.53791058941058933</v>
      </c>
      <c r="E8">
        <v>0.37901628371628376</v>
      </c>
      <c r="F8">
        <v>0.28348601398601397</v>
      </c>
      <c r="G8">
        <v>0.22437372627372626</v>
      </c>
      <c r="H8">
        <v>0.1858308691308691</v>
      </c>
      <c r="I8">
        <v>0.15650969030969031</v>
      </c>
      <c r="J8">
        <v>0.13902897102897105</v>
      </c>
      <c r="K8">
        <v>0.12008121878121879</v>
      </c>
      <c r="L8">
        <v>0.10779250749250749</v>
      </c>
      <c r="M8">
        <v>0.10072347652347653</v>
      </c>
      <c r="N8">
        <v>9.2537632367632378E-2</v>
      </c>
      <c r="O8">
        <v>8.5094085914085918E-2</v>
      </c>
      <c r="P8">
        <v>7.884730269730271E-2</v>
      </c>
      <c r="Q8">
        <v>7.4101018981018993E-2</v>
      </c>
      <c r="R8">
        <v>7.0508591408591406E-2</v>
      </c>
      <c r="S8">
        <v>6.5968081918081914E-2</v>
      </c>
      <c r="T8">
        <v>6.2669310689310684E-2</v>
      </c>
      <c r="U8">
        <v>6.0070869130869134E-2</v>
      </c>
    </row>
    <row r="9" spans="1:24">
      <c r="A9" t="s">
        <v>6</v>
      </c>
      <c r="B9">
        <v>1.5889310689310689</v>
      </c>
      <c r="C9">
        <v>0.90599990009990006</v>
      </c>
      <c r="D9">
        <v>0.51946573426573428</v>
      </c>
      <c r="E9">
        <v>0.36695264735264732</v>
      </c>
      <c r="F9">
        <v>0.27448721278721283</v>
      </c>
      <c r="G9">
        <v>0.21349260739260739</v>
      </c>
      <c r="H9">
        <v>0.17948611388611391</v>
      </c>
      <c r="I9">
        <v>0.15550249750249748</v>
      </c>
      <c r="J9">
        <v>0.13635764235764236</v>
      </c>
      <c r="K9">
        <v>0.11983136863136863</v>
      </c>
      <c r="L9">
        <v>0.10774255744255745</v>
      </c>
      <c r="M9">
        <v>9.7645564435564436E-2</v>
      </c>
      <c r="N9">
        <v>9.0639540459540466E-2</v>
      </c>
      <c r="O9">
        <v>8.5072097902097896E-2</v>
      </c>
      <c r="P9">
        <v>7.9990159840159836E-2</v>
      </c>
      <c r="Q9">
        <v>7.4524585414585412E-2</v>
      </c>
      <c r="R9">
        <v>6.9539540459540472E-2</v>
      </c>
      <c r="S9">
        <v>6.5739280719280715E-2</v>
      </c>
      <c r="T9">
        <v>6.1977012987012983E-2</v>
      </c>
      <c r="U9">
        <v>5.9830129870129874E-2</v>
      </c>
    </row>
    <row r="10" spans="1:24">
      <c r="A10" t="s">
        <v>7</v>
      </c>
      <c r="B10">
        <v>1.6480628352490423</v>
      </c>
      <c r="C10">
        <v>0.91603754789272041</v>
      </c>
      <c r="D10">
        <v>0.51333440613026815</v>
      </c>
      <c r="E10">
        <v>0.34548321839080459</v>
      </c>
      <c r="F10">
        <v>0.25315103448275861</v>
      </c>
      <c r="G10">
        <v>0.19801678160919539</v>
      </c>
      <c r="H10">
        <v>0.16028766283524903</v>
      </c>
      <c r="I10">
        <v>0.13673386973180077</v>
      </c>
      <c r="J10">
        <v>0.12014252873563218</v>
      </c>
      <c r="K10">
        <v>0.10735249042145593</v>
      </c>
      <c r="L10">
        <v>9.6579540229885061E-2</v>
      </c>
      <c r="M10">
        <v>8.7400996168582379E-2</v>
      </c>
      <c r="N10">
        <v>7.9823218390804598E-2</v>
      </c>
      <c r="O10">
        <v>7.2710536398467432E-2</v>
      </c>
      <c r="P10">
        <v>6.7734275862068968E-2</v>
      </c>
      <c r="Q10">
        <v>6.4284452107279691E-2</v>
      </c>
      <c r="R10">
        <v>6.0606988505747125E-2</v>
      </c>
      <c r="S10">
        <v>5.7128804597701151E-2</v>
      </c>
      <c r="T10">
        <v>5.4229892720306511E-2</v>
      </c>
      <c r="U10">
        <v>4.992487356321839E-2</v>
      </c>
    </row>
    <row r="11" spans="1:24">
      <c r="A11" t="s">
        <v>8</v>
      </c>
      <c r="B11">
        <v>1.6445393430099313</v>
      </c>
      <c r="C11">
        <v>0.92086707410236823</v>
      </c>
      <c r="D11">
        <v>0.51923750954927428</v>
      </c>
      <c r="E11">
        <v>0.34620817417876243</v>
      </c>
      <c r="F11">
        <v>0.25941138273491215</v>
      </c>
      <c r="G11">
        <v>0.20526424751718869</v>
      </c>
      <c r="H11">
        <v>0.16798915202444614</v>
      </c>
      <c r="I11">
        <v>0.14352612681436211</v>
      </c>
      <c r="J11">
        <v>0.12329266615737203</v>
      </c>
      <c r="K11">
        <v>0.10711688311688312</v>
      </c>
      <c r="L11">
        <v>9.5502139037433154E-2</v>
      </c>
      <c r="M11">
        <v>8.4871963330786851E-2</v>
      </c>
      <c r="N11">
        <v>7.6971963330786861E-2</v>
      </c>
      <c r="O11">
        <v>7.0548678380443083E-2</v>
      </c>
      <c r="P11">
        <v>6.6506684491978607E-2</v>
      </c>
      <c r="Q11">
        <v>6.1431008403361347E-2</v>
      </c>
      <c r="R11">
        <v>5.829108479755539E-2</v>
      </c>
      <c r="S11">
        <v>5.536975553857907E-2</v>
      </c>
      <c r="T11">
        <v>5.2689052711993895E-2</v>
      </c>
      <c r="U11">
        <v>5.1057998472116117E-2</v>
      </c>
    </row>
    <row r="12" spans="1:24">
      <c r="A12" t="s">
        <v>9</v>
      </c>
      <c r="B12">
        <v>1.6816635120925341</v>
      </c>
      <c r="C12">
        <v>0.98732260778128289</v>
      </c>
      <c r="D12">
        <v>0.5759909568874868</v>
      </c>
      <c r="E12">
        <v>0.39539915878023135</v>
      </c>
      <c r="F12">
        <v>0.2921031545741325</v>
      </c>
      <c r="G12">
        <v>0.2273396424815983</v>
      </c>
      <c r="H12">
        <v>0.1893415352260778</v>
      </c>
      <c r="I12">
        <v>0.16165899053627758</v>
      </c>
      <c r="J12">
        <v>0.1396888538380652</v>
      </c>
      <c r="K12">
        <v>0.12828948475289167</v>
      </c>
      <c r="L12">
        <v>0.11480893796004206</v>
      </c>
      <c r="M12">
        <v>0.10758706624605678</v>
      </c>
      <c r="N12">
        <v>9.8231556256572025E-2</v>
      </c>
      <c r="O12">
        <v>9.0200988433228171E-2</v>
      </c>
      <c r="P12">
        <v>8.1946508937960044E-2</v>
      </c>
      <c r="Q12">
        <v>7.6484868559411154E-2</v>
      </c>
      <c r="R12">
        <v>7.315777076761304E-2</v>
      </c>
      <c r="S12">
        <v>6.9154584647739215E-2</v>
      </c>
      <c r="T12">
        <v>6.4972670872765509E-2</v>
      </c>
      <c r="U12">
        <v>6.1033627760252368E-2</v>
      </c>
    </row>
    <row r="13" spans="1:24">
      <c r="A13" t="s">
        <v>10</v>
      </c>
      <c r="B13">
        <v>1.6228640167364017</v>
      </c>
      <c r="C13">
        <v>0.95090993723849371</v>
      </c>
      <c r="D13">
        <v>0.56493640167364023</v>
      </c>
      <c r="E13">
        <v>0.38773817991631798</v>
      </c>
      <c r="F13">
        <v>0.29498985355648533</v>
      </c>
      <c r="G13">
        <v>0.23038692468619246</v>
      </c>
      <c r="H13">
        <v>0.19143912133891214</v>
      </c>
      <c r="I13">
        <v>0.16274027196652721</v>
      </c>
      <c r="J13">
        <v>0.139796129707113</v>
      </c>
      <c r="K13">
        <v>0.12302008368200837</v>
      </c>
      <c r="L13">
        <v>0.11174811715481171</v>
      </c>
      <c r="M13">
        <v>0.10191448744769875</v>
      </c>
      <c r="N13">
        <v>9.4851663179916321E-2</v>
      </c>
      <c r="O13">
        <v>8.7602656903765702E-2</v>
      </c>
      <c r="P13">
        <v>8.0603692468619245E-2</v>
      </c>
      <c r="Q13">
        <v>7.6602615062761503E-2</v>
      </c>
      <c r="R13">
        <v>7.132642259414225E-2</v>
      </c>
      <c r="S13">
        <v>6.7603556485355654E-2</v>
      </c>
      <c r="T13">
        <v>6.3202939330543939E-2</v>
      </c>
      <c r="U13">
        <v>6.0739529288702923E-2</v>
      </c>
    </row>
    <row r="14" spans="1:24">
      <c r="A14" t="s">
        <v>11</v>
      </c>
      <c r="B14">
        <v>1.6434838035527692</v>
      </c>
      <c r="C14">
        <v>0.97448693834900724</v>
      </c>
      <c r="D14">
        <v>0.57011274817136881</v>
      </c>
      <c r="E14">
        <v>0.39445841170323925</v>
      </c>
      <c r="F14">
        <v>0.29298547544409609</v>
      </c>
      <c r="G14">
        <v>0.23385768025078368</v>
      </c>
      <c r="H14">
        <v>0.19362852664576805</v>
      </c>
      <c r="I14">
        <v>0.16213981191222571</v>
      </c>
      <c r="J14">
        <v>0.1419007314524556</v>
      </c>
      <c r="K14">
        <v>0.1252823406478579</v>
      </c>
      <c r="L14">
        <v>0.11459696969696971</v>
      </c>
      <c r="M14">
        <v>0.10547669801462904</v>
      </c>
      <c r="N14">
        <v>9.8353385579937308E-2</v>
      </c>
      <c r="O14">
        <v>9.0873730407523515E-2</v>
      </c>
      <c r="P14">
        <v>8.3403490073145237E-2</v>
      </c>
      <c r="Q14">
        <v>7.8662622779519326E-2</v>
      </c>
      <c r="R14">
        <v>7.3200721003134794E-2</v>
      </c>
      <c r="S14">
        <v>6.8014660397074184E-2</v>
      </c>
      <c r="T14">
        <v>6.4551713688610235E-2</v>
      </c>
      <c r="U14">
        <v>6.2573657262277954E-2</v>
      </c>
    </row>
    <row r="15" spans="1:24">
      <c r="A15" t="s">
        <v>12</v>
      </c>
      <c r="B15">
        <v>2.0864535374868005</v>
      </c>
      <c r="C15">
        <v>1.4493822597676875</v>
      </c>
      <c r="D15">
        <v>0.92363727560718056</v>
      </c>
      <c r="E15">
        <v>0.64632682154171073</v>
      </c>
      <c r="F15">
        <v>0.49620586061246041</v>
      </c>
      <c r="G15">
        <v>0.39773241816261878</v>
      </c>
      <c r="H15">
        <v>0.32941594508975713</v>
      </c>
      <c r="I15">
        <v>0.28529239704329462</v>
      </c>
      <c r="J15">
        <v>0.24784023231256599</v>
      </c>
      <c r="K15">
        <v>0.22096346356916577</v>
      </c>
      <c r="L15">
        <v>0.2004272439281943</v>
      </c>
      <c r="M15">
        <v>0.18401420274551214</v>
      </c>
      <c r="N15">
        <v>0.16905263991552269</v>
      </c>
      <c r="O15">
        <v>0.15609852164730728</v>
      </c>
      <c r="P15">
        <v>0.14500623020063358</v>
      </c>
      <c r="Q15">
        <v>0.13579551214361141</v>
      </c>
      <c r="R15">
        <v>0.12484461457233369</v>
      </c>
      <c r="S15">
        <v>0.11806810982048575</v>
      </c>
      <c r="T15">
        <v>0.11364709609292503</v>
      </c>
      <c r="U15">
        <v>0.10921425554382259</v>
      </c>
    </row>
    <row r="16" spans="1:24">
      <c r="A16" t="s">
        <v>13</v>
      </c>
      <c r="B16">
        <v>1.7517112226277374</v>
      </c>
      <c r="C16">
        <v>0.98272855839416062</v>
      </c>
      <c r="D16">
        <v>0.54203193430656937</v>
      </c>
      <c r="E16">
        <v>0.3680142791970803</v>
      </c>
      <c r="F16">
        <v>0.27492486313868614</v>
      </c>
      <c r="G16">
        <v>0.21520985401459855</v>
      </c>
      <c r="H16">
        <v>0.17598996350364962</v>
      </c>
      <c r="I16">
        <v>0.150211450729927</v>
      </c>
      <c r="J16">
        <v>0.13238216240875911</v>
      </c>
      <c r="K16">
        <v>0.11604251824817517</v>
      </c>
      <c r="L16">
        <v>0.10292089416058393</v>
      </c>
      <c r="M16">
        <v>9.4443339416058397E-2</v>
      </c>
      <c r="N16">
        <v>8.7364826642335774E-2</v>
      </c>
      <c r="O16">
        <v>8.0388275547445251E-2</v>
      </c>
      <c r="P16">
        <v>7.3767107664233569E-2</v>
      </c>
      <c r="Q16">
        <v>6.8905337591240887E-2</v>
      </c>
      <c r="R16">
        <v>6.4646578467153284E-2</v>
      </c>
      <c r="S16">
        <v>6.0946806569343072E-2</v>
      </c>
      <c r="T16">
        <v>5.8258257299270075E-2</v>
      </c>
      <c r="U16">
        <v>5.5895939781021899E-2</v>
      </c>
    </row>
    <row r="17" spans="1:21">
      <c r="A17" t="s">
        <v>14</v>
      </c>
      <c r="B17">
        <v>1.8376094890510948</v>
      </c>
      <c r="C17">
        <v>1.0138950729927008</v>
      </c>
      <c r="D17">
        <v>0.54788549270072984</v>
      </c>
      <c r="E17">
        <v>0.36649229014598539</v>
      </c>
      <c r="F17">
        <v>0.27375296532846716</v>
      </c>
      <c r="G17">
        <v>0.21597723540145985</v>
      </c>
      <c r="H17">
        <v>0.17783444343065694</v>
      </c>
      <c r="I17">
        <v>0.15212988138686132</v>
      </c>
      <c r="J17">
        <v>0.13033462591240874</v>
      </c>
      <c r="K17">
        <v>0.11758074817518249</v>
      </c>
      <c r="L17">
        <v>0.10410926094890512</v>
      </c>
      <c r="M17">
        <v>9.3723038321167879E-2</v>
      </c>
      <c r="N17">
        <v>8.7512226277372263E-2</v>
      </c>
      <c r="O17">
        <v>8.1266012773722626E-2</v>
      </c>
      <c r="P17">
        <v>7.5567244525547458E-2</v>
      </c>
      <c r="Q17">
        <v>7.0574178832116793E-2</v>
      </c>
      <c r="R17">
        <v>6.6448129562043795E-2</v>
      </c>
      <c r="S17">
        <v>6.263015510948905E-2</v>
      </c>
      <c r="T17">
        <v>5.9618658759124088E-2</v>
      </c>
      <c r="U17">
        <v>5.6614005474452556E-2</v>
      </c>
    </row>
    <row r="18" spans="1:21">
      <c r="A18" t="s">
        <v>15</v>
      </c>
      <c r="B18">
        <v>1.8280622444343479</v>
      </c>
      <c r="C18">
        <v>1.0128800545206724</v>
      </c>
      <c r="D18">
        <v>0.55632212630622435</v>
      </c>
      <c r="E18">
        <v>0.37480717855520218</v>
      </c>
      <c r="F18">
        <v>0.27415247614720578</v>
      </c>
      <c r="G18">
        <v>0.21555674693321217</v>
      </c>
      <c r="H18">
        <v>0.17874920490686053</v>
      </c>
      <c r="I18">
        <v>0.1534009086778737</v>
      </c>
      <c r="J18">
        <v>0.13238973194002726</v>
      </c>
      <c r="K18">
        <v>0.11891644706951385</v>
      </c>
      <c r="L18">
        <v>0.10541440254429804</v>
      </c>
      <c r="M18">
        <v>9.6036301681054065E-2</v>
      </c>
      <c r="N18">
        <v>8.8782280781462969E-2</v>
      </c>
      <c r="O18">
        <v>8.0334438891412993E-2</v>
      </c>
      <c r="P18">
        <v>7.4230077237619263E-2</v>
      </c>
      <c r="Q18">
        <v>6.9929395729214E-2</v>
      </c>
      <c r="R18">
        <v>6.5769741026805995E-2</v>
      </c>
      <c r="S18">
        <v>6.1991912766924125E-2</v>
      </c>
      <c r="T18">
        <v>5.9517991821899138E-2</v>
      </c>
      <c r="U18">
        <v>5.6533802816901409E-2</v>
      </c>
    </row>
    <row r="19" spans="1:21">
      <c r="A19" t="s">
        <v>16</v>
      </c>
      <c r="B19">
        <v>1.9600434581599628</v>
      </c>
      <c r="C19">
        <v>1.2614165510864539</v>
      </c>
      <c r="D19">
        <v>0.74019278779472952</v>
      </c>
      <c r="E19">
        <v>0.50223693943596859</v>
      </c>
      <c r="F19">
        <v>0.36999676375404533</v>
      </c>
      <c r="G19">
        <v>0.29156564956079523</v>
      </c>
      <c r="H19">
        <v>0.23744313453536756</v>
      </c>
      <c r="I19">
        <v>0.20004729542302357</v>
      </c>
      <c r="J19">
        <v>0.17274509939898289</v>
      </c>
      <c r="K19">
        <v>0.15043374942209892</v>
      </c>
      <c r="L19">
        <v>0.13407838650023116</v>
      </c>
      <c r="M19">
        <v>0.12056599630143319</v>
      </c>
      <c r="N19">
        <v>0.1085870319001387</v>
      </c>
      <c r="O19">
        <v>9.9592533518261681E-2</v>
      </c>
      <c r="P19">
        <v>9.2871359223300975E-2</v>
      </c>
      <c r="Q19">
        <v>8.6744475265834481E-2</v>
      </c>
      <c r="R19">
        <v>8.096389274156264E-2</v>
      </c>
      <c r="S19">
        <v>7.548978270920019E-2</v>
      </c>
      <c r="T19">
        <v>7.040668053629219E-2</v>
      </c>
      <c r="U19">
        <v>6.816426259824318E-2</v>
      </c>
    </row>
    <row r="20" spans="1:21">
      <c r="A20" t="s">
        <v>17</v>
      </c>
      <c r="B20">
        <v>1.9662308749427395</v>
      </c>
      <c r="C20">
        <v>1.2745460375629867</v>
      </c>
      <c r="D20">
        <v>0.74143586807146122</v>
      </c>
      <c r="E20">
        <v>0.49373133302794314</v>
      </c>
      <c r="F20">
        <v>0.36298946404031146</v>
      </c>
      <c r="G20">
        <v>0.28367040769583146</v>
      </c>
      <c r="H20">
        <v>0.23167430142006412</v>
      </c>
      <c r="I20">
        <v>0.19522157581310123</v>
      </c>
      <c r="J20">
        <v>0.16821136051305544</v>
      </c>
      <c r="K20">
        <v>0.1489253092075126</v>
      </c>
      <c r="L20">
        <v>0.13351985799358682</v>
      </c>
      <c r="M20">
        <v>0.11972627118644069</v>
      </c>
      <c r="N20">
        <v>0.10899569399908383</v>
      </c>
      <c r="O20">
        <v>0.10037851580393953</v>
      </c>
      <c r="P20">
        <v>9.1863238662391211E-2</v>
      </c>
      <c r="Q20">
        <v>8.575561154374714E-2</v>
      </c>
      <c r="R20">
        <v>8.0909986257443875E-2</v>
      </c>
      <c r="S20">
        <v>7.6150710032065957E-2</v>
      </c>
      <c r="T20">
        <v>7.1532844709115903E-2</v>
      </c>
      <c r="U20">
        <v>6.8707466788822724E-2</v>
      </c>
    </row>
    <row r="21" spans="1:21">
      <c r="A21" t="s">
        <v>18</v>
      </c>
      <c r="B21">
        <v>1.9734054487179484</v>
      </c>
      <c r="C21">
        <v>1.2766932234432233</v>
      </c>
      <c r="D21">
        <v>0.74531524725274723</v>
      </c>
      <c r="E21">
        <v>0.49339102564102566</v>
      </c>
      <c r="F21">
        <v>0.3624404761904762</v>
      </c>
      <c r="G21">
        <v>0.28492559523809524</v>
      </c>
      <c r="H21">
        <v>0.23063667582417582</v>
      </c>
      <c r="I21">
        <v>0.19523525641025641</v>
      </c>
      <c r="J21">
        <v>0.16931284340659339</v>
      </c>
      <c r="K21">
        <v>0.14941696428571427</v>
      </c>
      <c r="L21">
        <v>0.13296662087912087</v>
      </c>
      <c r="M21">
        <v>0.11993106684981684</v>
      </c>
      <c r="N21">
        <v>0.10912582417582418</v>
      </c>
      <c r="O21">
        <v>0.10109375</v>
      </c>
      <c r="P21">
        <v>9.4258035714285718E-2</v>
      </c>
      <c r="Q21">
        <v>8.7708104395604392E-2</v>
      </c>
      <c r="R21">
        <v>8.2465499084249078E-2</v>
      </c>
      <c r="S21">
        <v>7.8119574175824172E-2</v>
      </c>
      <c r="T21">
        <v>7.2492170329670327E-2</v>
      </c>
      <c r="U21">
        <v>6.8765315934065929E-2</v>
      </c>
    </row>
    <row r="22" spans="1:21">
      <c r="A22" t="s">
        <v>19</v>
      </c>
      <c r="B22">
        <v>1.9268878205128206</v>
      </c>
      <c r="C22">
        <v>1.2510402930402931</v>
      </c>
      <c r="D22">
        <v>0.74101098901098894</v>
      </c>
      <c r="E22">
        <v>0.49538919413919419</v>
      </c>
      <c r="F22">
        <v>0.36437706043956042</v>
      </c>
      <c r="G22">
        <v>0.28767925824175827</v>
      </c>
      <c r="H22">
        <v>0.23554143772893774</v>
      </c>
      <c r="I22">
        <v>0.19762525183150181</v>
      </c>
      <c r="J22">
        <v>0.17025505952380951</v>
      </c>
      <c r="K22">
        <v>0.14837836538461538</v>
      </c>
      <c r="L22">
        <v>0.13125936355311357</v>
      </c>
      <c r="M22">
        <v>0.11975423534798535</v>
      </c>
      <c r="N22">
        <v>0.10914214743589742</v>
      </c>
      <c r="O22">
        <v>0.10043663003663003</v>
      </c>
      <c r="P22">
        <v>9.3536858974358983E-2</v>
      </c>
      <c r="Q22">
        <v>8.7676488095238092E-2</v>
      </c>
      <c r="R22">
        <v>8.1545352564102558E-2</v>
      </c>
      <c r="S22">
        <v>7.6708104395604396E-2</v>
      </c>
      <c r="T22">
        <v>7.2460737179487186E-2</v>
      </c>
      <c r="U22">
        <v>6.8853640109890105E-2</v>
      </c>
    </row>
    <row r="23" spans="1:21">
      <c r="A23" t="s">
        <v>20</v>
      </c>
      <c r="B23">
        <v>1.9640733546617914</v>
      </c>
      <c r="C23">
        <v>1.2773244972577698</v>
      </c>
      <c r="D23">
        <v>0.74288825411334547</v>
      </c>
      <c r="E23">
        <v>0.4925239945155393</v>
      </c>
      <c r="F23">
        <v>0.36299360146252285</v>
      </c>
      <c r="G23">
        <v>0.284150365630713</v>
      </c>
      <c r="H23">
        <v>0.23082815356489947</v>
      </c>
      <c r="I23">
        <v>0.1957395566727605</v>
      </c>
      <c r="J23">
        <v>0.16899113345521022</v>
      </c>
      <c r="K23">
        <v>0.14836579067641681</v>
      </c>
      <c r="L23">
        <v>0.13312337751371114</v>
      </c>
      <c r="M23">
        <v>0.11964933729433273</v>
      </c>
      <c r="N23">
        <v>0.10893194698354662</v>
      </c>
      <c r="O23">
        <v>9.9644538391224863E-2</v>
      </c>
      <c r="P23">
        <v>9.2624063071297988E-2</v>
      </c>
      <c r="Q23">
        <v>8.5957518281535653E-2</v>
      </c>
      <c r="R23">
        <v>7.9953907678244979E-2</v>
      </c>
      <c r="S23">
        <v>7.5864282449725776E-2</v>
      </c>
      <c r="T23">
        <v>7.0892527422303481E-2</v>
      </c>
      <c r="U23">
        <v>6.810009140767824E-2</v>
      </c>
    </row>
    <row r="24" spans="1:21">
      <c r="A24" t="s">
        <v>21</v>
      </c>
      <c r="B24">
        <v>1.9206702418986765</v>
      </c>
      <c r="C24">
        <v>1.2524705613874942</v>
      </c>
      <c r="D24">
        <v>0.73215746234596069</v>
      </c>
      <c r="E24">
        <v>0.49700616157005928</v>
      </c>
      <c r="F24">
        <v>0.36705340027384759</v>
      </c>
      <c r="G24">
        <v>0.28642560474669099</v>
      </c>
      <c r="H24">
        <v>0.23226403468735735</v>
      </c>
      <c r="I24">
        <v>0.19665508900045642</v>
      </c>
      <c r="J24">
        <v>0.17010027384755819</v>
      </c>
      <c r="K24">
        <v>0.14959844819717025</v>
      </c>
      <c r="L24">
        <v>0.13297473756275674</v>
      </c>
      <c r="M24">
        <v>0.12030826106800548</v>
      </c>
      <c r="N24">
        <v>0.11001809675947057</v>
      </c>
      <c r="O24">
        <v>0.10139173893199453</v>
      </c>
      <c r="P24">
        <v>9.4191396622546775E-2</v>
      </c>
      <c r="Q24">
        <v>8.8086969420356001E-2</v>
      </c>
      <c r="R24">
        <v>8.2007759014148793E-2</v>
      </c>
      <c r="S24">
        <v>7.7372592423550893E-2</v>
      </c>
      <c r="T24">
        <v>7.2786490187129169E-2</v>
      </c>
      <c r="U24">
        <v>6.9602898219990883E-2</v>
      </c>
    </row>
    <row r="25" spans="1:21">
      <c r="A25" t="s">
        <v>34</v>
      </c>
      <c r="B25">
        <v>1.9586045184847101</v>
      </c>
      <c r="C25">
        <v>1.2735819260611594</v>
      </c>
      <c r="D25">
        <v>0.74305659516202649</v>
      </c>
      <c r="E25">
        <v>0.49139114559561842</v>
      </c>
      <c r="F25">
        <v>0.36374669100867185</v>
      </c>
      <c r="G25">
        <v>0.28428525787311731</v>
      </c>
      <c r="H25">
        <v>0.2307816065723414</v>
      </c>
      <c r="I25">
        <v>0.19480289821999089</v>
      </c>
      <c r="J25">
        <v>0.16875832952989503</v>
      </c>
      <c r="K25">
        <v>0.14784109995435873</v>
      </c>
      <c r="L25">
        <v>0.13102768142400731</v>
      </c>
      <c r="M25">
        <v>0.11843258785942491</v>
      </c>
      <c r="N25">
        <v>0.10798457325422181</v>
      </c>
      <c r="O25">
        <v>0.10001560931081697</v>
      </c>
      <c r="P25">
        <v>9.2345595618439066E-2</v>
      </c>
      <c r="Q25">
        <v>8.6157028753993614E-2</v>
      </c>
      <c r="R25">
        <v>8.0671999087174803E-2</v>
      </c>
      <c r="S25">
        <v>7.5898904609767226E-2</v>
      </c>
      <c r="T25">
        <v>7.0977749885896849E-2</v>
      </c>
      <c r="U25">
        <v>6.7776540392514836E-2</v>
      </c>
    </row>
    <row r="26" spans="1:21">
      <c r="A26" t="s">
        <v>22</v>
      </c>
      <c r="B26">
        <v>1.683643704379562</v>
      </c>
      <c r="C26">
        <v>0.8997858120437956</v>
      </c>
      <c r="D26">
        <v>0.48096122262773727</v>
      </c>
      <c r="E26">
        <v>0.30725182481751823</v>
      </c>
      <c r="F26">
        <v>0.21646375456204378</v>
      </c>
      <c r="G26">
        <v>0.16600964872262775</v>
      </c>
      <c r="H26">
        <v>0.13401827098540148</v>
      </c>
      <c r="I26">
        <v>0.11091496350364963</v>
      </c>
      <c r="J26">
        <v>9.4014119525547446E-2</v>
      </c>
      <c r="K26">
        <v>8.27426094890511E-2</v>
      </c>
      <c r="L26">
        <v>7.263934762773723E-2</v>
      </c>
      <c r="M26">
        <v>6.5977531934306569E-2</v>
      </c>
      <c r="N26">
        <v>6.090321624087592E-2</v>
      </c>
      <c r="O26">
        <v>5.5040967153284673E-2</v>
      </c>
      <c r="P26">
        <v>5.1055770985401455E-2</v>
      </c>
      <c r="Q26">
        <v>4.7329881386861318E-2</v>
      </c>
      <c r="R26">
        <v>4.374888229927007E-2</v>
      </c>
      <c r="S26">
        <v>4.0763252737226273E-2</v>
      </c>
      <c r="T26">
        <v>3.8398061131386857E-2</v>
      </c>
      <c r="U26">
        <v>3.6419046532846715E-2</v>
      </c>
    </row>
    <row r="27" spans="1:21">
      <c r="A27" t="s">
        <v>23</v>
      </c>
      <c r="B27">
        <v>1.91109325125399</v>
      </c>
      <c r="C27">
        <v>1.2427774737802098</v>
      </c>
      <c r="D27">
        <v>0.72521568627450972</v>
      </c>
      <c r="E27">
        <v>0.49019243046055627</v>
      </c>
      <c r="F27">
        <v>0.36014204286365709</v>
      </c>
      <c r="G27">
        <v>0.28233743730050165</v>
      </c>
      <c r="H27">
        <v>0.23063999088007295</v>
      </c>
      <c r="I27">
        <v>0.19364017327861377</v>
      </c>
      <c r="J27">
        <v>0.16909302325581396</v>
      </c>
      <c r="K27">
        <v>0.14767637938896491</v>
      </c>
      <c r="L27">
        <v>0.13280574555403557</v>
      </c>
      <c r="M27">
        <v>0.11862286821705427</v>
      </c>
      <c r="N27">
        <v>0.10773759689922481</v>
      </c>
      <c r="O27">
        <v>9.9348130414956687E-2</v>
      </c>
      <c r="P27">
        <v>9.1869630642954864E-2</v>
      </c>
      <c r="Q27">
        <v>8.7214797081623344E-2</v>
      </c>
      <c r="R27">
        <v>8.1149772001823994E-2</v>
      </c>
      <c r="S27">
        <v>7.5790857273141818E-2</v>
      </c>
      <c r="T27">
        <v>7.1665686274509796E-2</v>
      </c>
      <c r="U27">
        <v>6.8811422708618328E-2</v>
      </c>
    </row>
    <row r="28" spans="1:21">
      <c r="A28" t="s">
        <v>24</v>
      </c>
      <c r="B28">
        <v>1.9203805289557685</v>
      </c>
      <c r="C28">
        <v>1.2499076607387141</v>
      </c>
      <c r="D28">
        <v>0.73378796169630633</v>
      </c>
      <c r="E28">
        <v>0.49207774737802101</v>
      </c>
      <c r="F28">
        <v>0.36556634746922023</v>
      </c>
      <c r="G28">
        <v>0.28572389420884631</v>
      </c>
      <c r="H28">
        <v>0.23214135886912907</v>
      </c>
      <c r="I28">
        <v>0.19671876424988599</v>
      </c>
      <c r="J28">
        <v>0.17166317829457364</v>
      </c>
      <c r="K28">
        <v>0.14993497492020064</v>
      </c>
      <c r="L28">
        <v>0.13366263109895118</v>
      </c>
      <c r="M28">
        <v>0.11989895120839034</v>
      </c>
      <c r="N28">
        <v>0.10960528955768353</v>
      </c>
      <c r="O28">
        <v>0.10056297309621523</v>
      </c>
      <c r="P28">
        <v>9.2892932056543545E-2</v>
      </c>
      <c r="Q28">
        <v>8.6143479252165991E-2</v>
      </c>
      <c r="R28">
        <v>8.0911491108071137E-2</v>
      </c>
      <c r="S28">
        <v>7.6381212950296387E-2</v>
      </c>
      <c r="T28">
        <v>7.2366073871409031E-2</v>
      </c>
      <c r="U28">
        <v>6.8517989056087553E-2</v>
      </c>
    </row>
    <row r="29" spans="1:21">
      <c r="A29" t="s">
        <v>25</v>
      </c>
      <c r="B29">
        <v>2.0986346678798906</v>
      </c>
      <c r="C29">
        <v>1.3751499090081891</v>
      </c>
      <c r="D29">
        <v>0.81969881710646042</v>
      </c>
      <c r="E29">
        <v>0.56254162875341218</v>
      </c>
      <c r="F29">
        <v>0.41351114649681531</v>
      </c>
      <c r="G29">
        <v>0.32462875341219288</v>
      </c>
      <c r="H29">
        <v>0.26460236578707919</v>
      </c>
      <c r="I29">
        <v>0.22132163330300272</v>
      </c>
      <c r="J29">
        <v>0.18947570518653323</v>
      </c>
      <c r="K29">
        <v>0.16812229299363057</v>
      </c>
      <c r="L29">
        <v>0.14940125113739763</v>
      </c>
      <c r="M29">
        <v>0.13543125568698819</v>
      </c>
      <c r="N29">
        <v>0.12294092356687898</v>
      </c>
      <c r="O29">
        <v>0.11310714285714285</v>
      </c>
      <c r="P29">
        <v>0.10437101910828026</v>
      </c>
      <c r="Q29">
        <v>9.7469244767970892E-2</v>
      </c>
      <c r="R29">
        <v>9.137741128298453E-2</v>
      </c>
      <c r="S29">
        <v>8.6817720655141026E-2</v>
      </c>
      <c r="T29">
        <v>8.1704367606915379E-2</v>
      </c>
      <c r="U29">
        <v>7.7871747042766157E-2</v>
      </c>
    </row>
    <row r="30" spans="1:21">
      <c r="A30" t="s">
        <v>26</v>
      </c>
      <c r="B30">
        <v>1.9354294928825624</v>
      </c>
      <c r="C30">
        <v>1.1936100978647686</v>
      </c>
      <c r="D30">
        <v>0.65541881672597868</v>
      </c>
      <c r="E30">
        <v>0.43900600533807826</v>
      </c>
      <c r="F30">
        <v>0.31993193950177934</v>
      </c>
      <c r="G30">
        <v>0.24421396797153028</v>
      </c>
      <c r="H30">
        <v>0.19791975088967972</v>
      </c>
      <c r="I30">
        <v>0.16421932829181496</v>
      </c>
      <c r="J30">
        <v>0.13868282918149466</v>
      </c>
      <c r="K30">
        <v>0.12057315391459075</v>
      </c>
      <c r="L30">
        <v>0.10625424822064057</v>
      </c>
      <c r="M30">
        <v>9.4561410142348756E-2</v>
      </c>
      <c r="N30">
        <v>8.5075200177935947E-2</v>
      </c>
      <c r="O30">
        <v>7.7473509786476866E-2</v>
      </c>
      <c r="P30">
        <v>7.0672419928825628E-2</v>
      </c>
      <c r="Q30">
        <v>6.6107695729537355E-2</v>
      </c>
      <c r="R30">
        <v>6.1534875444839855E-2</v>
      </c>
      <c r="S30">
        <v>5.7245084519572949E-2</v>
      </c>
      <c r="T30">
        <v>5.4252268683274027E-2</v>
      </c>
      <c r="U30">
        <v>5.1204804270462638E-2</v>
      </c>
    </row>
    <row r="31" spans="1:21">
      <c r="A31" t="s">
        <v>27</v>
      </c>
      <c r="B31">
        <v>1.8914926343154244</v>
      </c>
      <c r="C31">
        <v>1.1358141247833622</v>
      </c>
      <c r="D31">
        <v>0.64847681975736571</v>
      </c>
      <c r="E31">
        <v>0.43099285095320622</v>
      </c>
      <c r="F31">
        <v>0.31245147313691507</v>
      </c>
      <c r="G31">
        <v>0.23746360485268633</v>
      </c>
      <c r="H31">
        <v>0.1906596403812825</v>
      </c>
      <c r="I31">
        <v>0.15753325389948006</v>
      </c>
      <c r="J31">
        <v>0.13316349653379547</v>
      </c>
      <c r="K31">
        <v>0.11580951039861351</v>
      </c>
      <c r="L31">
        <v>0.1013838171577123</v>
      </c>
      <c r="M31">
        <v>9.0254181109185441E-2</v>
      </c>
      <c r="N31">
        <v>8.1111633448873482E-2</v>
      </c>
      <c r="O31">
        <v>7.4480090987868286E-2</v>
      </c>
      <c r="P31">
        <v>6.7961590121317153E-2</v>
      </c>
      <c r="Q31">
        <v>6.215686741767764E-2</v>
      </c>
      <c r="R31">
        <v>5.7630979202772971E-2</v>
      </c>
      <c r="S31">
        <v>5.3913106585788559E-2</v>
      </c>
      <c r="T31">
        <v>5.0746187175043332E-2</v>
      </c>
      <c r="U31">
        <v>4.8195168977469671E-2</v>
      </c>
    </row>
    <row r="32" spans="1:21">
      <c r="A32" t="s">
        <v>28</v>
      </c>
      <c r="B32">
        <v>1.7211432920200043</v>
      </c>
      <c r="C32">
        <v>0.90419047619047621</v>
      </c>
      <c r="D32">
        <v>0.4468654055229398</v>
      </c>
      <c r="E32">
        <v>0.27740530550119591</v>
      </c>
      <c r="F32">
        <v>0.19515820830615352</v>
      </c>
      <c r="G32">
        <v>0.14827916938464883</v>
      </c>
      <c r="H32">
        <v>0.11874037834311807</v>
      </c>
      <c r="I32">
        <v>9.5702217873450748E-2</v>
      </c>
      <c r="J32">
        <v>7.9551272015655566E-2</v>
      </c>
      <c r="K32">
        <v>6.7737747336377468E-2</v>
      </c>
      <c r="L32">
        <v>5.924964122635356E-2</v>
      </c>
      <c r="M32">
        <v>5.2738160469667318E-2</v>
      </c>
      <c r="N32">
        <v>4.7936399217221135E-2</v>
      </c>
      <c r="O32">
        <v>4.4115003261578599E-2</v>
      </c>
      <c r="P32">
        <v>3.9530637095020658E-2</v>
      </c>
      <c r="Q32">
        <v>3.6654598825831705E-2</v>
      </c>
      <c r="R32">
        <v>3.391632963687758E-2</v>
      </c>
      <c r="S32">
        <v>3.1226397042835398E-2</v>
      </c>
      <c r="T32">
        <v>2.9193563818221354E-2</v>
      </c>
      <c r="U32">
        <v>2.7209175907806044E-2</v>
      </c>
    </row>
    <row r="33" spans="1:21">
      <c r="A33" t="s">
        <v>29</v>
      </c>
      <c r="B33">
        <v>1.6778976086956521</v>
      </c>
      <c r="C33">
        <v>0.85623499999999997</v>
      </c>
      <c r="D33">
        <v>0.42662499999999998</v>
      </c>
      <c r="E33">
        <v>0.26657413043478262</v>
      </c>
      <c r="F33">
        <v>0.19235058695652174</v>
      </c>
      <c r="G33">
        <v>0.14609467391304348</v>
      </c>
      <c r="H33">
        <v>0.11467678260869565</v>
      </c>
      <c r="I33">
        <v>9.3240065217391296E-2</v>
      </c>
      <c r="J33">
        <v>7.8947413043478257E-2</v>
      </c>
      <c r="K33">
        <v>6.795028260869565E-2</v>
      </c>
      <c r="L33">
        <v>5.9320999999999999E-2</v>
      </c>
      <c r="M33">
        <v>5.1817826086956523E-2</v>
      </c>
      <c r="N33">
        <v>4.7162021739130436E-2</v>
      </c>
      <c r="O33">
        <v>4.2202760869565217E-2</v>
      </c>
      <c r="P33">
        <v>3.8055978260869566E-2</v>
      </c>
      <c r="Q33">
        <v>3.5331630434782609E-2</v>
      </c>
      <c r="R33">
        <v>3.2735021739130434E-2</v>
      </c>
      <c r="S33">
        <v>3.0366999999999998E-2</v>
      </c>
      <c r="T33">
        <v>2.8475065217391304E-2</v>
      </c>
      <c r="U33">
        <v>2.6849804347826089E-2</v>
      </c>
    </row>
    <row r="34" spans="1:21">
      <c r="A34" t="s">
        <v>30</v>
      </c>
      <c r="B34">
        <v>1.668747553816047</v>
      </c>
      <c r="C34">
        <v>0.84770667536420963</v>
      </c>
      <c r="D34">
        <v>0.42540247879973908</v>
      </c>
      <c r="E34">
        <v>0.26955359860839312</v>
      </c>
      <c r="F34">
        <v>0.19109949989128069</v>
      </c>
      <c r="G34">
        <v>0.14442711459012827</v>
      </c>
      <c r="H34">
        <v>0.11510247879973907</v>
      </c>
      <c r="I34">
        <v>9.3903826918895414E-2</v>
      </c>
      <c r="J34">
        <v>7.8714764079147639E-2</v>
      </c>
      <c r="K34">
        <v>6.7327332028701892E-2</v>
      </c>
      <c r="L34">
        <v>5.8425896934116109E-2</v>
      </c>
      <c r="M34">
        <v>5.1673842139595562E-2</v>
      </c>
      <c r="N34">
        <v>4.6846988475755601E-2</v>
      </c>
      <c r="O34">
        <v>4.2234985866492714E-2</v>
      </c>
      <c r="P34">
        <v>3.9139921722113502E-2</v>
      </c>
      <c r="Q34">
        <v>3.6013155033702983E-2</v>
      </c>
      <c r="R34">
        <v>3.3004392259186784E-2</v>
      </c>
      <c r="S34">
        <v>3.0693020221787343E-2</v>
      </c>
      <c r="T34">
        <v>2.8745857795172865E-2</v>
      </c>
      <c r="U34">
        <v>2.7223331158947598E-2</v>
      </c>
    </row>
    <row r="35" spans="1:21">
      <c r="A35" t="s">
        <v>31</v>
      </c>
      <c r="B35">
        <v>1.9032894736842105</v>
      </c>
      <c r="C35">
        <v>1.2457286682615629</v>
      </c>
      <c r="D35">
        <v>0.74886074561403504</v>
      </c>
      <c r="E35">
        <v>0.51007316586921847</v>
      </c>
      <c r="F35">
        <v>0.37582107256778308</v>
      </c>
      <c r="G35">
        <v>0.28994796650717702</v>
      </c>
      <c r="H35">
        <v>0.23131419457735247</v>
      </c>
      <c r="I35">
        <v>0.1895222288676236</v>
      </c>
      <c r="J35">
        <v>0.15699671052631578</v>
      </c>
      <c r="K35">
        <v>0.13331469298245613</v>
      </c>
      <c r="L35">
        <v>0.11655791467304624</v>
      </c>
      <c r="M35">
        <v>0.10379047049441788</v>
      </c>
      <c r="N35">
        <v>9.2305043859649119E-2</v>
      </c>
      <c r="O35">
        <v>8.290246212121212E-2</v>
      </c>
      <c r="P35">
        <v>7.5613586523125997E-2</v>
      </c>
      <c r="Q35">
        <v>6.9837270733652312E-2</v>
      </c>
      <c r="R35">
        <v>6.3538397129186602E-2</v>
      </c>
      <c r="S35">
        <v>5.8793161881977668E-2</v>
      </c>
      <c r="T35">
        <v>5.4804774720893144E-2</v>
      </c>
      <c r="U35">
        <v>5.2285077751196174E-2</v>
      </c>
    </row>
    <row r="36" spans="1:21">
      <c r="A36" t="s">
        <v>32</v>
      </c>
      <c r="B36">
        <v>1.9529175641276677</v>
      </c>
      <c r="C36">
        <v>1.2774055218327784</v>
      </c>
      <c r="D36">
        <v>0.76884188368905426</v>
      </c>
      <c r="E36">
        <v>0.52400724495790096</v>
      </c>
      <c r="F36">
        <v>0.3869414529077736</v>
      </c>
      <c r="G36">
        <v>0.29908742901899354</v>
      </c>
      <c r="H36">
        <v>0.24034374388094773</v>
      </c>
      <c r="I36">
        <v>0.19749304875660859</v>
      </c>
      <c r="J36">
        <v>0.1665819463481496</v>
      </c>
      <c r="K36">
        <v>0.14293401214019974</v>
      </c>
      <c r="L36">
        <v>0.125364010182103</v>
      </c>
      <c r="M36">
        <v>0.11117035441550811</v>
      </c>
      <c r="N36">
        <v>9.9421676130800871E-2</v>
      </c>
      <c r="O36">
        <v>8.9735539455649105E-2</v>
      </c>
      <c r="P36">
        <v>8.1719874681809274E-2</v>
      </c>
      <c r="Q36">
        <v>7.5427579792441746E-2</v>
      </c>
      <c r="R36">
        <v>6.8339700411200313E-2</v>
      </c>
      <c r="S36">
        <v>6.3267691403955356E-2</v>
      </c>
      <c r="T36">
        <v>5.9609300959467391E-2</v>
      </c>
      <c r="U36">
        <v>5.570846876835716E-2</v>
      </c>
    </row>
    <row r="37" spans="1:21">
      <c r="A37" t="s">
        <v>33</v>
      </c>
      <c r="B37">
        <v>2.0178657653307579</v>
      </c>
      <c r="C37">
        <v>1.3524654756156447</v>
      </c>
      <c r="D37">
        <v>0.82525871559633024</v>
      </c>
      <c r="E37">
        <v>0.56364056011588604</v>
      </c>
      <c r="F37">
        <v>0.41703843553838726</v>
      </c>
      <c r="G37">
        <v>0.32426248189280538</v>
      </c>
      <c r="H37">
        <v>0.26088894253983586</v>
      </c>
      <c r="I37">
        <v>0.21811859005311443</v>
      </c>
      <c r="J37">
        <v>0.1848574601641719</v>
      </c>
      <c r="K37">
        <v>0.15953742153549011</v>
      </c>
      <c r="L37">
        <v>0.14083853211009176</v>
      </c>
      <c r="M37">
        <v>0.1245834862385321</v>
      </c>
      <c r="N37">
        <v>0.1110236600676002</v>
      </c>
      <c r="O37">
        <v>0.10063882182520521</v>
      </c>
      <c r="P37">
        <v>9.2141950748430707E-2</v>
      </c>
      <c r="Q37">
        <v>8.4671578947368417E-2</v>
      </c>
      <c r="R37">
        <v>7.7762259777885076E-2</v>
      </c>
      <c r="S37">
        <v>7.1800270400772581E-2</v>
      </c>
      <c r="T37">
        <v>6.8993384838242397E-2</v>
      </c>
      <c r="U37">
        <v>6.4885572187349097E-2</v>
      </c>
    </row>
  </sheetData>
  <phoneticPr fontId="0" type="noConversion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75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2073.7089999999998</v>
      </c>
      <c r="D2">
        <v>385.27800000000002</v>
      </c>
      <c r="E2">
        <v>4.6228069999999999</v>
      </c>
      <c r="F2">
        <v>1.1998628000000001E-2</v>
      </c>
      <c r="G2">
        <v>1688.43</v>
      </c>
      <c r="H2">
        <v>-15.799189999999999</v>
      </c>
      <c r="I2">
        <v>-9.3573257000000003E-3</v>
      </c>
      <c r="J2">
        <v>-11.17638</v>
      </c>
      <c r="K2">
        <v>-5.3895614000000003E-3</v>
      </c>
      <c r="L2">
        <v>1511.5930000000001</v>
      </c>
      <c r="M2">
        <v>2.7229130000000001E-2</v>
      </c>
      <c r="N2">
        <v>7.0394003E-3</v>
      </c>
      <c r="O2">
        <v>562.1078</v>
      </c>
      <c r="P2">
        <v>-1.3652315E-2</v>
      </c>
      <c r="Q2">
        <v>-3.5693366E-3</v>
      </c>
      <c r="R2">
        <v>-7.6740740000000001</v>
      </c>
      <c r="S2">
        <v>41.159370000000003</v>
      </c>
    </row>
    <row r="3" spans="1:19">
      <c r="A3" t="s">
        <v>1</v>
      </c>
      <c r="B3">
        <v>1248</v>
      </c>
      <c r="C3">
        <v>2732.0859999999998</v>
      </c>
      <c r="D3">
        <v>564.8723</v>
      </c>
      <c r="E3">
        <v>5.4265679999999996</v>
      </c>
      <c r="F3">
        <v>9.6067162000000005E-3</v>
      </c>
      <c r="G3">
        <v>2167.181</v>
      </c>
      <c r="H3">
        <v>-19.900670000000002</v>
      </c>
      <c r="I3">
        <v>-9.1827447000000003E-3</v>
      </c>
      <c r="J3">
        <v>-14.47411</v>
      </c>
      <c r="K3">
        <v>-5.2978219000000002E-3</v>
      </c>
      <c r="L3">
        <v>1990.0550000000001</v>
      </c>
      <c r="M3">
        <v>2.4446356999999998E-2</v>
      </c>
      <c r="N3">
        <v>6.3140284999999999E-3</v>
      </c>
      <c r="O3">
        <v>741.99059999999997</v>
      </c>
      <c r="P3">
        <v>-1.1528773000000001E-2</v>
      </c>
      <c r="Q3">
        <v>-3.0248377000000001E-3</v>
      </c>
      <c r="R3">
        <v>-8.5542409999999993</v>
      </c>
      <c r="S3">
        <v>48.649590000000003</v>
      </c>
    </row>
    <row r="4" spans="1:19">
      <c r="A4" t="s">
        <v>2</v>
      </c>
      <c r="B4">
        <v>2468</v>
      </c>
      <c r="C4">
        <v>4634.8620000000001</v>
      </c>
      <c r="D4">
        <v>878.78309999999999</v>
      </c>
      <c r="E4">
        <v>9.3429730000000006</v>
      </c>
      <c r="F4">
        <v>1.0631715999999999E-2</v>
      </c>
      <c r="G4">
        <v>3756.076</v>
      </c>
      <c r="H4">
        <v>-36.546059999999997</v>
      </c>
      <c r="I4">
        <v>-9.7298500999999996E-3</v>
      </c>
      <c r="J4">
        <v>-27.20309</v>
      </c>
      <c r="K4">
        <v>-5.8692325999999996E-3</v>
      </c>
      <c r="L4">
        <v>3840.5819999999999</v>
      </c>
      <c r="M4">
        <v>2.4715516999999999E-2</v>
      </c>
      <c r="N4">
        <v>6.3898996000000003E-3</v>
      </c>
      <c r="O4">
        <v>794.33010000000002</v>
      </c>
      <c r="P4">
        <v>-1.2878232E-2</v>
      </c>
      <c r="Q4">
        <v>-3.3816749000000002E-3</v>
      </c>
      <c r="R4">
        <v>-10.229570000000001</v>
      </c>
      <c r="S4">
        <v>94.921959999999999</v>
      </c>
    </row>
    <row r="5" spans="1:19">
      <c r="A5" t="s">
        <v>3</v>
      </c>
      <c r="B5">
        <v>993</v>
      </c>
      <c r="C5">
        <v>1615.779</v>
      </c>
      <c r="D5">
        <v>468.54730000000001</v>
      </c>
      <c r="E5">
        <v>2.7093289999999999</v>
      </c>
      <c r="F5">
        <v>5.7824021000000003E-3</v>
      </c>
      <c r="G5">
        <v>1147.242</v>
      </c>
      <c r="H5">
        <v>-11.063739999999999</v>
      </c>
      <c r="I5">
        <v>-9.6437745000000005E-3</v>
      </c>
      <c r="J5">
        <v>-8.3544099999999997</v>
      </c>
      <c r="K5">
        <v>-5.1705147999999996E-3</v>
      </c>
      <c r="L5">
        <v>1235.306</v>
      </c>
      <c r="M5">
        <v>1.9203145000000001E-2</v>
      </c>
      <c r="N5">
        <v>5.0343308000000003E-3</v>
      </c>
      <c r="O5">
        <v>380.4828</v>
      </c>
      <c r="P5">
        <v>-1.2636959999999999E-2</v>
      </c>
      <c r="Q5">
        <v>-3.3182511E-3</v>
      </c>
      <c r="R5">
        <v>-4.8081459999999998</v>
      </c>
      <c r="S5">
        <v>23.721769999999999</v>
      </c>
    </row>
    <row r="6" spans="1:19">
      <c r="A6" t="s">
        <v>4</v>
      </c>
      <c r="B6">
        <v>994</v>
      </c>
      <c r="C6">
        <v>1561.171</v>
      </c>
      <c r="D6">
        <v>432.48039999999997</v>
      </c>
      <c r="E6">
        <v>2.830943</v>
      </c>
      <c r="F6">
        <v>6.5458286999999999E-3</v>
      </c>
      <c r="G6">
        <v>1128.7</v>
      </c>
      <c r="H6">
        <v>-11.0059</v>
      </c>
      <c r="I6">
        <v>-9.7509464000000001E-3</v>
      </c>
      <c r="J6">
        <v>-8.1749530000000004</v>
      </c>
      <c r="K6">
        <v>-5.2364254000000004E-3</v>
      </c>
      <c r="L6">
        <v>1222.981</v>
      </c>
      <c r="M6">
        <v>1.9809054E-2</v>
      </c>
      <c r="N6">
        <v>5.2517001000000002E-3</v>
      </c>
      <c r="O6">
        <v>338.20080000000002</v>
      </c>
      <c r="P6">
        <v>-1.2528437999999999E-2</v>
      </c>
      <c r="Q6">
        <v>-3.3284586000000001E-3</v>
      </c>
      <c r="R6">
        <v>-4.2371280000000002</v>
      </c>
      <c r="S6">
        <v>24.226089999999999</v>
      </c>
    </row>
    <row r="7" spans="1:19">
      <c r="A7" t="s">
        <v>5</v>
      </c>
      <c r="B7">
        <v>1001</v>
      </c>
      <c r="C7">
        <v>1620.0619999999999</v>
      </c>
      <c r="D7">
        <v>465.08730000000003</v>
      </c>
      <c r="E7">
        <v>2.6812839999999998</v>
      </c>
      <c r="F7">
        <v>5.7651185999999998E-3</v>
      </c>
      <c r="G7">
        <v>1154.9929999999999</v>
      </c>
      <c r="H7">
        <v>-11.781040000000001</v>
      </c>
      <c r="I7">
        <v>-1.0200099000000001E-2</v>
      </c>
      <c r="J7">
        <v>-9.099755</v>
      </c>
      <c r="K7">
        <v>-5.6169163000000001E-3</v>
      </c>
      <c r="L7">
        <v>1275.01</v>
      </c>
      <c r="M7">
        <v>1.9272062999999999E-2</v>
      </c>
      <c r="N7">
        <v>5.1106642999999997E-3</v>
      </c>
      <c r="O7">
        <v>345.07119999999998</v>
      </c>
      <c r="P7">
        <v>-1.2663264E-2</v>
      </c>
      <c r="Q7">
        <v>-3.3561655000000001E-3</v>
      </c>
      <c r="R7">
        <v>-4.3697280000000003</v>
      </c>
      <c r="S7">
        <v>24.57207</v>
      </c>
    </row>
    <row r="8" spans="1:19">
      <c r="A8" t="s">
        <v>6</v>
      </c>
      <c r="B8">
        <v>1001</v>
      </c>
      <c r="C8">
        <v>1590.52</v>
      </c>
      <c r="D8">
        <v>472.36810000000003</v>
      </c>
      <c r="E8">
        <v>2.9634269999999998</v>
      </c>
      <c r="F8">
        <v>6.2735546E-3</v>
      </c>
      <c r="G8">
        <v>1118.1679999999999</v>
      </c>
      <c r="H8">
        <v>-11.36872</v>
      </c>
      <c r="I8">
        <v>-1.0167270000000001E-2</v>
      </c>
      <c r="J8">
        <v>-8.4052910000000001</v>
      </c>
      <c r="K8">
        <v>-5.2846163000000003E-3</v>
      </c>
      <c r="L8">
        <v>1250.4690000000001</v>
      </c>
      <c r="M8">
        <v>1.9327813999999999E-2</v>
      </c>
      <c r="N8">
        <v>5.1248594999999996E-3</v>
      </c>
      <c r="O8">
        <v>340.06459999999998</v>
      </c>
      <c r="P8">
        <v>-1.2423316E-2</v>
      </c>
      <c r="Q8">
        <v>-3.2902879000000001E-3</v>
      </c>
      <c r="R8">
        <v>-4.2247300000000001</v>
      </c>
      <c r="S8">
        <v>24.168839999999999</v>
      </c>
    </row>
    <row r="9" spans="1:19">
      <c r="A9" t="s">
        <v>7</v>
      </c>
      <c r="B9">
        <v>1305</v>
      </c>
      <c r="C9">
        <v>2150.7220000000002</v>
      </c>
      <c r="D9">
        <v>513.69600000000003</v>
      </c>
      <c r="E9">
        <v>4.2893080000000001</v>
      </c>
      <c r="F9">
        <v>8.3498954999999993E-3</v>
      </c>
      <c r="G9">
        <v>1637.0440000000001</v>
      </c>
      <c r="H9">
        <v>-16.45635</v>
      </c>
      <c r="I9">
        <v>-1.0052481E-2</v>
      </c>
      <c r="J9">
        <v>-12.16704</v>
      </c>
      <c r="K9">
        <v>-5.6571894999999997E-3</v>
      </c>
      <c r="L9">
        <v>1628.633</v>
      </c>
      <c r="M9">
        <v>2.1880586E-2</v>
      </c>
      <c r="N9">
        <v>5.8104428000000001E-3</v>
      </c>
      <c r="O9">
        <v>522.11329999999998</v>
      </c>
      <c r="P9">
        <v>-1.2197929999999999E-2</v>
      </c>
      <c r="Q9">
        <v>-3.2279282000000002E-3</v>
      </c>
      <c r="R9">
        <v>-6.3687019999999999</v>
      </c>
      <c r="S9">
        <v>35.635440000000003</v>
      </c>
    </row>
    <row r="10" spans="1:19">
      <c r="A10" t="s">
        <v>8</v>
      </c>
      <c r="B10">
        <v>1309</v>
      </c>
      <c r="C10">
        <v>2152.7020000000002</v>
      </c>
      <c r="D10">
        <v>493.53120000000001</v>
      </c>
      <c r="E10">
        <v>4.164021</v>
      </c>
      <c r="F10">
        <v>8.4371995000000009E-3</v>
      </c>
      <c r="G10">
        <v>1659.19</v>
      </c>
      <c r="H10">
        <v>-16.824960000000001</v>
      </c>
      <c r="I10">
        <v>-1.0140467E-2</v>
      </c>
      <c r="J10">
        <v>-12.66094</v>
      </c>
      <c r="K10">
        <v>-5.8814193999999998E-3</v>
      </c>
      <c r="L10">
        <v>1621.5129999999999</v>
      </c>
      <c r="M10">
        <v>2.1955526E-2</v>
      </c>
      <c r="N10">
        <v>5.8352993999999997E-3</v>
      </c>
      <c r="O10">
        <v>531.21600000000001</v>
      </c>
      <c r="P10">
        <v>-1.2643022E-2</v>
      </c>
      <c r="Q10">
        <v>-3.3497137000000001E-3</v>
      </c>
      <c r="R10">
        <v>-6.7161759999999999</v>
      </c>
      <c r="S10">
        <v>35.60116</v>
      </c>
    </row>
    <row r="11" spans="1:19">
      <c r="A11" t="s">
        <v>9</v>
      </c>
      <c r="B11">
        <v>951</v>
      </c>
      <c r="C11">
        <v>1599.2619999999999</v>
      </c>
      <c r="D11">
        <v>372.89769999999999</v>
      </c>
      <c r="E11">
        <v>2.8996390000000001</v>
      </c>
      <c r="F11">
        <v>7.7759628000000003E-3</v>
      </c>
      <c r="G11">
        <v>1226.3779999999999</v>
      </c>
      <c r="H11">
        <v>-13.00731</v>
      </c>
      <c r="I11">
        <v>-1.0606281E-2</v>
      </c>
      <c r="J11">
        <v>-10.107670000000001</v>
      </c>
      <c r="K11">
        <v>-6.3202077999999998E-3</v>
      </c>
      <c r="L11">
        <v>1330.546</v>
      </c>
      <c r="M11">
        <v>1.8394915000000001E-2</v>
      </c>
      <c r="N11">
        <v>4.8921206E-3</v>
      </c>
      <c r="O11">
        <v>268.7312</v>
      </c>
      <c r="P11">
        <v>-8.2502514000000002E-3</v>
      </c>
      <c r="Q11">
        <v>-2.1757604999999998E-3</v>
      </c>
      <c r="R11">
        <v>-2.2170999999999998</v>
      </c>
      <c r="S11">
        <v>24.475280000000001</v>
      </c>
    </row>
    <row r="12" spans="1:19">
      <c r="A12" t="s">
        <v>10</v>
      </c>
      <c r="B12">
        <v>956</v>
      </c>
      <c r="C12">
        <v>1551.4580000000001</v>
      </c>
      <c r="D12">
        <v>335.4751</v>
      </c>
      <c r="E12">
        <v>2.3217590000000001</v>
      </c>
      <c r="F12">
        <v>6.9208079999999996E-3</v>
      </c>
      <c r="G12">
        <v>1215.99</v>
      </c>
      <c r="H12">
        <v>-12.8895</v>
      </c>
      <c r="I12">
        <v>-1.0600007999999999E-2</v>
      </c>
      <c r="J12">
        <v>-10.567740000000001</v>
      </c>
      <c r="K12">
        <v>-6.8114902999999996E-3</v>
      </c>
      <c r="L12">
        <v>1279.377</v>
      </c>
      <c r="M12">
        <v>1.8365976999999999E-2</v>
      </c>
      <c r="N12">
        <v>4.8809754999999998E-3</v>
      </c>
      <c r="O12">
        <v>272.09059999999999</v>
      </c>
      <c r="P12">
        <v>-8.3104362999999997E-3</v>
      </c>
      <c r="Q12">
        <v>-2.193202E-3</v>
      </c>
      <c r="R12">
        <v>-2.2611910000000002</v>
      </c>
      <c r="S12">
        <v>23.49701</v>
      </c>
    </row>
    <row r="13" spans="1:19">
      <c r="A13" t="s">
        <v>11</v>
      </c>
      <c r="B13">
        <v>957</v>
      </c>
      <c r="C13">
        <v>1572.8140000000001</v>
      </c>
      <c r="D13">
        <v>365.77460000000002</v>
      </c>
      <c r="E13">
        <v>3.078649</v>
      </c>
      <c r="F13">
        <v>8.4167923999999995E-3</v>
      </c>
      <c r="G13">
        <v>1207.0509999999999</v>
      </c>
      <c r="H13">
        <v>-12.67628</v>
      </c>
      <c r="I13">
        <v>-1.0501857999999999E-2</v>
      </c>
      <c r="J13">
        <v>-9.5976289999999995</v>
      </c>
      <c r="K13">
        <v>-6.1022011000000003E-3</v>
      </c>
      <c r="L13">
        <v>1325.4680000000001</v>
      </c>
      <c r="M13">
        <v>1.8408831E-2</v>
      </c>
      <c r="N13">
        <v>4.8967124999999998E-3</v>
      </c>
      <c r="O13">
        <v>247.35599999999999</v>
      </c>
      <c r="P13">
        <v>-8.4168082000000005E-3</v>
      </c>
      <c r="Q13">
        <v>-2.2195608E-3</v>
      </c>
      <c r="R13">
        <v>-2.0819480000000001</v>
      </c>
      <c r="S13">
        <v>24.400320000000001</v>
      </c>
    </row>
    <row r="14" spans="1:19">
      <c r="A14" t="s">
        <v>12</v>
      </c>
      <c r="B14">
        <v>1894</v>
      </c>
      <c r="C14">
        <v>3951.7429999999999</v>
      </c>
      <c r="D14">
        <v>1062.796</v>
      </c>
      <c r="E14">
        <v>8.3280580000000004</v>
      </c>
      <c r="F14">
        <v>7.8359889000000002E-3</v>
      </c>
      <c r="G14">
        <v>2888.8710000000001</v>
      </c>
      <c r="H14">
        <v>-25.135929999999998</v>
      </c>
      <c r="I14">
        <v>-8.7009519E-3</v>
      </c>
      <c r="J14">
        <v>-16.807870000000001</v>
      </c>
      <c r="K14">
        <v>-4.2532808000000002E-3</v>
      </c>
      <c r="L14">
        <v>3428.384</v>
      </c>
      <c r="M14">
        <v>1.8039725999999999E-2</v>
      </c>
      <c r="N14">
        <v>4.6578636000000001E-3</v>
      </c>
      <c r="O14">
        <v>523.34860000000003</v>
      </c>
      <c r="P14">
        <v>-8.0752922000000005E-3</v>
      </c>
      <c r="Q14">
        <v>-2.1152113999999998E-3</v>
      </c>
      <c r="R14">
        <v>-4.2261920000000002</v>
      </c>
      <c r="S14">
        <v>61.847110000000001</v>
      </c>
    </row>
    <row r="15" spans="1:19">
      <c r="A15" t="s">
        <v>13</v>
      </c>
      <c r="B15">
        <v>2192</v>
      </c>
      <c r="C15">
        <v>3839.7510000000002</v>
      </c>
      <c r="D15">
        <v>592.93579999999997</v>
      </c>
      <c r="E15">
        <v>6.5916430000000004</v>
      </c>
      <c r="F15">
        <v>1.111696E-2</v>
      </c>
      <c r="G15">
        <v>3246.7779999999998</v>
      </c>
      <c r="H15">
        <v>-29.91356</v>
      </c>
      <c r="I15">
        <v>-9.2133050999999994E-3</v>
      </c>
      <c r="J15">
        <v>-23.321909999999999</v>
      </c>
      <c r="K15">
        <v>-6.0738088000000003E-3</v>
      </c>
      <c r="L15">
        <v>2814.123</v>
      </c>
      <c r="M15">
        <v>2.3136885999999999E-2</v>
      </c>
      <c r="N15">
        <v>6.1511602000000002E-3</v>
      </c>
      <c r="O15">
        <v>1025.5920000000001</v>
      </c>
      <c r="P15">
        <v>-1.2615191E-2</v>
      </c>
      <c r="Q15">
        <v>-3.3587837E-3</v>
      </c>
      <c r="R15">
        <v>-12.938040000000001</v>
      </c>
      <c r="S15">
        <v>65.110029999999995</v>
      </c>
    </row>
    <row r="16" spans="1:19">
      <c r="A16" t="s">
        <v>14</v>
      </c>
      <c r="B16">
        <v>2192</v>
      </c>
      <c r="C16">
        <v>4028.04</v>
      </c>
      <c r="D16">
        <v>608.64869999999996</v>
      </c>
      <c r="E16">
        <v>6.9356879999999999</v>
      </c>
      <c r="F16">
        <v>1.1395224000000001E-2</v>
      </c>
      <c r="G16">
        <v>3419.3580000000002</v>
      </c>
      <c r="H16">
        <v>-31.372199999999999</v>
      </c>
      <c r="I16">
        <v>-9.1748795999999997E-3</v>
      </c>
      <c r="J16">
        <v>-24.436509999999998</v>
      </c>
      <c r="K16">
        <v>-6.0666002999999998E-3</v>
      </c>
      <c r="L16">
        <v>2928.6509999999998</v>
      </c>
      <c r="M16">
        <v>2.3054654000000001E-2</v>
      </c>
      <c r="N16">
        <v>6.1269547000000002E-3</v>
      </c>
      <c r="O16">
        <v>1099.3599999999999</v>
      </c>
      <c r="P16">
        <v>-1.2605668E-2</v>
      </c>
      <c r="Q16">
        <v>-3.3587411000000002E-3</v>
      </c>
      <c r="R16">
        <v>-13.858169999999999</v>
      </c>
      <c r="S16">
        <v>67.519040000000004</v>
      </c>
    </row>
    <row r="17" spans="1:19">
      <c r="A17" t="s">
        <v>15</v>
      </c>
      <c r="B17">
        <v>2201</v>
      </c>
      <c r="C17">
        <v>4023.5650000000001</v>
      </c>
      <c r="D17">
        <v>712.65470000000005</v>
      </c>
      <c r="E17">
        <v>7.5435730000000003</v>
      </c>
      <c r="F17">
        <v>1.0585172E-2</v>
      </c>
      <c r="G17">
        <v>3310.875</v>
      </c>
      <c r="H17">
        <v>-30.41526</v>
      </c>
      <c r="I17">
        <v>-9.1864689999999992E-3</v>
      </c>
      <c r="J17">
        <v>-22.871680000000001</v>
      </c>
      <c r="K17">
        <v>-5.684433E-3</v>
      </c>
      <c r="L17">
        <v>2893.9270000000001</v>
      </c>
      <c r="M17">
        <v>2.3750205999999999E-2</v>
      </c>
      <c r="N17">
        <v>6.3131591000000001E-3</v>
      </c>
      <c r="O17">
        <v>1129.585</v>
      </c>
      <c r="P17">
        <v>-1.3042846E-2</v>
      </c>
      <c r="Q17">
        <v>-3.4821557E-3</v>
      </c>
      <c r="R17">
        <v>-14.733000000000001</v>
      </c>
      <c r="S17">
        <v>68.731359999999995</v>
      </c>
    </row>
    <row r="18" spans="1:19">
      <c r="A18" t="s">
        <v>16</v>
      </c>
      <c r="B18">
        <v>4326</v>
      </c>
      <c r="C18">
        <v>8479.1479999999992</v>
      </c>
      <c r="D18">
        <v>1500.6780000000001</v>
      </c>
      <c r="E18">
        <v>17.29636</v>
      </c>
      <c r="F18">
        <v>1.1525697999999999E-2</v>
      </c>
      <c r="G18">
        <v>6978.6859999999997</v>
      </c>
      <c r="H18">
        <v>-53.104590000000002</v>
      </c>
      <c r="I18">
        <v>-7.6095401000000002E-3</v>
      </c>
      <c r="J18">
        <v>-35.808230000000002</v>
      </c>
      <c r="K18">
        <v>-4.2230925000000001E-3</v>
      </c>
      <c r="L18">
        <v>6813.942</v>
      </c>
      <c r="M18">
        <v>2.2512941000000002E-2</v>
      </c>
      <c r="N18">
        <v>5.8047408000000003E-3</v>
      </c>
      <c r="O18">
        <v>1665.277</v>
      </c>
      <c r="P18">
        <v>-1.2764058999999999E-2</v>
      </c>
      <c r="Q18">
        <v>-3.3531623999999999E-3</v>
      </c>
      <c r="R18">
        <v>-21.255700000000001</v>
      </c>
      <c r="S18">
        <v>153.40190000000001</v>
      </c>
    </row>
    <row r="19" spans="1:19">
      <c r="A19" t="s">
        <v>17</v>
      </c>
      <c r="B19">
        <v>4366</v>
      </c>
      <c r="C19">
        <v>8584.5640000000003</v>
      </c>
      <c r="D19">
        <v>1517.9570000000001</v>
      </c>
      <c r="E19">
        <v>18.274100000000001</v>
      </c>
      <c r="F19">
        <v>1.2038614E-2</v>
      </c>
      <c r="G19">
        <v>7066.8419999999996</v>
      </c>
      <c r="H19">
        <v>-52.929450000000003</v>
      </c>
      <c r="I19">
        <v>-7.4898311999999998E-3</v>
      </c>
      <c r="J19">
        <v>-34.655349999999999</v>
      </c>
      <c r="K19">
        <v>-4.0369374000000001E-3</v>
      </c>
      <c r="L19">
        <v>6937.0249999999996</v>
      </c>
      <c r="M19">
        <v>2.2634806E-2</v>
      </c>
      <c r="N19">
        <v>5.8336387999999998E-3</v>
      </c>
      <c r="O19">
        <v>1647.6959999999999</v>
      </c>
      <c r="P19">
        <v>-1.2414543E-2</v>
      </c>
      <c r="Q19">
        <v>-3.2598227000000001E-3</v>
      </c>
      <c r="R19">
        <v>-20.455390000000001</v>
      </c>
      <c r="S19">
        <v>157.01820000000001</v>
      </c>
    </row>
    <row r="20" spans="1:19">
      <c r="A20" t="s">
        <v>18</v>
      </c>
      <c r="B20">
        <v>4368</v>
      </c>
      <c r="C20">
        <v>8619.8349999999991</v>
      </c>
      <c r="D20">
        <v>1523.163</v>
      </c>
      <c r="E20">
        <v>18.243500000000001</v>
      </c>
      <c r="F20">
        <v>1.1977377000000001E-2</v>
      </c>
      <c r="G20">
        <v>7096.92</v>
      </c>
      <c r="H20">
        <v>-53.038350000000001</v>
      </c>
      <c r="I20">
        <v>-7.4734310999999996E-3</v>
      </c>
      <c r="J20">
        <v>-34.794849999999997</v>
      </c>
      <c r="K20">
        <v>-4.0366025999999996E-3</v>
      </c>
      <c r="L20">
        <v>6954.3739999999998</v>
      </c>
      <c r="M20">
        <v>2.2547718000000001E-2</v>
      </c>
      <c r="N20">
        <v>5.8127687999999997E-3</v>
      </c>
      <c r="O20">
        <v>1665.616</v>
      </c>
      <c r="P20">
        <v>-1.2463695E-2</v>
      </c>
      <c r="Q20">
        <v>-3.2723416E-3</v>
      </c>
      <c r="R20">
        <v>-20.759740000000001</v>
      </c>
      <c r="S20">
        <v>156.80529999999999</v>
      </c>
    </row>
    <row r="21" spans="1:19">
      <c r="A21" t="s">
        <v>19</v>
      </c>
      <c r="B21">
        <v>4368</v>
      </c>
      <c r="C21">
        <v>8416.6460000000006</v>
      </c>
      <c r="D21">
        <v>1421.826</v>
      </c>
      <c r="E21">
        <v>16.53237</v>
      </c>
      <c r="F21">
        <v>1.1627561E-2</v>
      </c>
      <c r="G21">
        <v>6994.9849999999997</v>
      </c>
      <c r="H21">
        <v>-52.981650000000002</v>
      </c>
      <c r="I21">
        <v>-7.5742331999999997E-3</v>
      </c>
      <c r="J21">
        <v>-36.449280000000002</v>
      </c>
      <c r="K21">
        <v>-4.3306187999999999E-3</v>
      </c>
      <c r="L21">
        <v>6831.4449999999997</v>
      </c>
      <c r="M21">
        <v>2.2373655999999999E-2</v>
      </c>
      <c r="N21">
        <v>5.7683665999999998E-3</v>
      </c>
      <c r="O21">
        <v>1585.2429999999999</v>
      </c>
      <c r="P21">
        <v>-1.2405388E-2</v>
      </c>
      <c r="Q21">
        <v>-3.2585838000000001E-3</v>
      </c>
      <c r="R21">
        <v>-19.66555</v>
      </c>
      <c r="S21">
        <v>152.84440000000001</v>
      </c>
    </row>
    <row r="22" spans="1:19">
      <c r="A22" t="s">
        <v>20</v>
      </c>
      <c r="B22">
        <v>4376</v>
      </c>
      <c r="C22">
        <v>8594.7849999999999</v>
      </c>
      <c r="D22">
        <v>1514.028</v>
      </c>
      <c r="E22">
        <v>18.204149999999998</v>
      </c>
      <c r="F22">
        <v>1.202366E-2</v>
      </c>
      <c r="G22">
        <v>7081.0159999999996</v>
      </c>
      <c r="H22">
        <v>-53.267870000000002</v>
      </c>
      <c r="I22">
        <v>-7.5226310000000001E-3</v>
      </c>
      <c r="J22">
        <v>-35.063720000000004</v>
      </c>
      <c r="K22">
        <v>-4.0796501999999998E-3</v>
      </c>
      <c r="L22">
        <v>6961.9430000000002</v>
      </c>
      <c r="M22">
        <v>2.2709093999999999E-2</v>
      </c>
      <c r="N22">
        <v>5.8540162000000001E-3</v>
      </c>
      <c r="O22">
        <v>1632.999</v>
      </c>
      <c r="P22">
        <v>-1.2451220000000001E-2</v>
      </c>
      <c r="Q22">
        <v>-3.2684181E-3</v>
      </c>
      <c r="R22">
        <v>-20.332830000000001</v>
      </c>
      <c r="S22">
        <v>158.0994</v>
      </c>
    </row>
    <row r="23" spans="1:19">
      <c r="A23" t="s">
        <v>21</v>
      </c>
      <c r="B23">
        <v>4382</v>
      </c>
      <c r="C23">
        <v>8416.3770000000004</v>
      </c>
      <c r="D23">
        <v>1430.9670000000001</v>
      </c>
      <c r="E23">
        <v>16.936969999999999</v>
      </c>
      <c r="F23">
        <v>1.1836032999999999E-2</v>
      </c>
      <c r="G23">
        <v>6985.5770000000002</v>
      </c>
      <c r="H23">
        <v>-52.526000000000003</v>
      </c>
      <c r="I23">
        <v>-7.5192074000000001E-3</v>
      </c>
      <c r="J23">
        <v>-35.589030000000001</v>
      </c>
      <c r="K23">
        <v>-4.2285454000000004E-3</v>
      </c>
      <c r="L23">
        <v>6790.4179999999997</v>
      </c>
      <c r="M23">
        <v>2.2516325E-2</v>
      </c>
      <c r="N23">
        <v>5.8062226E-3</v>
      </c>
      <c r="O23">
        <v>1626.01</v>
      </c>
      <c r="P23">
        <v>-1.2319553E-2</v>
      </c>
      <c r="Q23">
        <v>-3.2356179E-3</v>
      </c>
      <c r="R23">
        <v>-20.03171</v>
      </c>
      <c r="S23">
        <v>152.89529999999999</v>
      </c>
    </row>
    <row r="24" spans="1:19">
      <c r="A24" t="s">
        <v>34</v>
      </c>
      <c r="B24">
        <v>4382</v>
      </c>
      <c r="C24">
        <v>8582.6049999999996</v>
      </c>
      <c r="D24">
        <v>1517.694</v>
      </c>
      <c r="E24">
        <v>18.145849999999999</v>
      </c>
      <c r="F24">
        <v>1.1956191999999999E-2</v>
      </c>
      <c r="G24">
        <v>7065.1419999999998</v>
      </c>
      <c r="H24">
        <v>-53.187869999999997</v>
      </c>
      <c r="I24">
        <v>-7.5282101000000001E-3</v>
      </c>
      <c r="J24">
        <v>-35.042020000000001</v>
      </c>
      <c r="K24">
        <v>-4.0829120999999998E-3</v>
      </c>
      <c r="L24">
        <v>6900.5820000000003</v>
      </c>
      <c r="M24">
        <v>2.2667682000000001E-2</v>
      </c>
      <c r="N24">
        <v>5.8450797000000002E-3</v>
      </c>
      <c r="O24">
        <v>1682.1559999999999</v>
      </c>
      <c r="P24">
        <v>-1.2304641E-2</v>
      </c>
      <c r="Q24">
        <v>-3.2280617999999998E-3</v>
      </c>
      <c r="R24">
        <v>-20.698329999999999</v>
      </c>
      <c r="S24">
        <v>156.42019999999999</v>
      </c>
    </row>
    <row r="25" spans="1:19">
      <c r="A25" t="s">
        <v>22</v>
      </c>
      <c r="B25">
        <v>4384</v>
      </c>
      <c r="C25">
        <v>7381.0940000000001</v>
      </c>
      <c r="D25">
        <v>1168.893</v>
      </c>
      <c r="E25">
        <v>13.57255</v>
      </c>
      <c r="F25">
        <v>1.1611451E-2</v>
      </c>
      <c r="G25">
        <v>6211.9030000000002</v>
      </c>
      <c r="H25">
        <v>-55.882669999999997</v>
      </c>
      <c r="I25">
        <v>-8.9960629000000007E-3</v>
      </c>
      <c r="J25">
        <v>-42.310119999999998</v>
      </c>
      <c r="K25">
        <v>-5.7322290000000001E-3</v>
      </c>
      <c r="L25">
        <v>5374.308</v>
      </c>
      <c r="M25">
        <v>2.2980998999999998E-2</v>
      </c>
      <c r="N25">
        <v>6.1105760000000004E-3</v>
      </c>
      <c r="O25">
        <v>2006.346</v>
      </c>
      <c r="P25">
        <v>-1.2781364E-2</v>
      </c>
      <c r="Q25">
        <v>-3.4073668000000001E-3</v>
      </c>
      <c r="R25">
        <v>-25.643840000000001</v>
      </c>
      <c r="S25">
        <v>123.50700000000001</v>
      </c>
    </row>
    <row r="26" spans="1:19">
      <c r="A26" t="s">
        <v>23</v>
      </c>
      <c r="B26">
        <v>4386</v>
      </c>
      <c r="C26">
        <v>8382.0550000000003</v>
      </c>
      <c r="D26">
        <v>1452.961</v>
      </c>
      <c r="E26">
        <v>17.076029999999999</v>
      </c>
      <c r="F26">
        <v>1.1752574E-2</v>
      </c>
      <c r="G26">
        <v>6929.25</v>
      </c>
      <c r="H26">
        <v>-52.859670000000001</v>
      </c>
      <c r="I26">
        <v>-7.6284841999999997E-3</v>
      </c>
      <c r="J26">
        <v>-35.783639999999998</v>
      </c>
      <c r="K26">
        <v>-4.2690773999999997E-3</v>
      </c>
      <c r="L26">
        <v>6712.2730000000001</v>
      </c>
      <c r="M26">
        <v>2.2497451000000002E-2</v>
      </c>
      <c r="N26">
        <v>5.8004544000000002E-3</v>
      </c>
      <c r="O26">
        <v>1669.8209999999999</v>
      </c>
      <c r="P26">
        <v>-1.2679215000000001E-2</v>
      </c>
      <c r="Q26">
        <v>-3.3310293000000002E-3</v>
      </c>
      <c r="R26">
        <v>-21.17202</v>
      </c>
      <c r="S26">
        <v>151.00899999999999</v>
      </c>
    </row>
    <row r="27" spans="1:19">
      <c r="A27" t="s">
        <v>24</v>
      </c>
      <c r="B27">
        <v>4386</v>
      </c>
      <c r="C27">
        <v>8422.7890000000007</v>
      </c>
      <c r="D27">
        <v>1452.617</v>
      </c>
      <c r="E27">
        <v>17.034870000000002</v>
      </c>
      <c r="F27">
        <v>1.1727025E-2</v>
      </c>
      <c r="G27">
        <v>6970.317</v>
      </c>
      <c r="H27">
        <v>-52.366070000000001</v>
      </c>
      <c r="I27">
        <v>-7.5127231000000003E-3</v>
      </c>
      <c r="J27">
        <v>-35.331200000000003</v>
      </c>
      <c r="K27">
        <v>-4.1947145999999998E-3</v>
      </c>
      <c r="L27">
        <v>6794.625</v>
      </c>
      <c r="M27">
        <v>2.2522871999999999E-2</v>
      </c>
      <c r="N27">
        <v>5.8068787000000004E-3</v>
      </c>
      <c r="O27">
        <v>1628.1990000000001</v>
      </c>
      <c r="P27">
        <v>-1.2713403E-2</v>
      </c>
      <c r="Q27">
        <v>-3.3381639999999998E-3</v>
      </c>
      <c r="R27">
        <v>-20.699950000000001</v>
      </c>
      <c r="S27">
        <v>153.03450000000001</v>
      </c>
    </row>
    <row r="28" spans="1:19">
      <c r="A28" t="s">
        <v>25</v>
      </c>
      <c r="B28">
        <v>4396</v>
      </c>
      <c r="C28">
        <v>9225.598</v>
      </c>
      <c r="D28">
        <v>1628.3430000000001</v>
      </c>
      <c r="E28">
        <v>19.042560000000002</v>
      </c>
      <c r="F28">
        <v>1.1694441E-2</v>
      </c>
      <c r="G28">
        <v>7597.7690000000002</v>
      </c>
      <c r="H28">
        <v>-56.163849999999996</v>
      </c>
      <c r="I28">
        <v>-7.3921502999999998E-3</v>
      </c>
      <c r="J28">
        <v>-37.121290000000002</v>
      </c>
      <c r="K28">
        <v>-4.0237275000000001E-3</v>
      </c>
      <c r="L28">
        <v>7392.3</v>
      </c>
      <c r="M28">
        <v>2.2290483E-2</v>
      </c>
      <c r="N28">
        <v>5.7421918000000001E-3</v>
      </c>
      <c r="O28">
        <v>1833.711</v>
      </c>
      <c r="P28">
        <v>-1.2565177E-2</v>
      </c>
      <c r="Q28">
        <v>-3.2924991E-3</v>
      </c>
      <c r="R28">
        <v>-23.04091</v>
      </c>
      <c r="S28">
        <v>164.77789999999999</v>
      </c>
    </row>
    <row r="29" spans="1:19">
      <c r="A29" t="s">
        <v>26</v>
      </c>
      <c r="B29">
        <v>4496</v>
      </c>
      <c r="C29">
        <v>8701.6910000000007</v>
      </c>
      <c r="D29">
        <v>1416.9670000000001</v>
      </c>
      <c r="E29">
        <v>14.67642</v>
      </c>
      <c r="F29">
        <v>1.035763E-2</v>
      </c>
      <c r="G29">
        <v>7285.1419999999998</v>
      </c>
      <c r="H29">
        <v>-61.293050000000001</v>
      </c>
      <c r="I29">
        <v>-8.4134330999999993E-3</v>
      </c>
      <c r="J29">
        <v>-46.616630000000001</v>
      </c>
      <c r="K29">
        <v>-5.3571914E-3</v>
      </c>
      <c r="L29">
        <v>7014.4949999999999</v>
      </c>
      <c r="M29">
        <v>2.5707346999999998E-2</v>
      </c>
      <c r="N29">
        <v>6.6621372999999999E-3</v>
      </c>
      <c r="O29">
        <v>1687.4860000000001</v>
      </c>
      <c r="P29">
        <v>-1.0929069E-2</v>
      </c>
      <c r="Q29">
        <v>-2.8619876000000001E-3</v>
      </c>
      <c r="R29">
        <v>-18.44265</v>
      </c>
      <c r="S29">
        <v>180.32409999999999</v>
      </c>
    </row>
    <row r="30" spans="1:19">
      <c r="A30" t="s">
        <v>27</v>
      </c>
      <c r="B30">
        <v>4616</v>
      </c>
      <c r="C30">
        <v>8731.1299999999992</v>
      </c>
      <c r="D30">
        <v>1557.587</v>
      </c>
      <c r="E30">
        <v>18.07047</v>
      </c>
      <c r="F30">
        <v>1.1601574999999999E-2</v>
      </c>
      <c r="G30">
        <v>7173.9589999999998</v>
      </c>
      <c r="H30">
        <v>-62.685070000000003</v>
      </c>
      <c r="I30">
        <v>-8.7378621000000004E-3</v>
      </c>
      <c r="J30">
        <v>-44.614600000000003</v>
      </c>
      <c r="K30">
        <v>-5.1098311999999996E-3</v>
      </c>
      <c r="L30">
        <v>6733.8670000000002</v>
      </c>
      <c r="M30">
        <v>2.5886735000000001E-2</v>
      </c>
      <c r="N30">
        <v>6.6929477999999997E-3</v>
      </c>
      <c r="O30">
        <v>1997.5609999999999</v>
      </c>
      <c r="P30">
        <v>-1.1651528E-2</v>
      </c>
      <c r="Q30">
        <v>-3.0508114000000002E-3</v>
      </c>
      <c r="R30">
        <v>-23.274640000000002</v>
      </c>
      <c r="S30">
        <v>174.31780000000001</v>
      </c>
    </row>
    <row r="31" spans="1:19">
      <c r="A31" t="s">
        <v>28</v>
      </c>
      <c r="B31">
        <v>4599</v>
      </c>
      <c r="C31">
        <v>7915.5379999999996</v>
      </c>
      <c r="D31">
        <v>1295.33</v>
      </c>
      <c r="E31">
        <v>14.99183</v>
      </c>
      <c r="F31">
        <v>1.1573748999999999E-2</v>
      </c>
      <c r="G31">
        <v>6619.8639999999996</v>
      </c>
      <c r="H31">
        <v>-71.187449999999998</v>
      </c>
      <c r="I31">
        <v>-1.0753611E-2</v>
      </c>
      <c r="J31">
        <v>-56.195619999999998</v>
      </c>
      <c r="K31">
        <v>-7.0994068000000002E-3</v>
      </c>
      <c r="L31">
        <v>5971.4880000000003</v>
      </c>
      <c r="M31">
        <v>2.6353321999999998E-2</v>
      </c>
      <c r="N31">
        <v>6.9991345999999999E-3</v>
      </c>
      <c r="O31">
        <v>1943.674</v>
      </c>
      <c r="P31">
        <v>-1.1416337E-2</v>
      </c>
      <c r="Q31">
        <v>-3.0177669000000002E-3</v>
      </c>
      <c r="R31">
        <v>-22.189640000000001</v>
      </c>
      <c r="S31">
        <v>157.36850000000001</v>
      </c>
    </row>
    <row r="32" spans="1:19">
      <c r="A32" t="s">
        <v>29</v>
      </c>
      <c r="B32">
        <v>4600</v>
      </c>
      <c r="C32">
        <v>7718.3289999999997</v>
      </c>
      <c r="D32">
        <v>1246.5170000000001</v>
      </c>
      <c r="E32">
        <v>15.17445</v>
      </c>
      <c r="F32">
        <v>1.2173478E-2</v>
      </c>
      <c r="G32">
        <v>6471.5190000000002</v>
      </c>
      <c r="H32">
        <v>-70.879329999999996</v>
      </c>
      <c r="I32">
        <v>-1.0952503000000001E-2</v>
      </c>
      <c r="J32">
        <v>-55.704880000000003</v>
      </c>
      <c r="K32">
        <v>-7.2172210000000002E-3</v>
      </c>
      <c r="L32">
        <v>5946.8180000000002</v>
      </c>
      <c r="M32">
        <v>2.6638959E-2</v>
      </c>
      <c r="N32">
        <v>7.0772450000000002E-3</v>
      </c>
      <c r="O32">
        <v>1771.1949999999999</v>
      </c>
      <c r="P32">
        <v>-1.1458451999999999E-2</v>
      </c>
      <c r="Q32">
        <v>-3.0354703999999999E-3</v>
      </c>
      <c r="R32">
        <v>-20.29515</v>
      </c>
      <c r="S32">
        <v>158.4171</v>
      </c>
    </row>
    <row r="33" spans="1:19">
      <c r="A33" t="s">
        <v>30</v>
      </c>
      <c r="B33">
        <v>4599</v>
      </c>
      <c r="C33">
        <v>7674.57</v>
      </c>
      <c r="D33">
        <v>1230.5909999999999</v>
      </c>
      <c r="E33">
        <v>15.049300000000001</v>
      </c>
      <c r="F33">
        <v>1.2229322000000001E-2</v>
      </c>
      <c r="G33">
        <v>6443.7139999999999</v>
      </c>
      <c r="H33">
        <v>-70.267150000000001</v>
      </c>
      <c r="I33">
        <v>-1.0904759999999999E-2</v>
      </c>
      <c r="J33">
        <v>-55.217849999999999</v>
      </c>
      <c r="K33">
        <v>-7.1949116000000002E-3</v>
      </c>
      <c r="L33">
        <v>5899.768</v>
      </c>
      <c r="M33">
        <v>2.6585332999999999E-2</v>
      </c>
      <c r="N33">
        <v>7.0629660000000004E-3</v>
      </c>
      <c r="O33">
        <v>1774.5070000000001</v>
      </c>
      <c r="P33">
        <v>-1.1472715E-2</v>
      </c>
      <c r="Q33">
        <v>-3.0444769999999999E-3</v>
      </c>
      <c r="R33">
        <v>-20.358419999999999</v>
      </c>
      <c r="S33">
        <v>156.84729999999999</v>
      </c>
    </row>
    <row r="34" spans="1:19">
      <c r="A34" t="s">
        <v>31</v>
      </c>
      <c r="B34">
        <v>10032</v>
      </c>
      <c r="C34">
        <v>19093.8</v>
      </c>
      <c r="D34">
        <v>4285.7579999999998</v>
      </c>
      <c r="E34">
        <v>33.821869999999997</v>
      </c>
      <c r="F34">
        <v>7.8916876000000007E-3</v>
      </c>
      <c r="G34">
        <v>14808.66</v>
      </c>
      <c r="H34">
        <v>-128.7808</v>
      </c>
      <c r="I34">
        <v>-8.6963186000000008E-3</v>
      </c>
      <c r="J34">
        <v>-94.958950000000002</v>
      </c>
      <c r="K34">
        <v>-4.9732882000000003E-3</v>
      </c>
      <c r="L34">
        <v>15207.11</v>
      </c>
      <c r="M34">
        <v>1.939432E-2</v>
      </c>
      <c r="N34">
        <v>5.0113266000000002E-3</v>
      </c>
      <c r="O34">
        <v>3886.6930000000002</v>
      </c>
      <c r="P34">
        <v>-1.0339215000000001E-2</v>
      </c>
      <c r="Q34">
        <v>-2.7090031999999998E-3</v>
      </c>
      <c r="R34">
        <v>-40.18535</v>
      </c>
      <c r="S34">
        <v>294.9316</v>
      </c>
    </row>
    <row r="35" spans="1:19">
      <c r="A35" t="s">
        <v>32</v>
      </c>
      <c r="B35">
        <v>10214</v>
      </c>
      <c r="C35">
        <v>19947.099999999999</v>
      </c>
      <c r="D35">
        <v>4472.6679999999997</v>
      </c>
      <c r="E35">
        <v>35.815600000000003</v>
      </c>
      <c r="F35">
        <v>8.0076577000000003E-3</v>
      </c>
      <c r="G35">
        <v>15474.77</v>
      </c>
      <c r="H35">
        <v>-137.9092</v>
      </c>
      <c r="I35">
        <v>-8.9118750999999993E-3</v>
      </c>
      <c r="J35">
        <v>-102.0936</v>
      </c>
      <c r="K35">
        <v>-5.1182173000000001E-3</v>
      </c>
      <c r="L35">
        <v>15801.42</v>
      </c>
      <c r="M35">
        <v>1.9492064E-2</v>
      </c>
      <c r="N35">
        <v>5.0357602999999999E-3</v>
      </c>
      <c r="O35">
        <v>4145.4570000000003</v>
      </c>
      <c r="P35">
        <v>-1.1378785000000001E-2</v>
      </c>
      <c r="Q35">
        <v>-2.9867829000000002E-3</v>
      </c>
      <c r="R35">
        <v>-47.170259999999999</v>
      </c>
      <c r="S35">
        <v>308.00220000000002</v>
      </c>
    </row>
    <row r="36" spans="1:19">
      <c r="A36" t="s">
        <v>33</v>
      </c>
      <c r="B36">
        <v>10355</v>
      </c>
      <c r="C36">
        <v>20895</v>
      </c>
      <c r="D36">
        <v>5178.665</v>
      </c>
      <c r="E36">
        <v>41.994790000000002</v>
      </c>
      <c r="F36">
        <v>8.1091923999999996E-3</v>
      </c>
      <c r="G36">
        <v>15716.65</v>
      </c>
      <c r="H36">
        <v>-136.49109999999999</v>
      </c>
      <c r="I36">
        <v>-8.6844889000000005E-3</v>
      </c>
      <c r="J36">
        <v>-94.496279999999999</v>
      </c>
      <c r="K36">
        <v>-4.5224343999999998E-3</v>
      </c>
      <c r="L36">
        <v>16823.900000000001</v>
      </c>
      <c r="M36">
        <v>1.9054392E-2</v>
      </c>
      <c r="N36">
        <v>4.9130898000000001E-3</v>
      </c>
      <c r="O36">
        <v>4070.7420000000002</v>
      </c>
      <c r="P36">
        <v>-1.1336165E-2</v>
      </c>
      <c r="Q36">
        <v>-2.9691552999999999E-3</v>
      </c>
      <c r="R36">
        <v>-46.146610000000003</v>
      </c>
      <c r="S36">
        <v>320.5693</v>
      </c>
    </row>
  </sheetData>
  <phoneticPr fontId="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76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1403.7829999999999</v>
      </c>
      <c r="D2">
        <v>278.51080000000002</v>
      </c>
      <c r="E2">
        <v>3.590455</v>
      </c>
      <c r="F2">
        <v>1.2891619999999999E-2</v>
      </c>
      <c r="G2">
        <v>1125.2739999999999</v>
      </c>
      <c r="H2">
        <v>-10.694900000000001</v>
      </c>
      <c r="I2">
        <v>-9.5042605000000002E-3</v>
      </c>
      <c r="J2">
        <v>-7.1044450000000001</v>
      </c>
      <c r="K2">
        <v>-5.0609293000000001E-3</v>
      </c>
      <c r="L2">
        <v>1051.8920000000001</v>
      </c>
      <c r="M2">
        <v>2.7592627000000002E-2</v>
      </c>
      <c r="N2">
        <v>6.9736852000000004E-3</v>
      </c>
      <c r="O2">
        <v>351.8938</v>
      </c>
      <c r="P2">
        <v>-1.4124071E-2</v>
      </c>
      <c r="Q2">
        <v>-3.6278637000000001E-3</v>
      </c>
      <c r="R2">
        <v>-4.970173</v>
      </c>
      <c r="S2">
        <v>29.024480000000001</v>
      </c>
    </row>
    <row r="3" spans="1:19">
      <c r="A3" t="s">
        <v>1</v>
      </c>
      <c r="B3">
        <v>1248</v>
      </c>
      <c r="C3">
        <v>1811.431</v>
      </c>
      <c r="D3">
        <v>384.2303</v>
      </c>
      <c r="E3">
        <v>4.2849510000000004</v>
      </c>
      <c r="F3">
        <v>1.1152038E-2</v>
      </c>
      <c r="G3">
        <v>1427.194</v>
      </c>
      <c r="H3">
        <v>-13.63463</v>
      </c>
      <c r="I3">
        <v>-9.5534556999999996E-3</v>
      </c>
      <c r="J3">
        <v>-9.3496819999999996</v>
      </c>
      <c r="K3">
        <v>-5.1614889000000004E-3</v>
      </c>
      <c r="L3">
        <v>1357.6179999999999</v>
      </c>
      <c r="M3">
        <v>2.5087679000000002E-2</v>
      </c>
      <c r="N3">
        <v>6.3401888999999999E-3</v>
      </c>
      <c r="O3">
        <v>453.81299999999999</v>
      </c>
      <c r="P3">
        <v>-1.1610231E-2</v>
      </c>
      <c r="Q3">
        <v>-2.9835075E-3</v>
      </c>
      <c r="R3">
        <v>-5.2688740000000003</v>
      </c>
      <c r="S3">
        <v>34.059489999999997</v>
      </c>
    </row>
    <row r="4" spans="1:19">
      <c r="A4" t="s">
        <v>2</v>
      </c>
      <c r="B4">
        <v>2468</v>
      </c>
      <c r="C4">
        <v>3084.4119999999998</v>
      </c>
      <c r="D4">
        <v>616.11500000000001</v>
      </c>
      <c r="E4">
        <v>7.267252</v>
      </c>
      <c r="F4">
        <v>1.1795285000000001E-2</v>
      </c>
      <c r="G4">
        <v>2468.31</v>
      </c>
      <c r="H4">
        <v>-25.303049999999999</v>
      </c>
      <c r="I4">
        <v>-1.0251164E-2</v>
      </c>
      <c r="J4">
        <v>-18.035799999999998</v>
      </c>
      <c r="K4">
        <v>-5.8474019000000002E-3</v>
      </c>
      <c r="L4">
        <v>2684.404</v>
      </c>
      <c r="M4">
        <v>2.5421539E-2</v>
      </c>
      <c r="N4">
        <v>6.4251641999999998E-3</v>
      </c>
      <c r="O4">
        <v>400.0111</v>
      </c>
      <c r="P4">
        <v>-1.3191993000000001E-2</v>
      </c>
      <c r="Q4">
        <v>-3.3979034E-3</v>
      </c>
      <c r="R4">
        <v>-5.2769440000000003</v>
      </c>
      <c r="S4">
        <v>68.241669999999999</v>
      </c>
    </row>
    <row r="5" spans="1:19">
      <c r="A5" t="s">
        <v>3</v>
      </c>
      <c r="B5">
        <v>993</v>
      </c>
      <c r="C5">
        <v>921.40899999999999</v>
      </c>
      <c r="D5">
        <v>309.1773</v>
      </c>
      <c r="E5">
        <v>1.9823230000000001</v>
      </c>
      <c r="F5">
        <v>6.4116069000000001E-3</v>
      </c>
      <c r="G5">
        <v>612.23159999999996</v>
      </c>
      <c r="H5">
        <v>-6.3908769999999997</v>
      </c>
      <c r="I5">
        <v>-1.0438660000000001E-2</v>
      </c>
      <c r="J5">
        <v>-4.4085539999999996</v>
      </c>
      <c r="K5">
        <v>-4.7845789000000001E-3</v>
      </c>
      <c r="L5">
        <v>775.14620000000002</v>
      </c>
      <c r="M5">
        <v>1.9456971E-2</v>
      </c>
      <c r="N5">
        <v>5.0023207E-3</v>
      </c>
      <c r="O5">
        <v>146.26300000000001</v>
      </c>
      <c r="P5">
        <v>-1.2487366999999999E-2</v>
      </c>
      <c r="Q5">
        <v>-3.2212351999999999E-3</v>
      </c>
      <c r="R5">
        <v>-1.8264400000000001</v>
      </c>
      <c r="S5">
        <v>15.082000000000001</v>
      </c>
    </row>
    <row r="6" spans="1:19">
      <c r="A6" t="s">
        <v>4</v>
      </c>
      <c r="B6">
        <v>994</v>
      </c>
      <c r="C6">
        <v>885.73159999999996</v>
      </c>
      <c r="D6">
        <v>268.26859999999999</v>
      </c>
      <c r="E6">
        <v>1.978092</v>
      </c>
      <c r="F6">
        <v>7.3735509000000003E-3</v>
      </c>
      <c r="G6">
        <v>617.46690000000001</v>
      </c>
      <c r="H6">
        <v>-6.3293290000000004</v>
      </c>
      <c r="I6">
        <v>-1.0250475E-2</v>
      </c>
      <c r="J6">
        <v>-4.3512370000000002</v>
      </c>
      <c r="K6">
        <v>-4.9125905999999999E-3</v>
      </c>
      <c r="L6">
        <v>752.73829999999998</v>
      </c>
      <c r="M6">
        <v>2.0278389000000001E-2</v>
      </c>
      <c r="N6">
        <v>5.2292980000000003E-3</v>
      </c>
      <c r="O6">
        <v>132.9931</v>
      </c>
      <c r="P6">
        <v>-1.2502414E-2</v>
      </c>
      <c r="Q6">
        <v>-3.2411991000000002E-3</v>
      </c>
      <c r="R6">
        <v>-1.6627350000000001</v>
      </c>
      <c r="S6">
        <v>15.26432</v>
      </c>
    </row>
    <row r="7" spans="1:19">
      <c r="A7" t="s">
        <v>5</v>
      </c>
      <c r="B7">
        <v>1001</v>
      </c>
      <c r="C7">
        <v>939.78549999999996</v>
      </c>
      <c r="D7">
        <v>301.8947</v>
      </c>
      <c r="E7">
        <v>1.830595</v>
      </c>
      <c r="F7">
        <v>6.0636871000000004E-3</v>
      </c>
      <c r="G7">
        <v>637.89359999999999</v>
      </c>
      <c r="H7">
        <v>-6.9610019999999997</v>
      </c>
      <c r="I7">
        <v>-1.0912481E-2</v>
      </c>
      <c r="J7">
        <v>-5.1304069999999999</v>
      </c>
      <c r="K7">
        <v>-5.4591255999999998E-3</v>
      </c>
      <c r="L7">
        <v>802.47590000000002</v>
      </c>
      <c r="M7">
        <v>1.9799719E-2</v>
      </c>
      <c r="N7">
        <v>5.1072957000000002E-3</v>
      </c>
      <c r="O7">
        <v>137.31010000000001</v>
      </c>
      <c r="P7">
        <v>-1.2874975E-2</v>
      </c>
      <c r="Q7">
        <v>-3.3355923000000002E-3</v>
      </c>
      <c r="R7">
        <v>-1.7678640000000001</v>
      </c>
      <c r="S7">
        <v>15.8888</v>
      </c>
    </row>
    <row r="8" spans="1:19">
      <c r="A8" t="s">
        <v>6</v>
      </c>
      <c r="B8">
        <v>1001</v>
      </c>
      <c r="C8">
        <v>906.90589999999997</v>
      </c>
      <c r="D8">
        <v>299.90809999999999</v>
      </c>
      <c r="E8">
        <v>2.0988799999999999</v>
      </c>
      <c r="F8">
        <v>6.9984108999999999E-3</v>
      </c>
      <c r="G8">
        <v>607.00130000000001</v>
      </c>
      <c r="H8">
        <v>-6.7194130000000003</v>
      </c>
      <c r="I8">
        <v>-1.1069849E-2</v>
      </c>
      <c r="J8">
        <v>-4.620533</v>
      </c>
      <c r="K8">
        <v>-5.0948317999999996E-3</v>
      </c>
      <c r="L8">
        <v>774.51649999999995</v>
      </c>
      <c r="M8">
        <v>1.9942768E-2</v>
      </c>
      <c r="N8">
        <v>5.1435240999999996E-3</v>
      </c>
      <c r="O8">
        <v>132.3921</v>
      </c>
      <c r="P8">
        <v>-1.2629356E-2</v>
      </c>
      <c r="Q8">
        <v>-3.2720688999999998E-3</v>
      </c>
      <c r="R8">
        <v>-1.6720269999999999</v>
      </c>
      <c r="S8">
        <v>15.446</v>
      </c>
    </row>
    <row r="9" spans="1:19">
      <c r="A9" t="s">
        <v>7</v>
      </c>
      <c r="B9">
        <v>1305</v>
      </c>
      <c r="C9">
        <v>1195.4290000000001</v>
      </c>
      <c r="D9">
        <v>321.238</v>
      </c>
      <c r="E9">
        <v>3.0900620000000001</v>
      </c>
      <c r="F9">
        <v>9.6192303999999996E-3</v>
      </c>
      <c r="G9">
        <v>874.19280000000003</v>
      </c>
      <c r="H9">
        <v>-9.5047119999999996</v>
      </c>
      <c r="I9">
        <v>-1.0872557999999999E-2</v>
      </c>
      <c r="J9">
        <v>-6.41465</v>
      </c>
      <c r="K9">
        <v>-5.3659813000000002E-3</v>
      </c>
      <c r="L9">
        <v>988.58240000000001</v>
      </c>
      <c r="M9">
        <v>2.2209304999999999E-2</v>
      </c>
      <c r="N9">
        <v>5.7370596999999999E-3</v>
      </c>
      <c r="O9">
        <v>206.85130000000001</v>
      </c>
      <c r="P9">
        <v>-1.2001174999999999E-2</v>
      </c>
      <c r="Q9">
        <v>-3.1147541E-3</v>
      </c>
      <c r="R9">
        <v>-2.482459</v>
      </c>
      <c r="S9">
        <v>21.955729999999999</v>
      </c>
    </row>
    <row r="10" spans="1:19">
      <c r="A10" t="s">
        <v>8</v>
      </c>
      <c r="B10">
        <v>1309</v>
      </c>
      <c r="C10">
        <v>1205.415</v>
      </c>
      <c r="D10">
        <v>311.93169999999998</v>
      </c>
      <c r="E10">
        <v>3.08596</v>
      </c>
      <c r="F10">
        <v>9.8930625000000008E-3</v>
      </c>
      <c r="G10">
        <v>893.47860000000003</v>
      </c>
      <c r="H10">
        <v>-9.8782180000000004</v>
      </c>
      <c r="I10">
        <v>-1.1055908E-2</v>
      </c>
      <c r="J10">
        <v>-6.7922570000000002</v>
      </c>
      <c r="K10">
        <v>-5.6347879999999999E-3</v>
      </c>
      <c r="L10">
        <v>993.81100000000004</v>
      </c>
      <c r="M10">
        <v>2.2298371000000001E-2</v>
      </c>
      <c r="N10">
        <v>5.7649234999999997E-3</v>
      </c>
      <c r="O10">
        <v>211.5984</v>
      </c>
      <c r="P10">
        <v>-1.2609776E-2</v>
      </c>
      <c r="Q10">
        <v>-3.2819290999999999E-3</v>
      </c>
      <c r="R10">
        <v>-2.6682079999999999</v>
      </c>
      <c r="S10">
        <v>22.16037</v>
      </c>
    </row>
    <row r="11" spans="1:19">
      <c r="A11" t="s">
        <v>9</v>
      </c>
      <c r="B11">
        <v>951</v>
      </c>
      <c r="C11">
        <v>938.94380000000001</v>
      </c>
      <c r="D11">
        <v>233.45740000000001</v>
      </c>
      <c r="E11">
        <v>2.0423680000000002</v>
      </c>
      <c r="F11">
        <v>8.7483525000000006E-3</v>
      </c>
      <c r="G11">
        <v>705.48739999999998</v>
      </c>
      <c r="H11">
        <v>-7.7629299999999999</v>
      </c>
      <c r="I11">
        <v>-1.1003641E-2</v>
      </c>
      <c r="J11">
        <v>-5.7205620000000001</v>
      </c>
      <c r="K11">
        <v>-6.0925501999999996E-3</v>
      </c>
      <c r="L11">
        <v>817.78139999999996</v>
      </c>
      <c r="M11">
        <v>1.8766438999999999E-2</v>
      </c>
      <c r="N11">
        <v>4.8535247000000004E-3</v>
      </c>
      <c r="O11">
        <v>121.1649</v>
      </c>
      <c r="P11">
        <v>-7.9125742999999991E-3</v>
      </c>
      <c r="Q11">
        <v>-2.0529479000000002E-3</v>
      </c>
      <c r="R11">
        <v>-0.95872659999999998</v>
      </c>
      <c r="S11">
        <v>15.34684</v>
      </c>
    </row>
    <row r="12" spans="1:19">
      <c r="A12" t="s">
        <v>10</v>
      </c>
      <c r="B12">
        <v>956</v>
      </c>
      <c r="C12">
        <v>909.06989999999996</v>
      </c>
      <c r="D12">
        <v>207.1301</v>
      </c>
      <c r="E12">
        <v>1.5588010000000001</v>
      </c>
      <c r="F12">
        <v>7.5257118000000003E-3</v>
      </c>
      <c r="G12">
        <v>701.94129999999996</v>
      </c>
      <c r="H12">
        <v>-7.7575789999999998</v>
      </c>
      <c r="I12">
        <v>-1.1051605000000001E-2</v>
      </c>
      <c r="J12">
        <v>-6.1987769999999998</v>
      </c>
      <c r="K12">
        <v>-6.8188127999999999E-3</v>
      </c>
      <c r="L12">
        <v>798.41459999999995</v>
      </c>
      <c r="M12">
        <v>1.8576141000000001E-2</v>
      </c>
      <c r="N12">
        <v>4.8013800000000001E-3</v>
      </c>
      <c r="O12">
        <v>110.6589</v>
      </c>
      <c r="P12">
        <v>-7.9513964999999992E-3</v>
      </c>
      <c r="Q12">
        <v>-2.0558249999999998E-3</v>
      </c>
      <c r="R12">
        <v>-0.87989309999999998</v>
      </c>
      <c r="S12">
        <v>14.83146</v>
      </c>
    </row>
    <row r="13" spans="1:19">
      <c r="A13" t="s">
        <v>11</v>
      </c>
      <c r="B13">
        <v>957</v>
      </c>
      <c r="C13">
        <v>932.58399999999995</v>
      </c>
      <c r="D13">
        <v>245.07239999999999</v>
      </c>
      <c r="E13">
        <v>2.3828839999999998</v>
      </c>
      <c r="F13">
        <v>9.7231846000000004E-3</v>
      </c>
      <c r="G13">
        <v>687.51350000000002</v>
      </c>
      <c r="H13">
        <v>-7.4859999999999998</v>
      </c>
      <c r="I13">
        <v>-1.0888511999999999E-2</v>
      </c>
      <c r="J13">
        <v>-5.103116</v>
      </c>
      <c r="K13">
        <v>-5.472017E-3</v>
      </c>
      <c r="L13">
        <v>829.60839999999996</v>
      </c>
      <c r="M13">
        <v>1.8855408000000001E-2</v>
      </c>
      <c r="N13">
        <v>4.8776441E-3</v>
      </c>
      <c r="O13">
        <v>102.97799999999999</v>
      </c>
      <c r="P13">
        <v>-7.9673816999999997E-3</v>
      </c>
      <c r="Q13">
        <v>-2.0666621E-3</v>
      </c>
      <c r="R13">
        <v>-0.82046479999999999</v>
      </c>
      <c r="S13">
        <v>15.6426</v>
      </c>
    </row>
    <row r="14" spans="1:19">
      <c r="A14" t="s">
        <v>12</v>
      </c>
      <c r="B14">
        <v>1894</v>
      </c>
      <c r="C14">
        <v>2745.13</v>
      </c>
      <c r="D14">
        <v>790.38789999999995</v>
      </c>
      <c r="E14">
        <v>6.7840790000000002</v>
      </c>
      <c r="F14">
        <v>8.5832262000000003E-3</v>
      </c>
      <c r="G14">
        <v>1954.7360000000001</v>
      </c>
      <c r="H14">
        <v>-16.792300000000001</v>
      </c>
      <c r="I14">
        <v>-8.5905688000000001E-3</v>
      </c>
      <c r="J14">
        <v>-10.00822</v>
      </c>
      <c r="K14">
        <v>-3.6458088999999998E-3</v>
      </c>
      <c r="L14">
        <v>2425.8980000000001</v>
      </c>
      <c r="M14">
        <v>1.8418763000000001E-2</v>
      </c>
      <c r="N14">
        <v>4.6519567000000003E-3</v>
      </c>
      <c r="O14">
        <v>319.22699999999998</v>
      </c>
      <c r="P14">
        <v>-8.2383221000000006E-3</v>
      </c>
      <c r="Q14">
        <v>-2.1140630999999998E-3</v>
      </c>
      <c r="R14">
        <v>-2.6298940000000002</v>
      </c>
      <c r="S14">
        <v>44.682040000000001</v>
      </c>
    </row>
    <row r="15" spans="1:19">
      <c r="A15" t="s">
        <v>13</v>
      </c>
      <c r="B15">
        <v>2192</v>
      </c>
      <c r="C15">
        <v>2154.1410000000001</v>
      </c>
      <c r="D15">
        <v>370.95080000000002</v>
      </c>
      <c r="E15">
        <v>4.8346210000000003</v>
      </c>
      <c r="F15">
        <v>1.3033052999999999E-2</v>
      </c>
      <c r="G15">
        <v>1783.1690000000001</v>
      </c>
      <c r="H15">
        <v>-17.63869</v>
      </c>
      <c r="I15">
        <v>-9.8917680000000004E-3</v>
      </c>
      <c r="J15">
        <v>-12.804069999999999</v>
      </c>
      <c r="K15">
        <v>-5.9439349000000004E-3</v>
      </c>
      <c r="L15">
        <v>1762.9760000000001</v>
      </c>
      <c r="M15">
        <v>2.3607222000000001E-2</v>
      </c>
      <c r="N15">
        <v>6.1060693000000001E-3</v>
      </c>
      <c r="O15">
        <v>391.16140000000001</v>
      </c>
      <c r="P15">
        <v>-1.2376649E-2</v>
      </c>
      <c r="Q15">
        <v>-3.2167890999999999E-3</v>
      </c>
      <c r="R15">
        <v>-4.8412680000000003</v>
      </c>
      <c r="S15">
        <v>41.618969999999997</v>
      </c>
    </row>
    <row r="16" spans="1:19">
      <c r="A16" t="s">
        <v>14</v>
      </c>
      <c r="B16">
        <v>2192</v>
      </c>
      <c r="C16">
        <v>2222.4580000000001</v>
      </c>
      <c r="D16">
        <v>380.51920000000001</v>
      </c>
      <c r="E16">
        <v>5.0945939999999998</v>
      </c>
      <c r="F16">
        <v>1.3388535E-2</v>
      </c>
      <c r="G16">
        <v>1841.9290000000001</v>
      </c>
      <c r="H16">
        <v>-18.140999999999998</v>
      </c>
      <c r="I16">
        <v>-9.8489149999999998E-3</v>
      </c>
      <c r="J16">
        <v>-13.04641</v>
      </c>
      <c r="K16">
        <v>-5.8702594000000002E-3</v>
      </c>
      <c r="L16">
        <v>1815.73</v>
      </c>
      <c r="M16">
        <v>2.3539528000000001E-2</v>
      </c>
      <c r="N16">
        <v>6.0833221999999996E-3</v>
      </c>
      <c r="O16">
        <v>406.74270000000001</v>
      </c>
      <c r="P16">
        <v>-1.2414552000000001E-2</v>
      </c>
      <c r="Q16">
        <v>-3.2265356000000002E-3</v>
      </c>
      <c r="R16">
        <v>-5.0495279999999996</v>
      </c>
      <c r="S16">
        <v>42.741419999999998</v>
      </c>
    </row>
    <row r="17" spans="1:19">
      <c r="A17" t="s">
        <v>15</v>
      </c>
      <c r="B17">
        <v>2201</v>
      </c>
      <c r="C17">
        <v>2229.3490000000002</v>
      </c>
      <c r="D17">
        <v>461.67619999999999</v>
      </c>
      <c r="E17">
        <v>5.7297669999999998</v>
      </c>
      <c r="F17">
        <v>1.2410793E-2</v>
      </c>
      <c r="G17">
        <v>1767.652</v>
      </c>
      <c r="H17">
        <v>-17.47082</v>
      </c>
      <c r="I17">
        <v>-9.8836281999999994E-3</v>
      </c>
      <c r="J17">
        <v>-11.74105</v>
      </c>
      <c r="K17">
        <v>-5.2665840000000004E-3</v>
      </c>
      <c r="L17">
        <v>1785.817</v>
      </c>
      <c r="M17">
        <v>2.4259117E-2</v>
      </c>
      <c r="N17">
        <v>6.2713296999999998E-3</v>
      </c>
      <c r="O17">
        <v>443.53820000000002</v>
      </c>
      <c r="P17">
        <v>-1.3073384E-2</v>
      </c>
      <c r="Q17">
        <v>-3.4009065000000002E-3</v>
      </c>
      <c r="R17">
        <v>-5.7985449999999998</v>
      </c>
      <c r="S17">
        <v>43.32235</v>
      </c>
    </row>
    <row r="18" spans="1:19">
      <c r="A18" t="s">
        <v>16</v>
      </c>
      <c r="B18">
        <v>4326</v>
      </c>
      <c r="C18">
        <v>5456.8879999999999</v>
      </c>
      <c r="D18">
        <v>1022.472</v>
      </c>
      <c r="E18">
        <v>13.042059999999999</v>
      </c>
      <c r="F18">
        <v>1.2755412000000001E-2</v>
      </c>
      <c r="G18">
        <v>4434.6729999999998</v>
      </c>
      <c r="H18">
        <v>-34.338810000000002</v>
      </c>
      <c r="I18">
        <v>-7.7432565999999998E-3</v>
      </c>
      <c r="J18">
        <v>-21.296759999999999</v>
      </c>
      <c r="K18">
        <v>-3.9027293999999999E-3</v>
      </c>
      <c r="L18">
        <v>4638.34</v>
      </c>
      <c r="M18">
        <v>2.2937406E-2</v>
      </c>
      <c r="N18">
        <v>5.7893833E-3</v>
      </c>
      <c r="O18">
        <v>818.74450000000002</v>
      </c>
      <c r="P18">
        <v>-1.2616015E-2</v>
      </c>
      <c r="Q18">
        <v>-3.2461637000000001E-3</v>
      </c>
      <c r="R18">
        <v>-10.32929</v>
      </c>
      <c r="S18">
        <v>106.39149999999999</v>
      </c>
    </row>
    <row r="19" spans="1:19">
      <c r="A19" t="s">
        <v>17</v>
      </c>
      <c r="B19">
        <v>4366</v>
      </c>
      <c r="C19">
        <v>5564.6679999999997</v>
      </c>
      <c r="D19">
        <v>1062.913</v>
      </c>
      <c r="E19">
        <v>14.29973</v>
      </c>
      <c r="F19">
        <v>1.3453336E-2</v>
      </c>
      <c r="G19">
        <v>4501.9520000000002</v>
      </c>
      <c r="H19">
        <v>-33.884390000000003</v>
      </c>
      <c r="I19">
        <v>-7.5265998000000004E-3</v>
      </c>
      <c r="J19">
        <v>-19.58466</v>
      </c>
      <c r="K19">
        <v>-3.5194661000000002E-3</v>
      </c>
      <c r="L19">
        <v>4748.7110000000002</v>
      </c>
      <c r="M19">
        <v>2.2926541000000002E-2</v>
      </c>
      <c r="N19">
        <v>5.7873437000000002E-3</v>
      </c>
      <c r="O19">
        <v>816.0865</v>
      </c>
      <c r="P19">
        <v>-1.2383896E-2</v>
      </c>
      <c r="Q19">
        <v>-3.1840992000000002E-3</v>
      </c>
      <c r="R19">
        <v>-10.10633</v>
      </c>
      <c r="S19">
        <v>108.8715</v>
      </c>
    </row>
    <row r="20" spans="1:19">
      <c r="A20" t="s">
        <v>18</v>
      </c>
      <c r="B20">
        <v>4368</v>
      </c>
      <c r="C20">
        <v>5576.5959999999995</v>
      </c>
      <c r="D20">
        <v>1057.0719999999999</v>
      </c>
      <c r="E20">
        <v>14.261710000000001</v>
      </c>
      <c r="F20">
        <v>1.3491705999999999E-2</v>
      </c>
      <c r="G20">
        <v>4519.7370000000001</v>
      </c>
      <c r="H20">
        <v>-34.093679999999999</v>
      </c>
      <c r="I20">
        <v>-7.5432881999999996E-3</v>
      </c>
      <c r="J20">
        <v>-19.831980000000001</v>
      </c>
      <c r="K20">
        <v>-3.5562871E-3</v>
      </c>
      <c r="L20">
        <v>4749.9629999999997</v>
      </c>
      <c r="M20">
        <v>2.2807473000000002E-2</v>
      </c>
      <c r="N20">
        <v>5.7578873999999999E-3</v>
      </c>
      <c r="O20">
        <v>826.76080000000002</v>
      </c>
      <c r="P20">
        <v>-1.2438205000000001E-2</v>
      </c>
      <c r="Q20">
        <v>-3.1985757000000002E-3</v>
      </c>
      <c r="R20">
        <v>-10.28342</v>
      </c>
      <c r="S20">
        <v>108.33459999999999</v>
      </c>
    </row>
    <row r="21" spans="1:19">
      <c r="A21" t="s">
        <v>19</v>
      </c>
      <c r="B21">
        <v>4368</v>
      </c>
      <c r="C21">
        <v>5464.5439999999999</v>
      </c>
      <c r="D21">
        <v>985.77200000000005</v>
      </c>
      <c r="E21">
        <v>12.655799999999999</v>
      </c>
      <c r="F21">
        <v>1.2838466E-2</v>
      </c>
      <c r="G21">
        <v>4479.0140000000001</v>
      </c>
      <c r="H21">
        <v>-34.276330000000002</v>
      </c>
      <c r="I21">
        <v>-7.6526520000000002E-3</v>
      </c>
      <c r="J21">
        <v>-21.620529999999999</v>
      </c>
      <c r="K21">
        <v>-3.9565116000000004E-3</v>
      </c>
      <c r="L21">
        <v>4688.7370000000001</v>
      </c>
      <c r="M21">
        <v>2.2703869000000002E-2</v>
      </c>
      <c r="N21">
        <v>5.7303375E-3</v>
      </c>
      <c r="O21">
        <v>775.98130000000003</v>
      </c>
      <c r="P21">
        <v>-1.2356499999999999E-2</v>
      </c>
      <c r="Q21">
        <v>-3.1791821E-3</v>
      </c>
      <c r="R21">
        <v>-9.5884129999999992</v>
      </c>
      <c r="S21">
        <v>106.4525</v>
      </c>
    </row>
    <row r="22" spans="1:19">
      <c r="A22" t="s">
        <v>20</v>
      </c>
      <c r="B22">
        <v>4376</v>
      </c>
      <c r="C22">
        <v>5589.5720000000001</v>
      </c>
      <c r="D22">
        <v>1062.6510000000001</v>
      </c>
      <c r="E22">
        <v>14.33039</v>
      </c>
      <c r="F22">
        <v>1.3485504000000001E-2</v>
      </c>
      <c r="G22">
        <v>4527.1319999999996</v>
      </c>
      <c r="H22">
        <v>-34.440770000000001</v>
      </c>
      <c r="I22">
        <v>-7.6076336999999997E-3</v>
      </c>
      <c r="J22">
        <v>-20.11037</v>
      </c>
      <c r="K22">
        <v>-3.5978378999999999E-3</v>
      </c>
      <c r="L22">
        <v>4776.9179999999997</v>
      </c>
      <c r="M22">
        <v>2.3028984999999998E-2</v>
      </c>
      <c r="N22">
        <v>5.8137396999999999E-3</v>
      </c>
      <c r="O22">
        <v>812.79359999999997</v>
      </c>
      <c r="P22">
        <v>-1.2434855999999999E-2</v>
      </c>
      <c r="Q22">
        <v>-3.1973966000000001E-3</v>
      </c>
      <c r="R22">
        <v>-10.10697</v>
      </c>
      <c r="S22">
        <v>110.0076</v>
      </c>
    </row>
    <row r="23" spans="1:19">
      <c r="A23" t="s">
        <v>21</v>
      </c>
      <c r="B23">
        <v>4382</v>
      </c>
      <c r="C23">
        <v>5488.326</v>
      </c>
      <c r="D23">
        <v>996.07249999999999</v>
      </c>
      <c r="E23">
        <v>12.883279999999999</v>
      </c>
      <c r="F23">
        <v>1.2934077E-2</v>
      </c>
      <c r="G23">
        <v>4492.4750000000004</v>
      </c>
      <c r="H23">
        <v>-33.96904</v>
      </c>
      <c r="I23">
        <v>-7.5613186000000002E-3</v>
      </c>
      <c r="J23">
        <v>-21.085760000000001</v>
      </c>
      <c r="K23">
        <v>-3.8419291E-3</v>
      </c>
      <c r="L23">
        <v>4676.9660000000003</v>
      </c>
      <c r="M23">
        <v>2.2787094000000001E-2</v>
      </c>
      <c r="N23">
        <v>5.7530076999999999E-3</v>
      </c>
      <c r="O23">
        <v>811.52679999999998</v>
      </c>
      <c r="P23">
        <v>-1.2243436999999999E-2</v>
      </c>
      <c r="Q23">
        <v>-3.1492476999999998E-3</v>
      </c>
      <c r="R23">
        <v>-9.9358769999999996</v>
      </c>
      <c r="S23">
        <v>106.5745</v>
      </c>
    </row>
    <row r="24" spans="1:19">
      <c r="A24" t="s">
        <v>34</v>
      </c>
      <c r="B24">
        <v>4382</v>
      </c>
      <c r="C24">
        <v>5580.8360000000002</v>
      </c>
      <c r="D24">
        <v>1055.212</v>
      </c>
      <c r="E24">
        <v>14.162229999999999</v>
      </c>
      <c r="F24">
        <v>1.3421219999999999E-2</v>
      </c>
      <c r="G24">
        <v>4525.8090000000002</v>
      </c>
      <c r="H24">
        <v>-34.399039999999999</v>
      </c>
      <c r="I24">
        <v>-7.6006390000000002E-3</v>
      </c>
      <c r="J24">
        <v>-20.236799999999999</v>
      </c>
      <c r="K24">
        <v>-3.6261238E-3</v>
      </c>
      <c r="L24">
        <v>4729.4129999999996</v>
      </c>
      <c r="M24">
        <v>2.2967517E-2</v>
      </c>
      <c r="N24">
        <v>5.8000255000000001E-3</v>
      </c>
      <c r="O24">
        <v>851.55200000000002</v>
      </c>
      <c r="P24">
        <v>-1.2270424E-2</v>
      </c>
      <c r="Q24">
        <v>-3.1548624000000002E-3</v>
      </c>
      <c r="R24">
        <v>-10.4489</v>
      </c>
      <c r="S24">
        <v>108.6229</v>
      </c>
    </row>
    <row r="25" spans="1:19">
      <c r="A25" t="s">
        <v>22</v>
      </c>
      <c r="B25">
        <v>4384</v>
      </c>
      <c r="C25">
        <v>3944.6610000000001</v>
      </c>
      <c r="D25">
        <v>720.41989999999998</v>
      </c>
      <c r="E25">
        <v>10.376329999999999</v>
      </c>
      <c r="F25">
        <v>1.4403164E-2</v>
      </c>
      <c r="G25">
        <v>3224.2</v>
      </c>
      <c r="H25">
        <v>-31.03978</v>
      </c>
      <c r="I25">
        <v>-9.6271262000000007E-3</v>
      </c>
      <c r="J25">
        <v>-20.663460000000001</v>
      </c>
      <c r="K25">
        <v>-5.2383346000000001E-3</v>
      </c>
      <c r="L25">
        <v>3248.4589999999998</v>
      </c>
      <c r="M25">
        <v>2.3523832000000001E-2</v>
      </c>
      <c r="N25">
        <v>6.0860310000000004E-3</v>
      </c>
      <c r="O25">
        <v>696.17690000000005</v>
      </c>
      <c r="P25">
        <v>-1.2941329999999999E-2</v>
      </c>
      <c r="Q25">
        <v>-3.3655041000000001E-3</v>
      </c>
      <c r="R25">
        <v>-9.0094550000000009</v>
      </c>
      <c r="S25">
        <v>76.416210000000007</v>
      </c>
    </row>
    <row r="26" spans="1:19">
      <c r="A26" t="s">
        <v>23</v>
      </c>
      <c r="B26">
        <v>4386</v>
      </c>
      <c r="C26">
        <v>5450.8220000000001</v>
      </c>
      <c r="D26">
        <v>1004.538</v>
      </c>
      <c r="E26">
        <v>13.02605</v>
      </c>
      <c r="F26">
        <v>1.2967204E-2</v>
      </c>
      <c r="G26">
        <v>4446.5230000000001</v>
      </c>
      <c r="H26">
        <v>-34.435009999999998</v>
      </c>
      <c r="I26">
        <v>-7.7442555E-3</v>
      </c>
      <c r="J26">
        <v>-21.40897</v>
      </c>
      <c r="K26">
        <v>-3.9276583000000002E-3</v>
      </c>
      <c r="L26">
        <v>4622.6059999999998</v>
      </c>
      <c r="M26">
        <v>2.2802540999999999E-2</v>
      </c>
      <c r="N26">
        <v>5.7546087000000003E-3</v>
      </c>
      <c r="O26">
        <v>828.41300000000001</v>
      </c>
      <c r="P26">
        <v>-1.2692939E-2</v>
      </c>
      <c r="Q26">
        <v>-3.2665413000000001E-3</v>
      </c>
      <c r="R26">
        <v>-10.515000000000001</v>
      </c>
      <c r="S26">
        <v>105.4072</v>
      </c>
    </row>
    <row r="27" spans="1:19">
      <c r="A27" t="s">
        <v>24</v>
      </c>
      <c r="B27">
        <v>4386</v>
      </c>
      <c r="C27">
        <v>5482.0950000000003</v>
      </c>
      <c r="D27">
        <v>1013.624</v>
      </c>
      <c r="E27">
        <v>13.17498</v>
      </c>
      <c r="F27">
        <v>1.2997892E-2</v>
      </c>
      <c r="G27">
        <v>4468.7129999999997</v>
      </c>
      <c r="H27">
        <v>-33.635939999999998</v>
      </c>
      <c r="I27">
        <v>-7.5269871999999998E-3</v>
      </c>
      <c r="J27">
        <v>-20.46096</v>
      </c>
      <c r="K27">
        <v>-3.7323257000000001E-3</v>
      </c>
      <c r="L27">
        <v>4660.9790000000003</v>
      </c>
      <c r="M27">
        <v>2.2823479000000001E-2</v>
      </c>
      <c r="N27">
        <v>5.7602208000000002E-3</v>
      </c>
      <c r="O27">
        <v>821.31700000000001</v>
      </c>
      <c r="P27">
        <v>-1.2755673E-2</v>
      </c>
      <c r="Q27">
        <v>-3.2790142999999999E-3</v>
      </c>
      <c r="R27">
        <v>-10.47645</v>
      </c>
      <c r="S27">
        <v>106.3798</v>
      </c>
    </row>
    <row r="28" spans="1:19">
      <c r="A28" t="s">
        <v>25</v>
      </c>
      <c r="B28">
        <v>4396</v>
      </c>
      <c r="C28">
        <v>6045.1589999999997</v>
      </c>
      <c r="D28">
        <v>1123.8620000000001</v>
      </c>
      <c r="E28">
        <v>14.42371</v>
      </c>
      <c r="F28">
        <v>1.2834056999999999E-2</v>
      </c>
      <c r="G28">
        <v>4921.55</v>
      </c>
      <c r="H28">
        <v>-36.445419999999999</v>
      </c>
      <c r="I28">
        <v>-7.4052731999999996E-3</v>
      </c>
      <c r="J28">
        <v>-22.021719999999998</v>
      </c>
      <c r="K28">
        <v>-3.6428678E-3</v>
      </c>
      <c r="L28">
        <v>5089.3630000000003</v>
      </c>
      <c r="M28">
        <v>2.2480085E-2</v>
      </c>
      <c r="N28">
        <v>5.6694411000000004E-3</v>
      </c>
      <c r="O28">
        <v>955.99369999999999</v>
      </c>
      <c r="P28">
        <v>-1.2681679E-2</v>
      </c>
      <c r="Q28">
        <v>-3.2502961999999998E-3</v>
      </c>
      <c r="R28">
        <v>-12.1236</v>
      </c>
      <c r="S28">
        <v>114.4093</v>
      </c>
    </row>
    <row r="29" spans="1:19">
      <c r="A29" t="s">
        <v>26</v>
      </c>
      <c r="B29">
        <v>4496</v>
      </c>
      <c r="C29">
        <v>5366.4709999999995</v>
      </c>
      <c r="D29">
        <v>874.91060000000004</v>
      </c>
      <c r="E29">
        <v>9.858625</v>
      </c>
      <c r="F29">
        <v>1.1268151000000001E-2</v>
      </c>
      <c r="G29">
        <v>4491.7439999999997</v>
      </c>
      <c r="H29">
        <v>-39.387949999999996</v>
      </c>
      <c r="I29">
        <v>-8.7689663999999997E-3</v>
      </c>
      <c r="J29">
        <v>-29.529330000000002</v>
      </c>
      <c r="K29">
        <v>-5.5025591999999998E-3</v>
      </c>
      <c r="L29">
        <v>4606.357</v>
      </c>
      <c r="M29">
        <v>2.6372700999999998E-2</v>
      </c>
      <c r="N29">
        <v>6.6965478E-3</v>
      </c>
      <c r="O29">
        <v>760.25149999999996</v>
      </c>
      <c r="P29">
        <v>-1.0688568000000001E-2</v>
      </c>
      <c r="Q29">
        <v>-2.7424904999999999E-3</v>
      </c>
      <c r="R29">
        <v>-8.1259990000000002</v>
      </c>
      <c r="S29">
        <v>121.4821</v>
      </c>
    </row>
    <row r="30" spans="1:19">
      <c r="A30" t="s">
        <v>27</v>
      </c>
      <c r="B30">
        <v>4616</v>
      </c>
      <c r="C30">
        <v>5242.9179999999997</v>
      </c>
      <c r="D30">
        <v>928.39520000000005</v>
      </c>
      <c r="E30">
        <v>12.327220000000001</v>
      </c>
      <c r="F30">
        <v>1.3277986E-2</v>
      </c>
      <c r="G30">
        <v>4314.7290000000003</v>
      </c>
      <c r="H30">
        <v>-39.479320000000001</v>
      </c>
      <c r="I30">
        <v>-9.1498959999999994E-3</v>
      </c>
      <c r="J30">
        <v>-27.15211</v>
      </c>
      <c r="K30">
        <v>-5.1788156999999996E-3</v>
      </c>
      <c r="L30">
        <v>4202.1930000000002</v>
      </c>
      <c r="M30">
        <v>2.6645187000000001E-2</v>
      </c>
      <c r="N30">
        <v>6.7406072999999997E-3</v>
      </c>
      <c r="O30">
        <v>1040.9079999999999</v>
      </c>
      <c r="P30">
        <v>-1.2238963E-2</v>
      </c>
      <c r="Q30">
        <v>-3.1409352000000001E-3</v>
      </c>
      <c r="R30">
        <v>-12.73963</v>
      </c>
      <c r="S30">
        <v>111.9682</v>
      </c>
    </row>
    <row r="31" spans="1:19">
      <c r="A31" t="s">
        <v>28</v>
      </c>
      <c r="B31">
        <v>4599</v>
      </c>
      <c r="C31">
        <v>4158.3720000000003</v>
      </c>
      <c r="D31">
        <v>750.85209999999995</v>
      </c>
      <c r="E31">
        <v>10.65985</v>
      </c>
      <c r="F31">
        <v>1.4197005E-2</v>
      </c>
      <c r="G31">
        <v>3407.5250000000001</v>
      </c>
      <c r="H31">
        <v>-41.865450000000003</v>
      </c>
      <c r="I31">
        <v>-1.2286175E-2</v>
      </c>
      <c r="J31">
        <v>-31.2056</v>
      </c>
      <c r="K31">
        <v>-7.5042829999999996E-3</v>
      </c>
      <c r="L31">
        <v>3522.3670000000002</v>
      </c>
      <c r="M31">
        <v>2.7367240000000001E-2</v>
      </c>
      <c r="N31">
        <v>7.0667439000000002E-3</v>
      </c>
      <c r="O31">
        <v>636.01149999999996</v>
      </c>
      <c r="P31">
        <v>-1.1313843000000001E-2</v>
      </c>
      <c r="Q31">
        <v>-2.9418374999999998E-3</v>
      </c>
      <c r="R31">
        <v>-7.195735</v>
      </c>
      <c r="S31">
        <v>96.397450000000006</v>
      </c>
    </row>
    <row r="32" spans="1:19">
      <c r="A32" t="s">
        <v>29</v>
      </c>
      <c r="B32">
        <v>4600</v>
      </c>
      <c r="C32">
        <v>3938.681</v>
      </c>
      <c r="D32">
        <v>698.86509999999998</v>
      </c>
      <c r="E32">
        <v>10.541829999999999</v>
      </c>
      <c r="F32">
        <v>1.5084213000000001E-2</v>
      </c>
      <c r="G32">
        <v>3239.8069999999998</v>
      </c>
      <c r="H32">
        <v>-40.138710000000003</v>
      </c>
      <c r="I32">
        <v>-1.2389228E-2</v>
      </c>
      <c r="J32">
        <v>-29.596879999999999</v>
      </c>
      <c r="K32">
        <v>-7.5144139E-3</v>
      </c>
      <c r="L32">
        <v>3398.8049999999998</v>
      </c>
      <c r="M32">
        <v>2.7670059E-2</v>
      </c>
      <c r="N32">
        <v>7.1500903000000001E-3</v>
      </c>
      <c r="O32">
        <v>539.87249999999995</v>
      </c>
      <c r="P32">
        <v>-1.1012635999999999E-2</v>
      </c>
      <c r="Q32">
        <v>-2.8652623E-3</v>
      </c>
      <c r="R32">
        <v>-5.9454190000000002</v>
      </c>
      <c r="S32">
        <v>94.045140000000004</v>
      </c>
    </row>
    <row r="33" spans="1:19">
      <c r="A33" t="s">
        <v>30</v>
      </c>
      <c r="B33">
        <v>4599</v>
      </c>
      <c r="C33">
        <v>3898.6030000000001</v>
      </c>
      <c r="D33">
        <v>698.19100000000003</v>
      </c>
      <c r="E33">
        <v>10.50461</v>
      </c>
      <c r="F33">
        <v>1.5045472000000001E-2</v>
      </c>
      <c r="G33">
        <v>3200.4070000000002</v>
      </c>
      <c r="H33">
        <v>-39.597200000000001</v>
      </c>
      <c r="I33">
        <v>-1.2372553E-2</v>
      </c>
      <c r="J33">
        <v>-29.092590000000001</v>
      </c>
      <c r="K33">
        <v>-7.4623106E-3</v>
      </c>
      <c r="L33">
        <v>3370.453</v>
      </c>
      <c r="M33">
        <v>2.7615153999999999E-2</v>
      </c>
      <c r="N33">
        <v>7.1349628000000002E-3</v>
      </c>
      <c r="O33">
        <v>528.15049999999997</v>
      </c>
      <c r="P33">
        <v>-1.1016161E-2</v>
      </c>
      <c r="Q33">
        <v>-2.8661037999999999E-3</v>
      </c>
      <c r="R33">
        <v>-5.8181909999999997</v>
      </c>
      <c r="S33">
        <v>93.075590000000005</v>
      </c>
    </row>
    <row r="34" spans="1:19">
      <c r="A34" t="s">
        <v>31</v>
      </c>
      <c r="B34">
        <v>10032</v>
      </c>
      <c r="C34">
        <v>12497.15</v>
      </c>
      <c r="D34">
        <v>2917.8760000000002</v>
      </c>
      <c r="E34">
        <v>24.946870000000001</v>
      </c>
      <c r="F34">
        <v>8.5496688000000001E-3</v>
      </c>
      <c r="G34">
        <v>9580.1219999999994</v>
      </c>
      <c r="H34">
        <v>-85.378230000000002</v>
      </c>
      <c r="I34">
        <v>-8.9120194000000003E-3</v>
      </c>
      <c r="J34">
        <v>-60.431359999999998</v>
      </c>
      <c r="K34">
        <v>-4.8356121E-3</v>
      </c>
      <c r="L34">
        <v>10194.549999999999</v>
      </c>
      <c r="M34">
        <v>1.9974707000000001E-2</v>
      </c>
      <c r="N34">
        <v>5.0485492999999999E-3</v>
      </c>
      <c r="O34">
        <v>2303.4110000000001</v>
      </c>
      <c r="P34">
        <v>-1.0364563E-2</v>
      </c>
      <c r="Q34">
        <v>-2.6576695999999999E-3</v>
      </c>
      <c r="R34">
        <v>-23.873850000000001</v>
      </c>
      <c r="S34">
        <v>203.63319999999999</v>
      </c>
    </row>
    <row r="35" spans="1:19">
      <c r="A35" t="s">
        <v>32</v>
      </c>
      <c r="B35">
        <v>10214</v>
      </c>
      <c r="C35">
        <v>13047.42</v>
      </c>
      <c r="D35">
        <v>3028.038</v>
      </c>
      <c r="E35">
        <v>26.73629</v>
      </c>
      <c r="F35">
        <v>8.8295749999999992E-3</v>
      </c>
      <c r="G35">
        <v>10020.16</v>
      </c>
      <c r="H35">
        <v>-90.548400000000001</v>
      </c>
      <c r="I35">
        <v>-9.0366201E-3</v>
      </c>
      <c r="J35">
        <v>-63.812109999999997</v>
      </c>
      <c r="K35">
        <v>-4.8907832000000002E-3</v>
      </c>
      <c r="L35">
        <v>10563.7</v>
      </c>
      <c r="M35">
        <v>2.0082137E-2</v>
      </c>
      <c r="N35">
        <v>5.0757644000000001E-3</v>
      </c>
      <c r="O35">
        <v>2484.6909999999998</v>
      </c>
      <c r="P35">
        <v>-1.1702786E-2</v>
      </c>
      <c r="Q35">
        <v>-3.0113719E-3</v>
      </c>
      <c r="R35">
        <v>-29.077809999999999</v>
      </c>
      <c r="S35">
        <v>212.14160000000001</v>
      </c>
    </row>
    <row r="36" spans="1:19">
      <c r="A36" t="s">
        <v>33</v>
      </c>
      <c r="B36">
        <v>10355</v>
      </c>
      <c r="C36">
        <v>14004.78</v>
      </c>
      <c r="D36">
        <v>3675.1619999999998</v>
      </c>
      <c r="E36">
        <v>32.39817</v>
      </c>
      <c r="F36">
        <v>8.8154402999999996E-3</v>
      </c>
      <c r="G36">
        <v>10330.219999999999</v>
      </c>
      <c r="H36">
        <v>-89.574479999999994</v>
      </c>
      <c r="I36">
        <v>-8.6711085999999996E-3</v>
      </c>
      <c r="J36">
        <v>-57.176310000000001</v>
      </c>
      <c r="K36">
        <v>-4.0826289999999999E-3</v>
      </c>
      <c r="L36">
        <v>11443.07</v>
      </c>
      <c r="M36">
        <v>1.9368017000000001E-2</v>
      </c>
      <c r="N36">
        <v>4.8843984999999996E-3</v>
      </c>
      <c r="O36">
        <v>2562.5039999999999</v>
      </c>
      <c r="P36">
        <v>-1.1463605999999999E-2</v>
      </c>
      <c r="Q36">
        <v>-2.9384347E-3</v>
      </c>
      <c r="R36">
        <v>-29.375530000000001</v>
      </c>
      <c r="S36">
        <v>221.62960000000001</v>
      </c>
    </row>
  </sheetData>
  <phoneticPr fontId="0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77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882.81140000000005</v>
      </c>
      <c r="D2">
        <v>195.49959999999999</v>
      </c>
      <c r="E2">
        <v>2.6224509999999999</v>
      </c>
      <c r="F2">
        <v>1.3414097E-2</v>
      </c>
      <c r="G2">
        <v>687.31219999999996</v>
      </c>
      <c r="H2">
        <v>-6.7988619999999997</v>
      </c>
      <c r="I2">
        <v>-9.8919552000000001E-3</v>
      </c>
      <c r="J2">
        <v>-4.1764109999999999</v>
      </c>
      <c r="K2">
        <v>-4.7308072000000001E-3</v>
      </c>
      <c r="L2">
        <v>685.04650000000004</v>
      </c>
      <c r="M2">
        <v>2.7095563999999999E-2</v>
      </c>
      <c r="N2">
        <v>6.6768783000000003E-3</v>
      </c>
      <c r="O2">
        <v>197.76599999999999</v>
      </c>
      <c r="P2">
        <v>-1.4354797000000001E-2</v>
      </c>
      <c r="Q2">
        <v>-3.6349440999999998E-3</v>
      </c>
      <c r="R2">
        <v>-2.8388909999999998</v>
      </c>
      <c r="S2">
        <v>18.561720000000001</v>
      </c>
    </row>
    <row r="3" spans="1:19">
      <c r="A3" t="s">
        <v>1</v>
      </c>
      <c r="B3">
        <v>1248</v>
      </c>
      <c r="C3">
        <v>1081.8789999999999</v>
      </c>
      <c r="D3">
        <v>246.05019999999999</v>
      </c>
      <c r="E3">
        <v>3.1124160000000001</v>
      </c>
      <c r="F3">
        <v>1.2649512E-2</v>
      </c>
      <c r="G3">
        <v>835.82669999999996</v>
      </c>
      <c r="H3">
        <v>-8.3348619999999993</v>
      </c>
      <c r="I3">
        <v>-9.9719977000000005E-3</v>
      </c>
      <c r="J3">
        <v>-5.2224459999999997</v>
      </c>
      <c r="K3">
        <v>-4.8272009000000001E-3</v>
      </c>
      <c r="L3">
        <v>834.99270000000001</v>
      </c>
      <c r="M3">
        <v>2.5086977999999999E-2</v>
      </c>
      <c r="N3">
        <v>6.1883138999999998E-3</v>
      </c>
      <c r="O3">
        <v>246.8817</v>
      </c>
      <c r="P3">
        <v>-1.1103768E-2</v>
      </c>
      <c r="Q3">
        <v>-2.8029831999999998E-3</v>
      </c>
      <c r="R3">
        <v>-2.7413180000000001</v>
      </c>
      <c r="S3">
        <v>20.94744</v>
      </c>
    </row>
    <row r="4" spans="1:19">
      <c r="A4" t="s">
        <v>2</v>
      </c>
      <c r="B4">
        <v>2468</v>
      </c>
      <c r="C4">
        <v>1932.2260000000001</v>
      </c>
      <c r="D4">
        <v>415.48779999999999</v>
      </c>
      <c r="E4">
        <v>5.40489</v>
      </c>
      <c r="F4">
        <v>1.3008541E-2</v>
      </c>
      <c r="G4">
        <v>1516.7180000000001</v>
      </c>
      <c r="H4">
        <v>-16.691459999999999</v>
      </c>
      <c r="I4">
        <v>-1.1004982999999999E-2</v>
      </c>
      <c r="J4">
        <v>-11.286569999999999</v>
      </c>
      <c r="K4">
        <v>-5.8412248999999998E-3</v>
      </c>
      <c r="L4">
        <v>1736.671</v>
      </c>
      <c r="M4">
        <v>2.533287E-2</v>
      </c>
      <c r="N4">
        <v>6.2448330999999996E-3</v>
      </c>
      <c r="O4">
        <v>195.54990000000001</v>
      </c>
      <c r="P4">
        <v>-1.3542556000000001E-2</v>
      </c>
      <c r="Q4">
        <v>-3.4170916999999999E-3</v>
      </c>
      <c r="R4">
        <v>-2.6482459999999999</v>
      </c>
      <c r="S4">
        <v>43.99485</v>
      </c>
    </row>
    <row r="5" spans="1:19">
      <c r="A5" t="s">
        <v>3</v>
      </c>
      <c r="B5">
        <v>993</v>
      </c>
      <c r="C5">
        <v>537.24220000000003</v>
      </c>
      <c r="D5">
        <v>197.34200000000001</v>
      </c>
      <c r="E5">
        <v>1.3309949999999999</v>
      </c>
      <c r="F5">
        <v>6.7446101000000003E-3</v>
      </c>
      <c r="G5">
        <v>339.90069999999997</v>
      </c>
      <c r="H5">
        <v>-3.6437279999999999</v>
      </c>
      <c r="I5">
        <v>-1.0719978999999999E-2</v>
      </c>
      <c r="J5">
        <v>-2.3127339999999998</v>
      </c>
      <c r="K5">
        <v>-4.3048249000000004E-3</v>
      </c>
      <c r="L5">
        <v>461.3057</v>
      </c>
      <c r="M5">
        <v>1.8663216E-2</v>
      </c>
      <c r="N5">
        <v>4.6638395000000001E-3</v>
      </c>
      <c r="O5">
        <v>75.936959999999999</v>
      </c>
      <c r="P5">
        <v>-1.2693500999999999E-2</v>
      </c>
      <c r="Q5">
        <v>-3.1812074999999999E-3</v>
      </c>
      <c r="R5">
        <v>-0.96390589999999998</v>
      </c>
      <c r="S5">
        <v>8.6094469999999994</v>
      </c>
    </row>
    <row r="6" spans="1:19">
      <c r="A6" t="s">
        <v>4</v>
      </c>
      <c r="B6">
        <v>994</v>
      </c>
      <c r="C6">
        <v>517.40329999999994</v>
      </c>
      <c r="D6">
        <v>167.9203</v>
      </c>
      <c r="E6">
        <v>1.343283</v>
      </c>
      <c r="F6">
        <v>7.9995225999999996E-3</v>
      </c>
      <c r="G6">
        <v>349.48430000000002</v>
      </c>
      <c r="H6">
        <v>-3.6326710000000002</v>
      </c>
      <c r="I6">
        <v>-1.0394375000000001E-2</v>
      </c>
      <c r="J6">
        <v>-2.2893880000000002</v>
      </c>
      <c r="K6">
        <v>-4.4247656999999996E-3</v>
      </c>
      <c r="L6">
        <v>452.73880000000003</v>
      </c>
      <c r="M6">
        <v>1.9625710000000001E-2</v>
      </c>
      <c r="N6">
        <v>4.9144471999999998E-3</v>
      </c>
      <c r="O6">
        <v>64.665019999999998</v>
      </c>
      <c r="P6">
        <v>-1.2600889000000001E-2</v>
      </c>
      <c r="Q6">
        <v>-3.1705713000000002E-3</v>
      </c>
      <c r="R6">
        <v>-0.81483680000000003</v>
      </c>
      <c r="S6">
        <v>8.8853209999999994</v>
      </c>
    </row>
    <row r="7" spans="1:19">
      <c r="A7" t="s">
        <v>5</v>
      </c>
      <c r="B7">
        <v>1001</v>
      </c>
      <c r="C7">
        <v>538.44849999999997</v>
      </c>
      <c r="D7">
        <v>194.15039999999999</v>
      </c>
      <c r="E7">
        <v>1.213058</v>
      </c>
      <c r="F7">
        <v>6.2480345000000001E-3</v>
      </c>
      <c r="G7">
        <v>344.298</v>
      </c>
      <c r="H7">
        <v>-3.870714</v>
      </c>
      <c r="I7">
        <v>-1.1242336E-2</v>
      </c>
      <c r="J7">
        <v>-2.6576559999999998</v>
      </c>
      <c r="K7">
        <v>-4.9357660999999999E-3</v>
      </c>
      <c r="L7">
        <v>476.3741</v>
      </c>
      <c r="M7">
        <v>1.8932345999999999E-2</v>
      </c>
      <c r="N7">
        <v>4.7442815000000001E-3</v>
      </c>
      <c r="O7">
        <v>62.07499</v>
      </c>
      <c r="P7">
        <v>-1.2971029E-2</v>
      </c>
      <c r="Q7">
        <v>-3.2598239000000001E-3</v>
      </c>
      <c r="R7">
        <v>-0.80517649999999996</v>
      </c>
      <c r="S7">
        <v>9.0188790000000001</v>
      </c>
    </row>
    <row r="8" spans="1:19">
      <c r="A8" t="s">
        <v>6</v>
      </c>
      <c r="B8">
        <v>1001</v>
      </c>
      <c r="C8">
        <v>519.98519999999996</v>
      </c>
      <c r="D8">
        <v>191.98849999999999</v>
      </c>
      <c r="E8">
        <v>1.418094</v>
      </c>
      <c r="F8">
        <v>7.3863477000000004E-3</v>
      </c>
      <c r="G8">
        <v>327.99689999999998</v>
      </c>
      <c r="H8">
        <v>-3.774473</v>
      </c>
      <c r="I8">
        <v>-1.1507646999999999E-2</v>
      </c>
      <c r="J8">
        <v>-2.3563800000000001</v>
      </c>
      <c r="K8">
        <v>-4.5316285E-3</v>
      </c>
      <c r="L8">
        <v>460.13529999999997</v>
      </c>
      <c r="M8">
        <v>1.9335695999999999E-2</v>
      </c>
      <c r="N8">
        <v>4.8432424999999999E-3</v>
      </c>
      <c r="O8">
        <v>59.849989999999998</v>
      </c>
      <c r="P8">
        <v>-1.2630433E-2</v>
      </c>
      <c r="Q8">
        <v>-3.1761820000000001E-3</v>
      </c>
      <c r="R8">
        <v>-0.75593129999999997</v>
      </c>
      <c r="S8">
        <v>8.8970369999999992</v>
      </c>
    </row>
    <row r="9" spans="1:19">
      <c r="A9" t="s">
        <v>7</v>
      </c>
      <c r="B9">
        <v>1305</v>
      </c>
      <c r="C9">
        <v>669.90139999999997</v>
      </c>
      <c r="D9">
        <v>197.88419999999999</v>
      </c>
      <c r="E9">
        <v>2.0935229999999998</v>
      </c>
      <c r="F9">
        <v>1.0579537999999999E-2</v>
      </c>
      <c r="G9">
        <v>472.01819999999998</v>
      </c>
      <c r="H9">
        <v>-5.2762469999999997</v>
      </c>
      <c r="I9">
        <v>-1.1178057999999999E-2</v>
      </c>
      <c r="J9">
        <v>-3.1827239999999999</v>
      </c>
      <c r="K9">
        <v>-4.7510330999999996E-3</v>
      </c>
      <c r="L9">
        <v>570.79219999999998</v>
      </c>
      <c r="M9">
        <v>2.1665864E-2</v>
      </c>
      <c r="N9">
        <v>5.4335258999999997E-3</v>
      </c>
      <c r="O9">
        <v>99.111009999999993</v>
      </c>
      <c r="P9">
        <v>-1.1677162E-2</v>
      </c>
      <c r="Q9">
        <v>-2.9448733999999999E-3</v>
      </c>
      <c r="R9">
        <v>-1.157335</v>
      </c>
      <c r="S9">
        <v>12.3667</v>
      </c>
    </row>
    <row r="10" spans="1:19">
      <c r="A10" t="s">
        <v>8</v>
      </c>
      <c r="B10">
        <v>1309</v>
      </c>
      <c r="C10">
        <v>679.68190000000004</v>
      </c>
      <c r="D10">
        <v>192.7046</v>
      </c>
      <c r="E10">
        <v>2.1143619999999999</v>
      </c>
      <c r="F10">
        <v>1.0972037E-2</v>
      </c>
      <c r="G10">
        <v>486.98110000000003</v>
      </c>
      <c r="H10">
        <v>-5.5313699999999999</v>
      </c>
      <c r="I10">
        <v>-1.1358488999999999E-2</v>
      </c>
      <c r="J10">
        <v>-3.4170090000000002</v>
      </c>
      <c r="K10">
        <v>-5.0273640000000003E-3</v>
      </c>
      <c r="L10">
        <v>579.93759999999997</v>
      </c>
      <c r="M10">
        <v>2.1790542E-2</v>
      </c>
      <c r="N10">
        <v>5.4706293E-3</v>
      </c>
      <c r="O10">
        <v>99.745930000000001</v>
      </c>
      <c r="P10">
        <v>-1.2500716E-2</v>
      </c>
      <c r="Q10">
        <v>-3.1566976000000002E-3</v>
      </c>
      <c r="R10">
        <v>-1.246896</v>
      </c>
      <c r="S10">
        <v>12.63715</v>
      </c>
    </row>
    <row r="11" spans="1:19">
      <c r="A11" t="s">
        <v>9</v>
      </c>
      <c r="B11">
        <v>951</v>
      </c>
      <c r="C11">
        <v>547.76739999999995</v>
      </c>
      <c r="D11">
        <v>143.12209999999999</v>
      </c>
      <c r="E11">
        <v>1.3943589999999999</v>
      </c>
      <c r="F11">
        <v>9.7424387999999994E-3</v>
      </c>
      <c r="G11">
        <v>404.64670000000001</v>
      </c>
      <c r="H11">
        <v>-4.5430849999999996</v>
      </c>
      <c r="I11">
        <v>-1.1227288E-2</v>
      </c>
      <c r="J11">
        <v>-3.1487259999999999</v>
      </c>
      <c r="K11">
        <v>-5.748291E-3</v>
      </c>
      <c r="L11">
        <v>489.97559999999999</v>
      </c>
      <c r="M11">
        <v>1.8535837999999999E-2</v>
      </c>
      <c r="N11">
        <v>4.6527189999999996E-3</v>
      </c>
      <c r="O11">
        <v>57.79298</v>
      </c>
      <c r="P11">
        <v>-7.7424464000000002E-3</v>
      </c>
      <c r="Q11">
        <v>-1.9454741E-3</v>
      </c>
      <c r="R11">
        <v>-0.447459</v>
      </c>
      <c r="S11">
        <v>9.0821079999999998</v>
      </c>
    </row>
    <row r="12" spans="1:19">
      <c r="A12" t="s">
        <v>10</v>
      </c>
      <c r="B12">
        <v>956</v>
      </c>
      <c r="C12">
        <v>540.07920000000001</v>
      </c>
      <c r="D12">
        <v>124.39709999999999</v>
      </c>
      <c r="E12">
        <v>1.060681</v>
      </c>
      <c r="F12">
        <v>8.5265710999999998E-3</v>
      </c>
      <c r="G12">
        <v>415.68259999999998</v>
      </c>
      <c r="H12">
        <v>-4.5836170000000003</v>
      </c>
      <c r="I12">
        <v>-1.1026721E-2</v>
      </c>
      <c r="J12">
        <v>-3.5229360000000001</v>
      </c>
      <c r="K12">
        <v>-6.5229991000000003E-3</v>
      </c>
      <c r="L12">
        <v>481.08479999999997</v>
      </c>
      <c r="M12">
        <v>1.8272828000000001E-2</v>
      </c>
      <c r="N12">
        <v>4.5856958999999997E-3</v>
      </c>
      <c r="O12">
        <v>58.994990000000001</v>
      </c>
      <c r="P12">
        <v>-7.6860356999999997E-3</v>
      </c>
      <c r="Q12">
        <v>-1.9295217E-3</v>
      </c>
      <c r="R12">
        <v>-0.4534376</v>
      </c>
      <c r="S12">
        <v>8.7907790000000006</v>
      </c>
    </row>
    <row r="13" spans="1:19">
      <c r="A13" t="s">
        <v>11</v>
      </c>
      <c r="B13">
        <v>957</v>
      </c>
      <c r="C13">
        <v>545.59789999999998</v>
      </c>
      <c r="D13">
        <v>155.7371</v>
      </c>
      <c r="E13">
        <v>1.698545</v>
      </c>
      <c r="F13">
        <v>1.0906489E-2</v>
      </c>
      <c r="G13">
        <v>389.86090000000002</v>
      </c>
      <c r="H13">
        <v>-4.2897169999999996</v>
      </c>
      <c r="I13">
        <v>-1.1003198E-2</v>
      </c>
      <c r="J13">
        <v>-2.5911719999999998</v>
      </c>
      <c r="K13">
        <v>-4.7492343000000003E-3</v>
      </c>
      <c r="L13">
        <v>497.31630000000001</v>
      </c>
      <c r="M13">
        <v>1.8426830000000002E-2</v>
      </c>
      <c r="N13">
        <v>4.6282639000000004E-3</v>
      </c>
      <c r="O13">
        <v>48.281999999999996</v>
      </c>
      <c r="P13">
        <v>-7.9325492999999993E-3</v>
      </c>
      <c r="Q13">
        <v>-1.9947882E-3</v>
      </c>
      <c r="R13">
        <v>-0.38299929999999999</v>
      </c>
      <c r="S13">
        <v>9.1639619999999997</v>
      </c>
    </row>
    <row r="14" spans="1:19">
      <c r="A14" t="s">
        <v>12</v>
      </c>
      <c r="B14">
        <v>1894</v>
      </c>
      <c r="C14">
        <v>1749.3689999999999</v>
      </c>
      <c r="D14">
        <v>543.92290000000003</v>
      </c>
      <c r="E14">
        <v>5.0225270000000002</v>
      </c>
      <c r="F14">
        <v>9.2338956999999996E-3</v>
      </c>
      <c r="G14">
        <v>1205.4280000000001</v>
      </c>
      <c r="H14">
        <v>-10.374610000000001</v>
      </c>
      <c r="I14">
        <v>-8.6065828999999996E-3</v>
      </c>
      <c r="J14">
        <v>-5.352087</v>
      </c>
      <c r="K14">
        <v>-3.0594387000000001E-3</v>
      </c>
      <c r="L14">
        <v>1576.0609999999999</v>
      </c>
      <c r="M14">
        <v>1.8009371999999999E-2</v>
      </c>
      <c r="N14">
        <v>4.4370581999999999E-3</v>
      </c>
      <c r="O14">
        <v>173.30500000000001</v>
      </c>
      <c r="P14">
        <v>-8.0918324999999999E-3</v>
      </c>
      <c r="Q14">
        <v>-2.0353487E-3</v>
      </c>
      <c r="R14">
        <v>-1.402355</v>
      </c>
      <c r="S14">
        <v>28.383859999999999</v>
      </c>
    </row>
    <row r="15" spans="1:19">
      <c r="A15" t="s">
        <v>13</v>
      </c>
      <c r="B15">
        <v>2192</v>
      </c>
      <c r="C15">
        <v>1188.134</v>
      </c>
      <c r="D15">
        <v>242.23419999999999</v>
      </c>
      <c r="E15">
        <v>3.5699450000000001</v>
      </c>
      <c r="F15">
        <v>1.4737576E-2</v>
      </c>
      <c r="G15">
        <v>945.90099999999995</v>
      </c>
      <c r="H15">
        <v>-9.9665230000000005</v>
      </c>
      <c r="I15">
        <v>-1.0536538999999999E-2</v>
      </c>
      <c r="J15">
        <v>-6.3965779999999999</v>
      </c>
      <c r="K15">
        <v>-5.3837160000000002E-3</v>
      </c>
      <c r="L15">
        <v>1039.8130000000001</v>
      </c>
      <c r="M15">
        <v>2.3171385999999999E-2</v>
      </c>
      <c r="N15">
        <v>5.8183805000000003E-3</v>
      </c>
      <c r="O15">
        <v>148.322</v>
      </c>
      <c r="P15">
        <v>-1.1768631999999999E-2</v>
      </c>
      <c r="Q15">
        <v>-2.9686168000000001E-3</v>
      </c>
      <c r="R15">
        <v>-1.745547</v>
      </c>
      <c r="S15">
        <v>24.093910000000001</v>
      </c>
    </row>
    <row r="16" spans="1:19">
      <c r="A16" t="s">
        <v>14</v>
      </c>
      <c r="B16">
        <v>2192</v>
      </c>
      <c r="C16">
        <v>1200.9649999999999</v>
      </c>
      <c r="D16">
        <v>241.1645</v>
      </c>
      <c r="E16">
        <v>3.649098</v>
      </c>
      <c r="F16">
        <v>1.5131162E-2</v>
      </c>
      <c r="G16">
        <v>959.8</v>
      </c>
      <c r="H16">
        <v>-10.09137</v>
      </c>
      <c r="I16">
        <v>-1.0514028999999999E-2</v>
      </c>
      <c r="J16">
        <v>-6.4422670000000002</v>
      </c>
      <c r="K16">
        <v>-5.3642424999999997E-3</v>
      </c>
      <c r="L16">
        <v>1049.856</v>
      </c>
      <c r="M16">
        <v>2.3151958E-2</v>
      </c>
      <c r="N16">
        <v>5.8107133999999996E-3</v>
      </c>
      <c r="O16">
        <v>151.10910000000001</v>
      </c>
      <c r="P16">
        <v>-1.1567034E-2</v>
      </c>
      <c r="Q16">
        <v>-2.9180031000000002E-3</v>
      </c>
      <c r="R16">
        <v>-1.747884</v>
      </c>
      <c r="S16">
        <v>24.30621</v>
      </c>
    </row>
    <row r="17" spans="1:19">
      <c r="A17" t="s">
        <v>15</v>
      </c>
      <c r="B17">
        <v>2201</v>
      </c>
      <c r="C17">
        <v>1224.4649999999999</v>
      </c>
      <c r="D17">
        <v>299.26799999999997</v>
      </c>
      <c r="E17">
        <v>4.1110309999999997</v>
      </c>
      <c r="F17">
        <v>1.3736953E-2</v>
      </c>
      <c r="G17">
        <v>925.2047</v>
      </c>
      <c r="H17">
        <v>-9.6458539999999999</v>
      </c>
      <c r="I17">
        <v>-1.0425643E-2</v>
      </c>
      <c r="J17">
        <v>-5.5348230000000003</v>
      </c>
      <c r="K17">
        <v>-4.5201979E-3</v>
      </c>
      <c r="L17">
        <v>1052.4469999999999</v>
      </c>
      <c r="M17">
        <v>2.3775350000000001E-2</v>
      </c>
      <c r="N17">
        <v>5.9676356999999996E-3</v>
      </c>
      <c r="O17">
        <v>172.02209999999999</v>
      </c>
      <c r="P17">
        <v>-1.2523816E-2</v>
      </c>
      <c r="Q17">
        <v>-3.1635427999999999E-3</v>
      </c>
      <c r="R17">
        <v>-2.1543730000000001</v>
      </c>
      <c r="S17">
        <v>25.022300000000001</v>
      </c>
    </row>
    <row r="18" spans="1:19">
      <c r="A18" t="s">
        <v>16</v>
      </c>
      <c r="B18">
        <v>4326</v>
      </c>
      <c r="C18">
        <v>3202.0740000000001</v>
      </c>
      <c r="D18">
        <v>663.31899999999996</v>
      </c>
      <c r="E18">
        <v>9.1805029999999999</v>
      </c>
      <c r="F18">
        <v>1.3840253E-2</v>
      </c>
      <c r="G18">
        <v>2538.7759999999998</v>
      </c>
      <c r="H18">
        <v>-20.178889999999999</v>
      </c>
      <c r="I18">
        <v>-7.9482738000000008E-3</v>
      </c>
      <c r="J18">
        <v>-10.998379999999999</v>
      </c>
      <c r="K18">
        <v>-3.4347684000000001E-3</v>
      </c>
      <c r="L18">
        <v>2867.9749999999999</v>
      </c>
      <c r="M18">
        <v>2.2561826E-2</v>
      </c>
      <c r="N18">
        <v>5.5618654000000002E-3</v>
      </c>
      <c r="O18">
        <v>334.11739999999998</v>
      </c>
      <c r="P18">
        <v>-1.1674597E-2</v>
      </c>
      <c r="Q18">
        <v>-2.9439141999999998E-3</v>
      </c>
      <c r="R18">
        <v>-3.9006859999999999</v>
      </c>
      <c r="S18">
        <v>64.706739999999996</v>
      </c>
    </row>
    <row r="19" spans="1:19">
      <c r="A19" t="s">
        <v>17</v>
      </c>
      <c r="B19">
        <v>4366</v>
      </c>
      <c r="C19">
        <v>3237.1089999999999</v>
      </c>
      <c r="D19">
        <v>686.97940000000006</v>
      </c>
      <c r="E19">
        <v>10.0176</v>
      </c>
      <c r="F19">
        <v>1.4582103000000001E-2</v>
      </c>
      <c r="G19">
        <v>2550.154</v>
      </c>
      <c r="H19">
        <v>-20.151859999999999</v>
      </c>
      <c r="I19">
        <v>-7.9022143E-3</v>
      </c>
      <c r="J19">
        <v>-10.134259999999999</v>
      </c>
      <c r="K19">
        <v>-3.1306507999999999E-3</v>
      </c>
      <c r="L19">
        <v>2935.6489999999999</v>
      </c>
      <c r="M19">
        <v>2.2418324E-2</v>
      </c>
      <c r="N19">
        <v>5.5276611999999998E-3</v>
      </c>
      <c r="O19">
        <v>301.47770000000003</v>
      </c>
      <c r="P19">
        <v>-1.1483067E-2</v>
      </c>
      <c r="Q19">
        <v>-2.8994041E-3</v>
      </c>
      <c r="R19">
        <v>-3.4618890000000002</v>
      </c>
      <c r="S19">
        <v>65.812330000000003</v>
      </c>
    </row>
    <row r="20" spans="1:19">
      <c r="A20" t="s">
        <v>18</v>
      </c>
      <c r="B20">
        <v>4368</v>
      </c>
      <c r="C20">
        <v>3255.5369999999998</v>
      </c>
      <c r="D20">
        <v>686.65970000000004</v>
      </c>
      <c r="E20">
        <v>10.010809999999999</v>
      </c>
      <c r="F20">
        <v>1.4578997999999999E-2</v>
      </c>
      <c r="G20">
        <v>2568.8939999999998</v>
      </c>
      <c r="H20">
        <v>-20.323899999999998</v>
      </c>
      <c r="I20">
        <v>-7.9115359000000007E-3</v>
      </c>
      <c r="J20">
        <v>-10.313090000000001</v>
      </c>
      <c r="K20">
        <v>-3.1678601999999998E-3</v>
      </c>
      <c r="L20">
        <v>2945.703</v>
      </c>
      <c r="M20">
        <v>2.2338189000000001E-2</v>
      </c>
      <c r="N20">
        <v>5.5091827999999999E-3</v>
      </c>
      <c r="O20">
        <v>309.84550000000002</v>
      </c>
      <c r="P20">
        <v>-1.1518230000000001E-2</v>
      </c>
      <c r="Q20">
        <v>-2.9062469999999998E-3</v>
      </c>
      <c r="R20">
        <v>-3.5688710000000001</v>
      </c>
      <c r="S20">
        <v>65.801680000000005</v>
      </c>
    </row>
    <row r="21" spans="1:19">
      <c r="A21" t="s">
        <v>19</v>
      </c>
      <c r="B21">
        <v>4368</v>
      </c>
      <c r="C21">
        <v>3236.7359999999999</v>
      </c>
      <c r="D21">
        <v>653.27719999999999</v>
      </c>
      <c r="E21">
        <v>8.7920010000000008</v>
      </c>
      <c r="F21">
        <v>1.3458301000000001E-2</v>
      </c>
      <c r="G21">
        <v>2583.4699999999998</v>
      </c>
      <c r="H21">
        <v>-20.434249999999999</v>
      </c>
      <c r="I21">
        <v>-7.9096145999999999E-3</v>
      </c>
      <c r="J21">
        <v>-11.642250000000001</v>
      </c>
      <c r="K21">
        <v>-3.5969106999999998E-3</v>
      </c>
      <c r="L21">
        <v>2937.6779999999999</v>
      </c>
      <c r="M21">
        <v>2.2272126999999999E-2</v>
      </c>
      <c r="N21">
        <v>5.4903369999999996E-3</v>
      </c>
      <c r="O21">
        <v>299.07010000000002</v>
      </c>
      <c r="P21">
        <v>-1.128403E-2</v>
      </c>
      <c r="Q21">
        <v>-2.8478616999999999E-3</v>
      </c>
      <c r="R21">
        <v>-3.3747159999999998</v>
      </c>
      <c r="S21">
        <v>65.428340000000006</v>
      </c>
    </row>
    <row r="22" spans="1:19">
      <c r="A22" t="s">
        <v>20</v>
      </c>
      <c r="B22">
        <v>4376</v>
      </c>
      <c r="C22">
        <v>3250.8789999999999</v>
      </c>
      <c r="D22">
        <v>690.59339999999997</v>
      </c>
      <c r="E22">
        <v>9.9924909999999993</v>
      </c>
      <c r="F22">
        <v>1.4469426000000001E-2</v>
      </c>
      <c r="G22">
        <v>2560.3020000000001</v>
      </c>
      <c r="H22">
        <v>-20.465039999999998</v>
      </c>
      <c r="I22">
        <v>-7.9932128999999994E-3</v>
      </c>
      <c r="J22">
        <v>-10.47255</v>
      </c>
      <c r="K22">
        <v>-3.2214518E-3</v>
      </c>
      <c r="L22">
        <v>2949.8449999999998</v>
      </c>
      <c r="M22">
        <v>2.2571569E-2</v>
      </c>
      <c r="N22">
        <v>5.5657132E-3</v>
      </c>
      <c r="O22">
        <v>301.0428</v>
      </c>
      <c r="P22">
        <v>-1.150268E-2</v>
      </c>
      <c r="Q22">
        <v>-2.9025977000000001E-3</v>
      </c>
      <c r="R22">
        <v>-3.462799</v>
      </c>
      <c r="S22">
        <v>66.582629999999995</v>
      </c>
    </row>
    <row r="23" spans="1:19">
      <c r="A23" t="s">
        <v>21</v>
      </c>
      <c r="B23">
        <v>4382</v>
      </c>
      <c r="C23">
        <v>3208.3139999999999</v>
      </c>
      <c r="D23">
        <v>643.84469999999999</v>
      </c>
      <c r="E23">
        <v>8.8712619999999998</v>
      </c>
      <c r="F23">
        <v>1.3778575E-2</v>
      </c>
      <c r="G23">
        <v>2564.498</v>
      </c>
      <c r="H23">
        <v>-19.897500000000001</v>
      </c>
      <c r="I23">
        <v>-7.7588255999999998E-3</v>
      </c>
      <c r="J23">
        <v>-11.02623</v>
      </c>
      <c r="K23">
        <v>-3.4367689000000001E-3</v>
      </c>
      <c r="L23">
        <v>2896.15</v>
      </c>
      <c r="M23">
        <v>2.2325485999999999E-2</v>
      </c>
      <c r="N23">
        <v>5.5051483000000002E-3</v>
      </c>
      <c r="O23">
        <v>312.1875</v>
      </c>
      <c r="P23">
        <v>-1.1209833000000001E-2</v>
      </c>
      <c r="Q23">
        <v>-2.8290785999999998E-3</v>
      </c>
      <c r="R23">
        <v>-3.4995699999999998</v>
      </c>
      <c r="S23">
        <v>64.657970000000006</v>
      </c>
    </row>
    <row r="24" spans="1:19">
      <c r="A24" t="s">
        <v>34</v>
      </c>
      <c r="B24">
        <v>4382</v>
      </c>
      <c r="C24">
        <v>3256.0740000000001</v>
      </c>
      <c r="D24">
        <v>688.02170000000001</v>
      </c>
      <c r="E24">
        <v>9.9198590000000006</v>
      </c>
      <c r="F24">
        <v>1.4417944E-2</v>
      </c>
      <c r="G24">
        <v>2568.0610000000001</v>
      </c>
      <c r="H24">
        <v>-20.40485</v>
      </c>
      <c r="I24">
        <v>-7.9456250999999992E-3</v>
      </c>
      <c r="J24">
        <v>-10.48499</v>
      </c>
      <c r="K24">
        <v>-3.2201325999999999E-3</v>
      </c>
      <c r="L24">
        <v>2928.9920000000002</v>
      </c>
      <c r="M24">
        <v>2.2459215000000001E-2</v>
      </c>
      <c r="N24">
        <v>5.541476E-3</v>
      </c>
      <c r="O24">
        <v>327.09230000000002</v>
      </c>
      <c r="P24">
        <v>-1.1303463E-2</v>
      </c>
      <c r="Q24">
        <v>-2.8506368E-3</v>
      </c>
      <c r="R24">
        <v>-3.697276</v>
      </c>
      <c r="S24">
        <v>65.782859999999999</v>
      </c>
    </row>
    <row r="25" spans="1:19">
      <c r="A25" t="s">
        <v>22</v>
      </c>
      <c r="B25">
        <v>4384</v>
      </c>
      <c r="C25">
        <v>2108.5340000000001</v>
      </c>
      <c r="D25">
        <v>462.7901</v>
      </c>
      <c r="E25">
        <v>7.7091269999999996</v>
      </c>
      <c r="F25">
        <v>1.6657934999999999E-2</v>
      </c>
      <c r="G25">
        <v>1645.742</v>
      </c>
      <c r="H25">
        <v>-16.832660000000001</v>
      </c>
      <c r="I25">
        <v>-1.0228002E-2</v>
      </c>
      <c r="J25">
        <v>-9.1235289999999996</v>
      </c>
      <c r="K25">
        <v>-4.3269531000000002E-3</v>
      </c>
      <c r="L25">
        <v>1886.1590000000001</v>
      </c>
      <c r="M25">
        <v>2.3173752999999998E-2</v>
      </c>
      <c r="N25">
        <v>5.8209333E-3</v>
      </c>
      <c r="O25">
        <v>222.37459999999999</v>
      </c>
      <c r="P25">
        <v>-1.2299361E-2</v>
      </c>
      <c r="Q25">
        <v>-3.1080285999999999E-3</v>
      </c>
      <c r="R25">
        <v>-2.7350650000000001</v>
      </c>
      <c r="S25">
        <v>43.709389999999999</v>
      </c>
    </row>
    <row r="26" spans="1:19">
      <c r="A26" t="s">
        <v>23</v>
      </c>
      <c r="B26">
        <v>4386</v>
      </c>
      <c r="C26">
        <v>3180.7959999999998</v>
      </c>
      <c r="D26">
        <v>639.71119999999996</v>
      </c>
      <c r="E26">
        <v>8.6801150000000007</v>
      </c>
      <c r="F26">
        <v>1.3568801E-2</v>
      </c>
      <c r="G26">
        <v>2541.1129999999998</v>
      </c>
      <c r="H26">
        <v>-20.51707</v>
      </c>
      <c r="I26">
        <v>-8.0740507999999996E-3</v>
      </c>
      <c r="J26">
        <v>-11.836959999999999</v>
      </c>
      <c r="K26">
        <v>-3.7213820000000001E-3</v>
      </c>
      <c r="L26">
        <v>2863.8150000000001</v>
      </c>
      <c r="M26">
        <v>2.2307859999999999E-2</v>
      </c>
      <c r="N26">
        <v>5.4983716000000004E-3</v>
      </c>
      <c r="O26">
        <v>316.9991</v>
      </c>
      <c r="P26">
        <v>-1.1871886999999999E-2</v>
      </c>
      <c r="Q26">
        <v>-2.9963194E-3</v>
      </c>
      <c r="R26">
        <v>-3.7633770000000002</v>
      </c>
      <c r="S26">
        <v>63.885579999999997</v>
      </c>
    </row>
    <row r="27" spans="1:19">
      <c r="A27" t="s">
        <v>24</v>
      </c>
      <c r="B27">
        <v>4386</v>
      </c>
      <c r="C27">
        <v>3218.3939999999998</v>
      </c>
      <c r="D27">
        <v>664.3297</v>
      </c>
      <c r="E27">
        <v>9.2099899999999995</v>
      </c>
      <c r="F27">
        <v>1.3863581999999999E-2</v>
      </c>
      <c r="G27">
        <v>2554.0949999999998</v>
      </c>
      <c r="H27">
        <v>-19.802520000000001</v>
      </c>
      <c r="I27">
        <v>-7.7532427000000003E-3</v>
      </c>
      <c r="J27">
        <v>-10.59253</v>
      </c>
      <c r="K27">
        <v>-3.2912473999999999E-3</v>
      </c>
      <c r="L27">
        <v>2903.154</v>
      </c>
      <c r="M27">
        <v>2.2382017000000001E-2</v>
      </c>
      <c r="N27">
        <v>5.518808E-3</v>
      </c>
      <c r="O27">
        <v>315.25740000000002</v>
      </c>
      <c r="P27">
        <v>-1.1921126000000001E-2</v>
      </c>
      <c r="Q27">
        <v>-3.0089854000000002E-3</v>
      </c>
      <c r="R27">
        <v>-3.7582230000000001</v>
      </c>
      <c r="S27">
        <v>64.978449999999995</v>
      </c>
    </row>
    <row r="28" spans="1:19">
      <c r="A28" t="s">
        <v>25</v>
      </c>
      <c r="B28">
        <v>4396</v>
      </c>
      <c r="C28">
        <v>3603.3960000000002</v>
      </c>
      <c r="D28">
        <v>744.10329999999999</v>
      </c>
      <c r="E28">
        <v>10.05278</v>
      </c>
      <c r="F28">
        <v>1.350992E-2</v>
      </c>
      <c r="G28">
        <v>2859.3290000000002</v>
      </c>
      <c r="H28">
        <v>-21.820430000000002</v>
      </c>
      <c r="I28">
        <v>-7.6313107000000003E-3</v>
      </c>
      <c r="J28">
        <v>-11.767659999999999</v>
      </c>
      <c r="K28">
        <v>-3.2657122000000001E-3</v>
      </c>
      <c r="L28">
        <v>3219.3960000000002</v>
      </c>
      <c r="M28">
        <v>2.2042796E-2</v>
      </c>
      <c r="N28">
        <v>5.4295715E-3</v>
      </c>
      <c r="O28">
        <v>384.02769999999998</v>
      </c>
      <c r="P28">
        <v>-1.2559528E-2</v>
      </c>
      <c r="Q28">
        <v>-3.1648343000000002E-3</v>
      </c>
      <c r="R28">
        <v>-4.823207</v>
      </c>
      <c r="S28">
        <v>70.964500000000001</v>
      </c>
    </row>
    <row r="29" spans="1:19">
      <c r="A29" t="s">
        <v>26</v>
      </c>
      <c r="B29">
        <v>4496</v>
      </c>
      <c r="C29">
        <v>2946.7629999999999</v>
      </c>
      <c r="D29">
        <v>479.97859999999997</v>
      </c>
      <c r="E29">
        <v>5.6152499999999996</v>
      </c>
      <c r="F29">
        <v>1.1698959E-2</v>
      </c>
      <c r="G29">
        <v>2466.788</v>
      </c>
      <c r="H29">
        <v>-23.21715</v>
      </c>
      <c r="I29">
        <v>-9.4118966000000005E-3</v>
      </c>
      <c r="J29">
        <v>-17.601900000000001</v>
      </c>
      <c r="K29">
        <v>-5.9733013999999996E-3</v>
      </c>
      <c r="L29">
        <v>2701.1480000000001</v>
      </c>
      <c r="M29">
        <v>2.6223406000000001E-2</v>
      </c>
      <c r="N29">
        <v>6.5068258000000002E-3</v>
      </c>
      <c r="O29">
        <v>245.61969999999999</v>
      </c>
      <c r="P29">
        <v>-9.5772155999999994E-3</v>
      </c>
      <c r="Q29">
        <v>-2.4151462E-3</v>
      </c>
      <c r="R29">
        <v>-2.3523520000000002</v>
      </c>
      <c r="S29">
        <v>70.833309999999997</v>
      </c>
    </row>
    <row r="30" spans="1:19">
      <c r="A30" t="s">
        <v>27</v>
      </c>
      <c r="B30">
        <v>4616</v>
      </c>
      <c r="C30">
        <v>2993.3690000000001</v>
      </c>
      <c r="D30">
        <v>525.01769999999999</v>
      </c>
      <c r="E30">
        <v>7.9151499999999997</v>
      </c>
      <c r="F30">
        <v>1.5075969E-2</v>
      </c>
      <c r="G30">
        <v>2468.364</v>
      </c>
      <c r="H30">
        <v>-23.941289999999999</v>
      </c>
      <c r="I30">
        <v>-9.6992580000000005E-3</v>
      </c>
      <c r="J30">
        <v>-16.026140000000002</v>
      </c>
      <c r="K30">
        <v>-5.3538815000000002E-3</v>
      </c>
      <c r="L30">
        <v>2447.0889999999999</v>
      </c>
      <c r="M30">
        <v>2.6265908000000001E-2</v>
      </c>
      <c r="N30">
        <v>6.4852199999999999E-3</v>
      </c>
      <c r="O30">
        <v>546.30349999999999</v>
      </c>
      <c r="P30">
        <v>-1.2395428E-2</v>
      </c>
      <c r="Q30">
        <v>-3.1220216999999998E-3</v>
      </c>
      <c r="R30">
        <v>-6.7716649999999996</v>
      </c>
      <c r="S30">
        <v>64.275019999999998</v>
      </c>
    </row>
    <row r="31" spans="1:19">
      <c r="A31" t="s">
        <v>28</v>
      </c>
      <c r="B31">
        <v>4599</v>
      </c>
      <c r="C31">
        <v>2055.134</v>
      </c>
      <c r="D31">
        <v>419.20549999999997</v>
      </c>
      <c r="E31">
        <v>6.936928</v>
      </c>
      <c r="F31">
        <v>1.6547795000000001E-2</v>
      </c>
      <c r="G31">
        <v>1635.93</v>
      </c>
      <c r="H31">
        <v>-22.920020000000001</v>
      </c>
      <c r="I31">
        <v>-1.4010386999999999E-2</v>
      </c>
      <c r="J31">
        <v>-15.983090000000001</v>
      </c>
      <c r="K31">
        <v>-7.7771517000000002E-3</v>
      </c>
      <c r="L31">
        <v>1879.9259999999999</v>
      </c>
      <c r="M31">
        <v>2.7405613999999998E-2</v>
      </c>
      <c r="N31">
        <v>6.8749036000000001E-3</v>
      </c>
      <c r="O31">
        <v>175.20910000000001</v>
      </c>
      <c r="P31">
        <v>-9.9357887999999995E-3</v>
      </c>
      <c r="Q31">
        <v>-2.5084157999999998E-3</v>
      </c>
      <c r="R31">
        <v>-1.7408410000000001</v>
      </c>
      <c r="S31">
        <v>51.520530000000001</v>
      </c>
    </row>
    <row r="32" spans="1:19">
      <c r="A32" t="s">
        <v>29</v>
      </c>
      <c r="B32">
        <v>4600</v>
      </c>
      <c r="C32">
        <v>1962.4749999999999</v>
      </c>
      <c r="D32">
        <v>379.11869999999999</v>
      </c>
      <c r="E32">
        <v>6.9547350000000003</v>
      </c>
      <c r="F32">
        <v>1.8344479E-2</v>
      </c>
      <c r="G32">
        <v>1583.3579999999999</v>
      </c>
      <c r="H32">
        <v>-21.952850000000002</v>
      </c>
      <c r="I32">
        <v>-1.386474E-2</v>
      </c>
      <c r="J32">
        <v>-14.99812</v>
      </c>
      <c r="K32">
        <v>-7.6424474999999999E-3</v>
      </c>
      <c r="L32">
        <v>1791.877</v>
      </c>
      <c r="M32">
        <v>2.7751325E-2</v>
      </c>
      <c r="N32">
        <v>6.9635836E-3</v>
      </c>
      <c r="O32">
        <v>170.6011</v>
      </c>
      <c r="P32">
        <v>-1.0114128E-2</v>
      </c>
      <c r="Q32">
        <v>-2.5562687999999998E-3</v>
      </c>
      <c r="R32">
        <v>-1.725482</v>
      </c>
      <c r="S32">
        <v>49.726950000000002</v>
      </c>
    </row>
    <row r="33" spans="1:19">
      <c r="A33" t="s">
        <v>30</v>
      </c>
      <c r="B33">
        <v>4599</v>
      </c>
      <c r="C33">
        <v>1956.4259999999999</v>
      </c>
      <c r="D33">
        <v>384.14350000000002</v>
      </c>
      <c r="E33">
        <v>6.829034</v>
      </c>
      <c r="F33">
        <v>1.7777300999999999E-2</v>
      </c>
      <c r="G33">
        <v>1572.2860000000001</v>
      </c>
      <c r="H33">
        <v>-21.909089999999999</v>
      </c>
      <c r="I33">
        <v>-1.3934544E-2</v>
      </c>
      <c r="J33">
        <v>-15.08005</v>
      </c>
      <c r="K33">
        <v>-7.7079603999999999E-3</v>
      </c>
      <c r="L33">
        <v>1791.875</v>
      </c>
      <c r="M33">
        <v>2.7583407000000001E-2</v>
      </c>
      <c r="N33">
        <v>6.9204723000000001E-3</v>
      </c>
      <c r="O33">
        <v>164.5521</v>
      </c>
      <c r="P33">
        <v>-1.0106313E-2</v>
      </c>
      <c r="Q33">
        <v>-2.5545552000000001E-3</v>
      </c>
      <c r="R33">
        <v>-1.6630149999999999</v>
      </c>
      <c r="S33">
        <v>49.426009999999998</v>
      </c>
    </row>
    <row r="34" spans="1:19">
      <c r="A34" t="s">
        <v>31</v>
      </c>
      <c r="B34">
        <v>10032</v>
      </c>
      <c r="C34">
        <v>7512.5709999999999</v>
      </c>
      <c r="D34">
        <v>1884.0229999999999</v>
      </c>
      <c r="E34">
        <v>17.114940000000001</v>
      </c>
      <c r="F34">
        <v>9.0842517000000005E-3</v>
      </c>
      <c r="G34">
        <v>5628.442</v>
      </c>
      <c r="H34">
        <v>-51.196449999999999</v>
      </c>
      <c r="I34">
        <v>-9.0960255000000004E-3</v>
      </c>
      <c r="J34">
        <v>-34.081510000000002</v>
      </c>
      <c r="K34">
        <v>-4.5365971000000003E-3</v>
      </c>
      <c r="L34">
        <v>6232.8329999999996</v>
      </c>
      <c r="M34">
        <v>1.9790377000000001E-2</v>
      </c>
      <c r="N34">
        <v>4.8807067999999997E-3</v>
      </c>
      <c r="O34">
        <v>1279.7719999999999</v>
      </c>
      <c r="P34">
        <v>-1.0238961E-2</v>
      </c>
      <c r="Q34">
        <v>-2.5870746000000002E-3</v>
      </c>
      <c r="R34">
        <v>-13.103529999999999</v>
      </c>
      <c r="S34">
        <v>123.3501</v>
      </c>
    </row>
    <row r="35" spans="1:19">
      <c r="A35" t="s">
        <v>32</v>
      </c>
      <c r="B35">
        <v>10214</v>
      </c>
      <c r="C35">
        <v>7852.951</v>
      </c>
      <c r="D35">
        <v>1926.6679999999999</v>
      </c>
      <c r="E35">
        <v>18.803879999999999</v>
      </c>
      <c r="F35">
        <v>9.7597940000000005E-3</v>
      </c>
      <c r="G35">
        <v>5926.0969999999998</v>
      </c>
      <c r="H35">
        <v>-54.751440000000002</v>
      </c>
      <c r="I35">
        <v>-9.2390384999999995E-3</v>
      </c>
      <c r="J35">
        <v>-35.947560000000003</v>
      </c>
      <c r="K35">
        <v>-4.5775863999999999E-3</v>
      </c>
      <c r="L35">
        <v>6492.97</v>
      </c>
      <c r="M35">
        <v>1.9855055999999999E-2</v>
      </c>
      <c r="N35">
        <v>4.8971804999999998E-3</v>
      </c>
      <c r="O35">
        <v>1360.0070000000001</v>
      </c>
      <c r="P35">
        <v>-1.1755478E-2</v>
      </c>
      <c r="Q35">
        <v>-2.9694528999999999E-3</v>
      </c>
      <c r="R35">
        <v>-15.98753</v>
      </c>
      <c r="S35">
        <v>128.91829999999999</v>
      </c>
    </row>
    <row r="36" spans="1:19">
      <c r="A36" t="s">
        <v>33</v>
      </c>
      <c r="B36">
        <v>10355</v>
      </c>
      <c r="C36">
        <v>8545.5540000000001</v>
      </c>
      <c r="D36">
        <v>2442.0479999999998</v>
      </c>
      <c r="E36">
        <v>23.76915</v>
      </c>
      <c r="F36">
        <v>9.7332857999999998E-3</v>
      </c>
      <c r="G36">
        <v>6103.2610000000004</v>
      </c>
      <c r="H36">
        <v>-53.381970000000003</v>
      </c>
      <c r="I36">
        <v>-8.7464675000000006E-3</v>
      </c>
      <c r="J36">
        <v>-29.612819999999999</v>
      </c>
      <c r="K36">
        <v>-3.4652895E-3</v>
      </c>
      <c r="L36">
        <v>7074.5330000000004</v>
      </c>
      <c r="M36">
        <v>1.9018054E-2</v>
      </c>
      <c r="N36">
        <v>4.6799490000000001E-3</v>
      </c>
      <c r="O36">
        <v>1470.99</v>
      </c>
      <c r="P36">
        <v>-1.1250519E-2</v>
      </c>
      <c r="Q36">
        <v>-2.8425619999999999E-3</v>
      </c>
      <c r="R36">
        <v>-16.549399999999999</v>
      </c>
      <c r="S36">
        <v>134.54390000000001</v>
      </c>
    </row>
  </sheetData>
  <phoneticPr fontId="0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78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622.33100000000002</v>
      </c>
      <c r="D2">
        <v>153.18620000000001</v>
      </c>
      <c r="E2">
        <v>2.107329</v>
      </c>
      <c r="F2">
        <v>1.3756653000000001E-2</v>
      </c>
      <c r="G2">
        <v>469.14550000000003</v>
      </c>
      <c r="H2">
        <v>-4.7622039999999997</v>
      </c>
      <c r="I2">
        <v>-1.0150803999999999E-2</v>
      </c>
      <c r="J2">
        <v>-2.6548750000000001</v>
      </c>
      <c r="K2">
        <v>-4.2660171E-3</v>
      </c>
      <c r="L2">
        <v>490.23899999999998</v>
      </c>
      <c r="M2">
        <v>2.6770754000000001E-2</v>
      </c>
      <c r="N2">
        <v>6.5983250000000004E-3</v>
      </c>
      <c r="O2">
        <v>132.09059999999999</v>
      </c>
      <c r="P2">
        <v>-1.4389525E-2</v>
      </c>
      <c r="Q2">
        <v>-3.5930465000000001E-3</v>
      </c>
      <c r="R2">
        <v>-1.900722</v>
      </c>
      <c r="S2">
        <v>13.12407</v>
      </c>
    </row>
    <row r="3" spans="1:19">
      <c r="A3" t="s">
        <v>1</v>
      </c>
      <c r="B3">
        <v>1248</v>
      </c>
      <c r="C3">
        <v>740.6164</v>
      </c>
      <c r="D3">
        <v>181.41909999999999</v>
      </c>
      <c r="E3">
        <v>2.4379439999999999</v>
      </c>
      <c r="F3">
        <v>1.3438189999999999E-2</v>
      </c>
      <c r="G3">
        <v>559.19719999999995</v>
      </c>
      <c r="H3">
        <v>-5.7701989999999999</v>
      </c>
      <c r="I3">
        <v>-1.0318719000000001E-2</v>
      </c>
      <c r="J3">
        <v>-3.3322539999999998</v>
      </c>
      <c r="K3">
        <v>-4.4992985000000003E-3</v>
      </c>
      <c r="L3">
        <v>576.39859999999999</v>
      </c>
      <c r="M3">
        <v>2.5035799000000001E-2</v>
      </c>
      <c r="N3">
        <v>6.1695598999999997E-3</v>
      </c>
      <c r="O3">
        <v>164.21690000000001</v>
      </c>
      <c r="P3">
        <v>-1.0806679E-2</v>
      </c>
      <c r="Q3">
        <v>-2.6888479000000002E-3</v>
      </c>
      <c r="R3">
        <v>-1.77464</v>
      </c>
      <c r="S3">
        <v>14.4306</v>
      </c>
    </row>
    <row r="4" spans="1:19">
      <c r="A4" t="s">
        <v>2</v>
      </c>
      <c r="B4">
        <v>2468</v>
      </c>
      <c r="C4">
        <v>1356.3130000000001</v>
      </c>
      <c r="D4">
        <v>311.27589999999998</v>
      </c>
      <c r="E4">
        <v>4.3488619999999996</v>
      </c>
      <c r="F4">
        <v>1.3971087E-2</v>
      </c>
      <c r="G4">
        <v>1045.038</v>
      </c>
      <c r="H4">
        <v>-12.11712</v>
      </c>
      <c r="I4">
        <v>-1.1594906E-2</v>
      </c>
      <c r="J4">
        <v>-7.7682589999999996</v>
      </c>
      <c r="K4">
        <v>-5.7274839000000001E-3</v>
      </c>
      <c r="L4">
        <v>1237.5139999999999</v>
      </c>
      <c r="M4">
        <v>2.5197351E-2</v>
      </c>
      <c r="N4">
        <v>6.2364163000000004E-3</v>
      </c>
      <c r="O4">
        <v>118.7957</v>
      </c>
      <c r="P4">
        <v>-1.3404301E-2</v>
      </c>
      <c r="Q4">
        <v>-3.3383097E-3</v>
      </c>
      <c r="R4">
        <v>-1.592374</v>
      </c>
      <c r="S4">
        <v>31.182079999999999</v>
      </c>
    </row>
    <row r="5" spans="1:19">
      <c r="A5" t="s">
        <v>3</v>
      </c>
      <c r="B5">
        <v>993</v>
      </c>
      <c r="C5">
        <v>370.28339999999997</v>
      </c>
      <c r="D5">
        <v>143.82689999999999</v>
      </c>
      <c r="E5">
        <v>0.96611769999999997</v>
      </c>
      <c r="F5">
        <v>6.7172265000000004E-3</v>
      </c>
      <c r="G5">
        <v>226.45580000000001</v>
      </c>
      <c r="H5">
        <v>-2.4801549999999999</v>
      </c>
      <c r="I5">
        <v>-1.0952051000000001E-2</v>
      </c>
      <c r="J5">
        <v>-1.514038</v>
      </c>
      <c r="K5">
        <v>-4.0888618999999999E-3</v>
      </c>
      <c r="L5">
        <v>324.48809999999997</v>
      </c>
      <c r="M5">
        <v>1.8456398999999998E-2</v>
      </c>
      <c r="N5">
        <v>4.5335977000000001E-3</v>
      </c>
      <c r="O5">
        <v>45.794989999999999</v>
      </c>
      <c r="P5">
        <v>-1.1994151999999999E-2</v>
      </c>
      <c r="Q5">
        <v>-2.9530756000000001E-3</v>
      </c>
      <c r="R5">
        <v>-0.54927210000000004</v>
      </c>
      <c r="S5">
        <v>5.9888830000000004</v>
      </c>
    </row>
    <row r="6" spans="1:19">
      <c r="A6" t="s">
        <v>4</v>
      </c>
      <c r="B6">
        <v>994</v>
      </c>
      <c r="C6">
        <v>357.31970000000001</v>
      </c>
      <c r="D6">
        <v>123.6709</v>
      </c>
      <c r="E6">
        <v>1.0569299999999999</v>
      </c>
      <c r="F6">
        <v>8.5463104999999994E-3</v>
      </c>
      <c r="G6">
        <v>233.64869999999999</v>
      </c>
      <c r="H6">
        <v>-2.4584830000000002</v>
      </c>
      <c r="I6">
        <v>-1.0522135E-2</v>
      </c>
      <c r="J6">
        <v>-1.401553</v>
      </c>
      <c r="K6">
        <v>-3.9224070000000002E-3</v>
      </c>
      <c r="L6">
        <v>319.71120000000002</v>
      </c>
      <c r="M6">
        <v>1.9187856E-2</v>
      </c>
      <c r="N6">
        <v>4.7189016000000004E-3</v>
      </c>
      <c r="O6">
        <v>37.60801</v>
      </c>
      <c r="P6">
        <v>-1.209501E-2</v>
      </c>
      <c r="Q6">
        <v>-2.9925606000000002E-3</v>
      </c>
      <c r="R6">
        <v>-0.45486919999999997</v>
      </c>
      <c r="S6">
        <v>6.1345720000000004</v>
      </c>
    </row>
    <row r="7" spans="1:19">
      <c r="A7" t="s">
        <v>5</v>
      </c>
      <c r="B7">
        <v>1001</v>
      </c>
      <c r="C7">
        <v>379.39530000000002</v>
      </c>
      <c r="D7">
        <v>150.83070000000001</v>
      </c>
      <c r="E7">
        <v>0.92400000000000004</v>
      </c>
      <c r="F7">
        <v>6.1260732000000002E-3</v>
      </c>
      <c r="G7">
        <v>228.56399999999999</v>
      </c>
      <c r="H7">
        <v>-2.6581809999999999</v>
      </c>
      <c r="I7">
        <v>-1.1629919000000001E-2</v>
      </c>
      <c r="J7">
        <v>-1.734181</v>
      </c>
      <c r="K7">
        <v>-4.5709074000000001E-3</v>
      </c>
      <c r="L7">
        <v>344.8152</v>
      </c>
      <c r="M7">
        <v>1.8090274E-2</v>
      </c>
      <c r="N7">
        <v>4.4523914999999997E-3</v>
      </c>
      <c r="O7">
        <v>34.579990000000002</v>
      </c>
      <c r="P7">
        <v>-1.2230174999999999E-2</v>
      </c>
      <c r="Q7">
        <v>-3.0208523000000002E-3</v>
      </c>
      <c r="R7">
        <v>-0.4229193</v>
      </c>
      <c r="S7">
        <v>6.2378010000000002</v>
      </c>
    </row>
    <row r="8" spans="1:19">
      <c r="A8" t="s">
        <v>6</v>
      </c>
      <c r="B8">
        <v>1001</v>
      </c>
      <c r="C8">
        <v>367.31959999999998</v>
      </c>
      <c r="D8">
        <v>146.94380000000001</v>
      </c>
      <c r="E8">
        <v>1.095758</v>
      </c>
      <c r="F8">
        <v>7.4569904000000003E-3</v>
      </c>
      <c r="G8">
        <v>220.3759</v>
      </c>
      <c r="H8">
        <v>-2.5017100000000001</v>
      </c>
      <c r="I8">
        <v>-1.1352015E-2</v>
      </c>
      <c r="J8">
        <v>-1.4059520000000001</v>
      </c>
      <c r="K8">
        <v>-3.8275981999999998E-3</v>
      </c>
      <c r="L8">
        <v>332.49259999999998</v>
      </c>
      <c r="M8">
        <v>1.8652318000000001E-2</v>
      </c>
      <c r="N8">
        <v>4.590495E-3</v>
      </c>
      <c r="O8">
        <v>34.827010000000001</v>
      </c>
      <c r="P8">
        <v>-1.2088036999999999E-2</v>
      </c>
      <c r="Q8">
        <v>-2.9857459E-3</v>
      </c>
      <c r="R8">
        <v>-0.42099019999999998</v>
      </c>
      <c r="S8">
        <v>6.201759</v>
      </c>
    </row>
    <row r="9" spans="1:19">
      <c r="A9" t="s">
        <v>7</v>
      </c>
      <c r="B9">
        <v>1305</v>
      </c>
      <c r="C9">
        <v>450.85559999999998</v>
      </c>
      <c r="D9">
        <v>141.44489999999999</v>
      </c>
      <c r="E9">
        <v>1.591893</v>
      </c>
      <c r="F9">
        <v>1.1254507E-2</v>
      </c>
      <c r="G9">
        <v>309.41070000000002</v>
      </c>
      <c r="H9">
        <v>-3.5009519999999998</v>
      </c>
      <c r="I9">
        <v>-1.1314902E-2</v>
      </c>
      <c r="J9">
        <v>-1.9090590000000001</v>
      </c>
      <c r="K9">
        <v>-4.2343019000000001E-3</v>
      </c>
      <c r="L9">
        <v>396.34460000000001</v>
      </c>
      <c r="M9">
        <v>2.1349670000000001E-2</v>
      </c>
      <c r="N9">
        <v>5.2557932E-3</v>
      </c>
      <c r="O9">
        <v>54.511029999999998</v>
      </c>
      <c r="P9">
        <v>-1.0857166E-2</v>
      </c>
      <c r="Q9">
        <v>-2.6901605999999998E-3</v>
      </c>
      <c r="R9">
        <v>-0.59183529999999995</v>
      </c>
      <c r="S9">
        <v>8.4618269999999995</v>
      </c>
    </row>
    <row r="10" spans="1:19">
      <c r="A10" t="s">
        <v>8</v>
      </c>
      <c r="B10">
        <v>1309</v>
      </c>
      <c r="C10">
        <v>453.18650000000002</v>
      </c>
      <c r="D10">
        <v>140.21190000000001</v>
      </c>
      <c r="E10">
        <v>1.6583619999999999</v>
      </c>
      <c r="F10">
        <v>1.1827539999999999E-2</v>
      </c>
      <c r="G10">
        <v>312.9751</v>
      </c>
      <c r="H10">
        <v>-3.67747</v>
      </c>
      <c r="I10">
        <v>-1.1750042E-2</v>
      </c>
      <c r="J10">
        <v>-2.0191080000000001</v>
      </c>
      <c r="K10">
        <v>-4.4553572999999997E-3</v>
      </c>
      <c r="L10">
        <v>396.22199999999998</v>
      </c>
      <c r="M10">
        <v>2.1441980999999999E-2</v>
      </c>
      <c r="N10">
        <v>5.2834474000000003E-3</v>
      </c>
      <c r="O10">
        <v>56.965020000000003</v>
      </c>
      <c r="P10">
        <v>-1.1932561E-2</v>
      </c>
      <c r="Q10">
        <v>-2.9553855000000002E-3</v>
      </c>
      <c r="R10">
        <v>-0.67973859999999997</v>
      </c>
      <c r="S10">
        <v>8.4957840000000004</v>
      </c>
    </row>
    <row r="11" spans="1:19">
      <c r="A11" t="s">
        <v>9</v>
      </c>
      <c r="B11">
        <v>951</v>
      </c>
      <c r="C11">
        <v>376.02460000000002</v>
      </c>
      <c r="D11">
        <v>99.304029999999997</v>
      </c>
      <c r="E11">
        <v>0.95016849999999997</v>
      </c>
      <c r="F11">
        <v>9.5682768000000008E-3</v>
      </c>
      <c r="G11">
        <v>276.72129999999999</v>
      </c>
      <c r="H11">
        <v>-3.1200079999999999</v>
      </c>
      <c r="I11">
        <v>-1.1274911E-2</v>
      </c>
      <c r="J11">
        <v>-2.1698390000000001</v>
      </c>
      <c r="K11">
        <v>-5.7704719E-3</v>
      </c>
      <c r="L11">
        <v>340.77800000000002</v>
      </c>
      <c r="M11">
        <v>1.7938914E-2</v>
      </c>
      <c r="N11">
        <v>4.4202366999999999E-3</v>
      </c>
      <c r="O11">
        <v>35.246989999999997</v>
      </c>
      <c r="P11">
        <v>-7.3241931000000001E-3</v>
      </c>
      <c r="Q11">
        <v>-1.8052852000000001E-3</v>
      </c>
      <c r="R11">
        <v>-0.25815579999999999</v>
      </c>
      <c r="S11">
        <v>6.1131869999999999</v>
      </c>
    </row>
    <row r="12" spans="1:19">
      <c r="A12" t="s">
        <v>10</v>
      </c>
      <c r="B12">
        <v>956</v>
      </c>
      <c r="C12">
        <v>370.67770000000002</v>
      </c>
      <c r="D12">
        <v>90.582949999999997</v>
      </c>
      <c r="E12">
        <v>0.78640129999999997</v>
      </c>
      <c r="F12">
        <v>8.6815599E-3</v>
      </c>
      <c r="G12">
        <v>280.09539999999998</v>
      </c>
      <c r="H12">
        <v>-3.1301220000000001</v>
      </c>
      <c r="I12">
        <v>-1.1175200999999999E-2</v>
      </c>
      <c r="J12">
        <v>-2.3437209999999999</v>
      </c>
      <c r="K12">
        <v>-6.3228006000000002E-3</v>
      </c>
      <c r="L12">
        <v>336.1952</v>
      </c>
      <c r="M12">
        <v>1.7848493999999999E-2</v>
      </c>
      <c r="N12">
        <v>4.3960279000000001E-3</v>
      </c>
      <c r="O12">
        <v>34.482990000000001</v>
      </c>
      <c r="P12">
        <v>-7.4151508E-3</v>
      </c>
      <c r="Q12">
        <v>-1.826404E-3</v>
      </c>
      <c r="R12">
        <v>-0.2556966</v>
      </c>
      <c r="S12">
        <v>6.000578</v>
      </c>
    </row>
    <row r="13" spans="1:19">
      <c r="A13" t="s">
        <v>11</v>
      </c>
      <c r="B13">
        <v>957</v>
      </c>
      <c r="C13">
        <v>377.49669999999998</v>
      </c>
      <c r="D13">
        <v>114.32210000000001</v>
      </c>
      <c r="E13">
        <v>1.3355509999999999</v>
      </c>
      <c r="F13">
        <v>1.1682346E-2</v>
      </c>
      <c r="G13">
        <v>263.17660000000001</v>
      </c>
      <c r="H13">
        <v>-2.9016160000000002</v>
      </c>
      <c r="I13">
        <v>-1.1025358000000001E-2</v>
      </c>
      <c r="J13">
        <v>-1.566065</v>
      </c>
      <c r="K13">
        <v>-4.1485526999999996E-3</v>
      </c>
      <c r="L13">
        <v>348.90649999999999</v>
      </c>
      <c r="M13">
        <v>1.8278301E-2</v>
      </c>
      <c r="N13">
        <v>4.5070088999999997E-3</v>
      </c>
      <c r="O13">
        <v>28.591000000000001</v>
      </c>
      <c r="P13">
        <v>-7.5761153999999997E-3</v>
      </c>
      <c r="Q13">
        <v>-1.8673163E-3</v>
      </c>
      <c r="R13">
        <v>-0.21660869999999999</v>
      </c>
      <c r="S13">
        <v>6.3774179999999996</v>
      </c>
    </row>
    <row r="14" spans="1:19">
      <c r="A14" t="s">
        <v>12</v>
      </c>
      <c r="B14">
        <v>1894</v>
      </c>
      <c r="C14">
        <v>1224.143</v>
      </c>
      <c r="D14">
        <v>403.1234</v>
      </c>
      <c r="E14">
        <v>3.8138770000000002</v>
      </c>
      <c r="F14">
        <v>9.4608179999999993E-3</v>
      </c>
      <c r="G14">
        <v>821.02170000000001</v>
      </c>
      <c r="H14">
        <v>-7.0422289999999998</v>
      </c>
      <c r="I14">
        <v>-8.5773971000000001E-3</v>
      </c>
      <c r="J14">
        <v>-3.2283520000000001</v>
      </c>
      <c r="K14">
        <v>-2.6372341000000001E-3</v>
      </c>
      <c r="L14">
        <v>1108.672</v>
      </c>
      <c r="M14">
        <v>1.7386558E-2</v>
      </c>
      <c r="N14">
        <v>4.3007564000000003E-3</v>
      </c>
      <c r="O14">
        <v>115.47199999999999</v>
      </c>
      <c r="P14">
        <v>-7.8901862999999992E-3</v>
      </c>
      <c r="Q14">
        <v>-1.9551408E-3</v>
      </c>
      <c r="R14">
        <v>-0.91109569999999995</v>
      </c>
      <c r="S14">
        <v>19.27599</v>
      </c>
    </row>
    <row r="15" spans="1:19">
      <c r="A15" t="s">
        <v>13</v>
      </c>
      <c r="B15">
        <v>2192</v>
      </c>
      <c r="C15">
        <v>806.68730000000005</v>
      </c>
      <c r="D15">
        <v>181.3716</v>
      </c>
      <c r="E15">
        <v>2.8544330000000002</v>
      </c>
      <c r="F15">
        <v>1.5738044E-2</v>
      </c>
      <c r="G15">
        <v>625.31439999999998</v>
      </c>
      <c r="H15">
        <v>-6.7714920000000003</v>
      </c>
      <c r="I15">
        <v>-1.0828941E-2</v>
      </c>
      <c r="J15">
        <v>-3.9170590000000001</v>
      </c>
      <c r="K15">
        <v>-4.8557343000000001E-3</v>
      </c>
      <c r="L15">
        <v>723.32230000000004</v>
      </c>
      <c r="M15">
        <v>2.2760399000000001E-2</v>
      </c>
      <c r="N15">
        <v>5.6092347999999997E-3</v>
      </c>
      <c r="O15">
        <v>83.364090000000004</v>
      </c>
      <c r="P15">
        <v>-1.1098385000000001E-2</v>
      </c>
      <c r="Q15">
        <v>-2.7454207E-3</v>
      </c>
      <c r="R15">
        <v>-0.9252068</v>
      </c>
      <c r="S15">
        <v>16.463100000000001</v>
      </c>
    </row>
    <row r="16" spans="1:19">
      <c r="A16" t="s">
        <v>14</v>
      </c>
      <c r="B16">
        <v>2192</v>
      </c>
      <c r="C16">
        <v>803.35109999999997</v>
      </c>
      <c r="D16">
        <v>173.0608</v>
      </c>
      <c r="E16">
        <v>2.7572899999999998</v>
      </c>
      <c r="F16">
        <v>1.5932492999999999E-2</v>
      </c>
      <c r="G16">
        <v>630.29160000000002</v>
      </c>
      <c r="H16">
        <v>-6.8230050000000002</v>
      </c>
      <c r="I16">
        <v>-1.0825156000000001E-2</v>
      </c>
      <c r="J16">
        <v>-4.0657160000000001</v>
      </c>
      <c r="K16">
        <v>-5.0609447000000002E-3</v>
      </c>
      <c r="L16">
        <v>720.4443</v>
      </c>
      <c r="M16">
        <v>2.2769185000000001E-2</v>
      </c>
      <c r="N16">
        <v>5.6081810000000003E-3</v>
      </c>
      <c r="O16">
        <v>82.90607</v>
      </c>
      <c r="P16">
        <v>-1.1069842E-2</v>
      </c>
      <c r="Q16">
        <v>-2.7395736000000001E-3</v>
      </c>
      <c r="R16">
        <v>-0.91775720000000005</v>
      </c>
      <c r="S16">
        <v>16.403929999999999</v>
      </c>
    </row>
    <row r="17" spans="1:19">
      <c r="A17" t="s">
        <v>15</v>
      </c>
      <c r="B17">
        <v>2201</v>
      </c>
      <c r="C17">
        <v>824.95060000000001</v>
      </c>
      <c r="D17">
        <v>221.04320000000001</v>
      </c>
      <c r="E17">
        <v>3.1667100000000001</v>
      </c>
      <c r="F17">
        <v>1.4326205E-2</v>
      </c>
      <c r="G17">
        <v>603.91129999999998</v>
      </c>
      <c r="H17">
        <v>-6.5435429999999997</v>
      </c>
      <c r="I17">
        <v>-1.0835272E-2</v>
      </c>
      <c r="J17">
        <v>-3.376833</v>
      </c>
      <c r="K17">
        <v>-4.0933764999999999E-3</v>
      </c>
      <c r="L17">
        <v>729.10550000000001</v>
      </c>
      <c r="M17">
        <v>2.3486797E-2</v>
      </c>
      <c r="N17">
        <v>5.7852548000000004E-3</v>
      </c>
      <c r="O17">
        <v>95.846100000000007</v>
      </c>
      <c r="P17">
        <v>-1.1978216999999999E-2</v>
      </c>
      <c r="Q17">
        <v>-2.9665773999999999E-3</v>
      </c>
      <c r="R17">
        <v>-1.1480649999999999</v>
      </c>
      <c r="S17">
        <v>17.12435</v>
      </c>
    </row>
    <row r="18" spans="1:19">
      <c r="A18" t="s">
        <v>16</v>
      </c>
      <c r="B18">
        <v>4326</v>
      </c>
      <c r="C18">
        <v>2172.6770000000001</v>
      </c>
      <c r="D18">
        <v>476.23270000000002</v>
      </c>
      <c r="E18">
        <v>6.8388289999999996</v>
      </c>
      <c r="F18">
        <v>1.4360266E-2</v>
      </c>
      <c r="G18">
        <v>1696.443</v>
      </c>
      <c r="H18">
        <v>-13.666969999999999</v>
      </c>
      <c r="I18">
        <v>-8.0562457000000007E-3</v>
      </c>
      <c r="J18">
        <v>-6.8281369999999999</v>
      </c>
      <c r="K18">
        <v>-3.1427296000000001E-3</v>
      </c>
      <c r="L18">
        <v>1984.502</v>
      </c>
      <c r="M18">
        <v>2.2043924999999999E-2</v>
      </c>
      <c r="N18">
        <v>5.4819821000000003E-3</v>
      </c>
      <c r="O18">
        <v>188.17699999999999</v>
      </c>
      <c r="P18">
        <v>-1.0823737E-2</v>
      </c>
      <c r="Q18">
        <v>-2.6977197000000001E-3</v>
      </c>
      <c r="R18">
        <v>-2.036778</v>
      </c>
      <c r="S18">
        <v>43.746220000000001</v>
      </c>
    </row>
    <row r="19" spans="1:19">
      <c r="A19" t="s">
        <v>17</v>
      </c>
      <c r="B19">
        <v>4366</v>
      </c>
      <c r="C19">
        <v>2155.6309999999999</v>
      </c>
      <c r="D19">
        <v>482.68779999999998</v>
      </c>
      <c r="E19">
        <v>7.2162369999999996</v>
      </c>
      <c r="F19">
        <v>1.4950112E-2</v>
      </c>
      <c r="G19">
        <v>1672.9369999999999</v>
      </c>
      <c r="H19">
        <v>-13.496969999999999</v>
      </c>
      <c r="I19">
        <v>-8.0678257999999992E-3</v>
      </c>
      <c r="J19">
        <v>-6.2807310000000003</v>
      </c>
      <c r="K19">
        <v>-2.9136392000000001E-3</v>
      </c>
      <c r="L19">
        <v>1999.634</v>
      </c>
      <c r="M19">
        <v>2.1817131E-2</v>
      </c>
      <c r="N19">
        <v>5.4214327000000001E-3</v>
      </c>
      <c r="O19">
        <v>155.99690000000001</v>
      </c>
      <c r="P19">
        <v>-1.0812323E-2</v>
      </c>
      <c r="Q19">
        <v>-2.6943916000000002E-3</v>
      </c>
      <c r="R19">
        <v>-1.6866890000000001</v>
      </c>
      <c r="S19">
        <v>43.626269999999998</v>
      </c>
    </row>
    <row r="20" spans="1:19">
      <c r="A20" t="s">
        <v>18</v>
      </c>
      <c r="B20">
        <v>4368</v>
      </c>
      <c r="C20">
        <v>2155.1320000000001</v>
      </c>
      <c r="D20">
        <v>481.87099999999998</v>
      </c>
      <c r="E20">
        <v>7.1754819999999997</v>
      </c>
      <c r="F20">
        <v>1.4890877E-2</v>
      </c>
      <c r="G20">
        <v>1673.2539999999999</v>
      </c>
      <c r="H20">
        <v>-13.5402</v>
      </c>
      <c r="I20">
        <v>-8.0921371000000006E-3</v>
      </c>
      <c r="J20">
        <v>-6.3647200000000002</v>
      </c>
      <c r="K20">
        <v>-2.9532848999999999E-3</v>
      </c>
      <c r="L20">
        <v>1997.6579999999999</v>
      </c>
      <c r="M20">
        <v>2.175767E-2</v>
      </c>
      <c r="N20">
        <v>5.4066903000000001E-3</v>
      </c>
      <c r="O20">
        <v>157.4769</v>
      </c>
      <c r="P20">
        <v>-1.071751E-2</v>
      </c>
      <c r="Q20">
        <v>-2.6705072E-3</v>
      </c>
      <c r="R20">
        <v>-1.6877610000000001</v>
      </c>
      <c r="S20">
        <v>43.464379999999998</v>
      </c>
    </row>
    <row r="21" spans="1:19">
      <c r="A21" t="s">
        <v>19</v>
      </c>
      <c r="B21">
        <v>4368</v>
      </c>
      <c r="C21">
        <v>2163.86</v>
      </c>
      <c r="D21">
        <v>464.15710000000001</v>
      </c>
      <c r="E21">
        <v>6.2241869999999997</v>
      </c>
      <c r="F21">
        <v>1.3409657E-2</v>
      </c>
      <c r="G21">
        <v>1699.701</v>
      </c>
      <c r="H21">
        <v>-13.72498</v>
      </c>
      <c r="I21">
        <v>-8.0749354999999998E-3</v>
      </c>
      <c r="J21">
        <v>-7.5007900000000003</v>
      </c>
      <c r="K21">
        <v>-3.4663928999999999E-3</v>
      </c>
      <c r="L21">
        <v>2004.278</v>
      </c>
      <c r="M21">
        <v>2.1663563E-2</v>
      </c>
      <c r="N21">
        <v>5.3904163999999996E-3</v>
      </c>
      <c r="O21">
        <v>159.58199999999999</v>
      </c>
      <c r="P21">
        <v>-1.0480114E-2</v>
      </c>
      <c r="Q21">
        <v>-2.6131836E-3</v>
      </c>
      <c r="R21">
        <v>-1.672437</v>
      </c>
      <c r="S21">
        <v>43.419800000000002</v>
      </c>
    </row>
    <row r="22" spans="1:19">
      <c r="A22" t="s">
        <v>20</v>
      </c>
      <c r="B22">
        <v>4376</v>
      </c>
      <c r="C22">
        <v>2155.2849999999999</v>
      </c>
      <c r="D22">
        <v>482.99889999999999</v>
      </c>
      <c r="E22">
        <v>7.1220509999999999</v>
      </c>
      <c r="F22">
        <v>1.474548E-2</v>
      </c>
      <c r="G22">
        <v>1672.2819999999999</v>
      </c>
      <c r="H22">
        <v>-13.612299999999999</v>
      </c>
      <c r="I22">
        <v>-8.1399577000000004E-3</v>
      </c>
      <c r="J22">
        <v>-6.4902540000000002</v>
      </c>
      <c r="K22">
        <v>-3.0113200000000001E-3</v>
      </c>
      <c r="L22">
        <v>2001.61</v>
      </c>
      <c r="M22">
        <v>2.1959389999999999E-2</v>
      </c>
      <c r="N22">
        <v>5.4581085999999999E-3</v>
      </c>
      <c r="O22">
        <v>153.67590000000001</v>
      </c>
      <c r="P22">
        <v>-1.0891349E-2</v>
      </c>
      <c r="Q22">
        <v>-2.7127033E-3</v>
      </c>
      <c r="R22">
        <v>-1.6737379999999999</v>
      </c>
      <c r="S22">
        <v>43.954149999999998</v>
      </c>
    </row>
    <row r="23" spans="1:19">
      <c r="A23" t="s">
        <v>21</v>
      </c>
      <c r="B23">
        <v>4382</v>
      </c>
      <c r="C23">
        <v>2177.8809999999999</v>
      </c>
      <c r="D23">
        <v>451.51209999999998</v>
      </c>
      <c r="E23">
        <v>6.3744959999999997</v>
      </c>
      <c r="F23">
        <v>1.4118105000000001E-2</v>
      </c>
      <c r="G23">
        <v>1726.366</v>
      </c>
      <c r="H23">
        <v>-13.40218</v>
      </c>
      <c r="I23">
        <v>-7.7632329999999996E-3</v>
      </c>
      <c r="J23">
        <v>-7.0276839999999998</v>
      </c>
      <c r="K23">
        <v>-3.2268450999999999E-3</v>
      </c>
      <c r="L23">
        <v>2003.46</v>
      </c>
      <c r="M23">
        <v>2.1779166999999999E-2</v>
      </c>
      <c r="N23">
        <v>5.4216808999999998E-3</v>
      </c>
      <c r="O23">
        <v>174.4228</v>
      </c>
      <c r="P23">
        <v>-1.025379E-2</v>
      </c>
      <c r="Q23">
        <v>-2.5586479000000001E-3</v>
      </c>
      <c r="R23">
        <v>-1.7884949999999999</v>
      </c>
      <c r="S23">
        <v>43.633690000000001</v>
      </c>
    </row>
    <row r="24" spans="1:19">
      <c r="A24" t="s">
        <v>34</v>
      </c>
      <c r="B24">
        <v>4382</v>
      </c>
      <c r="C24">
        <v>2153.2759999999998</v>
      </c>
      <c r="D24">
        <v>480.8526</v>
      </c>
      <c r="E24">
        <v>7.1504799999999999</v>
      </c>
      <c r="F24">
        <v>1.4870418999999999E-2</v>
      </c>
      <c r="G24">
        <v>1672.415</v>
      </c>
      <c r="H24">
        <v>-13.55354</v>
      </c>
      <c r="I24">
        <v>-8.1041688000000004E-3</v>
      </c>
      <c r="J24">
        <v>-6.4030570000000004</v>
      </c>
      <c r="K24">
        <v>-2.9736342999999998E-3</v>
      </c>
      <c r="L24">
        <v>1983.819</v>
      </c>
      <c r="M24">
        <v>2.2017104999999999E-2</v>
      </c>
      <c r="N24">
        <v>5.4686316E-3</v>
      </c>
      <c r="O24">
        <v>169.45400000000001</v>
      </c>
      <c r="P24">
        <v>-1.0487569E-2</v>
      </c>
      <c r="Q24">
        <v>-2.6096341E-3</v>
      </c>
      <c r="R24">
        <v>-1.777161</v>
      </c>
      <c r="S24">
        <v>43.677959999999999</v>
      </c>
    </row>
    <row r="25" spans="1:19">
      <c r="A25" t="s">
        <v>22</v>
      </c>
      <c r="B25">
        <v>4384</v>
      </c>
      <c r="C25">
        <v>1346.992</v>
      </c>
      <c r="D25">
        <v>326.59570000000002</v>
      </c>
      <c r="E25">
        <v>5.770988</v>
      </c>
      <c r="F25">
        <v>1.7670128E-2</v>
      </c>
      <c r="G25">
        <v>1020.4059999999999</v>
      </c>
      <c r="H25">
        <v>-10.770479999999999</v>
      </c>
      <c r="I25">
        <v>-1.0555099E-2</v>
      </c>
      <c r="J25">
        <v>-4.9994959999999997</v>
      </c>
      <c r="K25">
        <v>-3.7116006E-3</v>
      </c>
      <c r="L25">
        <v>1234.4749999999999</v>
      </c>
      <c r="M25">
        <v>2.2965103000000001E-2</v>
      </c>
      <c r="N25">
        <v>5.6620422E-3</v>
      </c>
      <c r="O25">
        <v>112.5193</v>
      </c>
      <c r="P25">
        <v>-1.1622194000000001E-2</v>
      </c>
      <c r="Q25">
        <v>-2.8804422000000001E-3</v>
      </c>
      <c r="R25">
        <v>-1.3077209999999999</v>
      </c>
      <c r="S25">
        <v>28.34985</v>
      </c>
    </row>
    <row r="26" spans="1:19">
      <c r="A26" t="s">
        <v>23</v>
      </c>
      <c r="B26">
        <v>4386</v>
      </c>
      <c r="C26">
        <v>2149.9839999999999</v>
      </c>
      <c r="D26">
        <v>445.22820000000002</v>
      </c>
      <c r="E26">
        <v>6.0663629999999999</v>
      </c>
      <c r="F26">
        <v>1.362529E-2</v>
      </c>
      <c r="G26">
        <v>1704.76</v>
      </c>
      <c r="H26">
        <v>-13.981529999999999</v>
      </c>
      <c r="I26">
        <v>-8.2014640999999999E-3</v>
      </c>
      <c r="J26">
        <v>-7.9151629999999997</v>
      </c>
      <c r="K26">
        <v>-3.6814993000000001E-3</v>
      </c>
      <c r="L26">
        <v>1974.549</v>
      </c>
      <c r="M26">
        <v>2.1822028E-2</v>
      </c>
      <c r="N26">
        <v>5.4274685999999997E-3</v>
      </c>
      <c r="O26">
        <v>175.4419</v>
      </c>
      <c r="P26">
        <v>-1.1173153E-2</v>
      </c>
      <c r="Q26">
        <v>-2.7844306999999999E-3</v>
      </c>
      <c r="R26">
        <v>-1.9602390000000001</v>
      </c>
      <c r="S26">
        <v>43.08867</v>
      </c>
    </row>
    <row r="27" spans="1:19">
      <c r="A27" t="s">
        <v>24</v>
      </c>
      <c r="B27">
        <v>4386</v>
      </c>
      <c r="C27">
        <v>2158.2530000000002</v>
      </c>
      <c r="D27">
        <v>467.92090000000002</v>
      </c>
      <c r="E27">
        <v>6.675141</v>
      </c>
      <c r="F27">
        <v>1.4265533E-2</v>
      </c>
      <c r="G27">
        <v>1690.329</v>
      </c>
      <c r="H27">
        <v>-13.20712</v>
      </c>
      <c r="I27">
        <v>-7.8133427999999994E-3</v>
      </c>
      <c r="J27">
        <v>-6.5319799999999999</v>
      </c>
      <c r="K27">
        <v>-3.0265125E-3</v>
      </c>
      <c r="L27">
        <v>1985.558</v>
      </c>
      <c r="M27">
        <v>2.1815047000000001E-2</v>
      </c>
      <c r="N27">
        <v>5.4279501000000004E-3</v>
      </c>
      <c r="O27">
        <v>172.69980000000001</v>
      </c>
      <c r="P27">
        <v>-1.1199189999999999E-2</v>
      </c>
      <c r="Q27">
        <v>-2.7949396E-3</v>
      </c>
      <c r="R27">
        <v>-1.9340980000000001</v>
      </c>
      <c r="S27">
        <v>43.315040000000003</v>
      </c>
    </row>
    <row r="28" spans="1:19">
      <c r="A28" t="s">
        <v>25</v>
      </c>
      <c r="B28">
        <v>4396</v>
      </c>
      <c r="C28">
        <v>2472.933</v>
      </c>
      <c r="D28">
        <v>524.69500000000005</v>
      </c>
      <c r="E28">
        <v>7.1647020000000001</v>
      </c>
      <c r="F28">
        <v>1.3654985E-2</v>
      </c>
      <c r="G28">
        <v>1948.2349999999999</v>
      </c>
      <c r="H28">
        <v>-15.05781</v>
      </c>
      <c r="I28">
        <v>-7.7289497000000004E-3</v>
      </c>
      <c r="J28">
        <v>-7.8931060000000004</v>
      </c>
      <c r="K28">
        <v>-3.1917996000000001E-3</v>
      </c>
      <c r="L28">
        <v>2260.0529999999999</v>
      </c>
      <c r="M28">
        <v>2.1472886E-2</v>
      </c>
      <c r="N28">
        <v>5.3452876999999996E-3</v>
      </c>
      <c r="O28">
        <v>212.88399999999999</v>
      </c>
      <c r="P28">
        <v>-1.2448005E-2</v>
      </c>
      <c r="Q28">
        <v>-3.0993936E-3</v>
      </c>
      <c r="R28">
        <v>-2.6499809999999999</v>
      </c>
      <c r="S28">
        <v>48.529870000000003</v>
      </c>
    </row>
    <row r="29" spans="1:19">
      <c r="A29" t="s">
        <v>26</v>
      </c>
      <c r="B29">
        <v>4496</v>
      </c>
      <c r="C29">
        <v>1973.771</v>
      </c>
      <c r="D29">
        <v>316.3383</v>
      </c>
      <c r="E29">
        <v>3.7091340000000002</v>
      </c>
      <c r="F29">
        <v>1.1725212E-2</v>
      </c>
      <c r="G29">
        <v>1657.431</v>
      </c>
      <c r="H29">
        <v>-16.090720000000001</v>
      </c>
      <c r="I29">
        <v>-9.7082266999999993E-3</v>
      </c>
      <c r="J29">
        <v>-12.38158</v>
      </c>
      <c r="K29">
        <v>-6.2730601E-3</v>
      </c>
      <c r="L29">
        <v>1834.797</v>
      </c>
      <c r="M29">
        <v>2.6017874E-2</v>
      </c>
      <c r="N29">
        <v>6.4431786999999997E-3</v>
      </c>
      <c r="O29">
        <v>138.97380000000001</v>
      </c>
      <c r="P29">
        <v>-9.0434001999999993E-3</v>
      </c>
      <c r="Q29">
        <v>-2.2482920999999999E-3</v>
      </c>
      <c r="R29">
        <v>-1.2567950000000001</v>
      </c>
      <c r="S29">
        <v>47.73751</v>
      </c>
    </row>
    <row r="30" spans="1:19">
      <c r="A30" t="s">
        <v>27</v>
      </c>
      <c r="B30">
        <v>4616</v>
      </c>
      <c r="C30">
        <v>1989.463</v>
      </c>
      <c r="D30">
        <v>349.48599999999999</v>
      </c>
      <c r="E30">
        <v>5.6526820000000004</v>
      </c>
      <c r="F30">
        <v>1.6174273999999999E-2</v>
      </c>
      <c r="G30">
        <v>1639.979</v>
      </c>
      <c r="H30">
        <v>-16.606059999999999</v>
      </c>
      <c r="I30">
        <v>-1.0125776E-2</v>
      </c>
      <c r="J30">
        <v>-10.953379999999999</v>
      </c>
      <c r="K30">
        <v>-5.5056964000000002E-3</v>
      </c>
      <c r="L30">
        <v>1642.9949999999999</v>
      </c>
      <c r="M30">
        <v>2.5947294999999999E-2</v>
      </c>
      <c r="N30">
        <v>6.4319972999999997E-3</v>
      </c>
      <c r="O30">
        <v>346.47609999999997</v>
      </c>
      <c r="P30">
        <v>-1.2339457999999999E-2</v>
      </c>
      <c r="Q30">
        <v>-3.0691512000000001E-3</v>
      </c>
      <c r="R30">
        <v>-4.275328</v>
      </c>
      <c r="S30">
        <v>42.631279999999997</v>
      </c>
    </row>
    <row r="31" spans="1:19">
      <c r="A31" t="s">
        <v>28</v>
      </c>
      <c r="B31">
        <v>4599</v>
      </c>
      <c r="C31">
        <v>1275.787</v>
      </c>
      <c r="D31">
        <v>278.40559999999999</v>
      </c>
      <c r="E31">
        <v>5.0607119999999997</v>
      </c>
      <c r="F31">
        <v>1.8177478E-2</v>
      </c>
      <c r="G31">
        <v>997.38900000000001</v>
      </c>
      <c r="H31">
        <v>-15.02872</v>
      </c>
      <c r="I31">
        <v>-1.5068056999999999E-2</v>
      </c>
      <c r="J31">
        <v>-9.9680029999999995</v>
      </c>
      <c r="K31">
        <v>-7.8132207999999995E-3</v>
      </c>
      <c r="L31">
        <v>1197.1849999999999</v>
      </c>
      <c r="M31">
        <v>2.7757450999999999E-2</v>
      </c>
      <c r="N31">
        <v>6.8348031E-3</v>
      </c>
      <c r="O31">
        <v>78.602069999999998</v>
      </c>
      <c r="P31">
        <v>-8.6513069000000008E-3</v>
      </c>
      <c r="Q31">
        <v>-2.1451438999999998E-3</v>
      </c>
      <c r="R31">
        <v>-0.68001060000000002</v>
      </c>
      <c r="S31">
        <v>33.230809999999998</v>
      </c>
    </row>
    <row r="32" spans="1:19">
      <c r="A32" t="s">
        <v>29</v>
      </c>
      <c r="B32">
        <v>4600</v>
      </c>
      <c r="C32">
        <v>1226.241</v>
      </c>
      <c r="D32">
        <v>256.67439999999999</v>
      </c>
      <c r="E32">
        <v>5.0611280000000001</v>
      </c>
      <c r="F32">
        <v>1.9718085999999999E-2</v>
      </c>
      <c r="G32">
        <v>969.57539999999995</v>
      </c>
      <c r="H32">
        <v>-14.38805</v>
      </c>
      <c r="I32">
        <v>-1.4839537E-2</v>
      </c>
      <c r="J32">
        <v>-9.3269219999999997</v>
      </c>
      <c r="K32">
        <v>-7.6061067999999999E-3</v>
      </c>
      <c r="L32">
        <v>1149.511</v>
      </c>
      <c r="M32">
        <v>2.7845964000000001E-2</v>
      </c>
      <c r="N32">
        <v>6.8586319999999999E-3</v>
      </c>
      <c r="O32">
        <v>76.733069999999998</v>
      </c>
      <c r="P32">
        <v>-9.4153145000000008E-3</v>
      </c>
      <c r="Q32">
        <v>-2.3380775999999998E-3</v>
      </c>
      <c r="R32">
        <v>-0.72246600000000005</v>
      </c>
      <c r="S32">
        <v>32.009239999999998</v>
      </c>
    </row>
    <row r="33" spans="1:19">
      <c r="A33" t="s">
        <v>30</v>
      </c>
      <c r="B33">
        <v>4599</v>
      </c>
      <c r="C33">
        <v>1239.6769999999999</v>
      </c>
      <c r="D33">
        <v>255.13929999999999</v>
      </c>
      <c r="E33">
        <v>5.0598879999999999</v>
      </c>
      <c r="F33">
        <v>1.9831864000000001E-2</v>
      </c>
      <c r="G33">
        <v>984.54409999999996</v>
      </c>
      <c r="H33">
        <v>-14.518140000000001</v>
      </c>
      <c r="I33">
        <v>-1.4746054E-2</v>
      </c>
      <c r="J33">
        <v>-9.4582519999999999</v>
      </c>
      <c r="K33">
        <v>-7.629612E-3</v>
      </c>
      <c r="L33">
        <v>1161.3489999999999</v>
      </c>
      <c r="M33">
        <v>2.77863E-2</v>
      </c>
      <c r="N33">
        <v>6.8440306999999999E-3</v>
      </c>
      <c r="O33">
        <v>78.327070000000006</v>
      </c>
      <c r="P33">
        <v>-9.3739246999999994E-3</v>
      </c>
      <c r="Q33">
        <v>-2.3308955000000001E-3</v>
      </c>
      <c r="R33">
        <v>-0.73423210000000005</v>
      </c>
      <c r="S33">
        <v>32.269599999999997</v>
      </c>
    </row>
    <row r="34" spans="1:19">
      <c r="A34" t="s">
        <v>31</v>
      </c>
      <c r="B34">
        <v>10032</v>
      </c>
      <c r="C34">
        <v>5117.0540000000001</v>
      </c>
      <c r="D34">
        <v>1365.3879999999999</v>
      </c>
      <c r="E34">
        <v>12.587350000000001</v>
      </c>
      <c r="F34">
        <v>9.2188845999999994E-3</v>
      </c>
      <c r="G34">
        <v>3751.6179999999999</v>
      </c>
      <c r="H34">
        <v>-34.567909999999998</v>
      </c>
      <c r="I34">
        <v>-9.2141320999999995E-3</v>
      </c>
      <c r="J34">
        <v>-21.980550000000001</v>
      </c>
      <c r="K34">
        <v>-4.2955479999999997E-3</v>
      </c>
      <c r="L34">
        <v>4283.57</v>
      </c>
      <c r="M34">
        <v>1.9422391000000001E-2</v>
      </c>
      <c r="N34">
        <v>4.8018688999999998E-3</v>
      </c>
      <c r="O34">
        <v>833.41229999999996</v>
      </c>
      <c r="P34">
        <v>-9.9146142999999992E-3</v>
      </c>
      <c r="Q34">
        <v>-2.4724600000000001E-3</v>
      </c>
      <c r="R34">
        <v>-8.2629610000000007</v>
      </c>
      <c r="S34">
        <v>83.197180000000003</v>
      </c>
    </row>
    <row r="35" spans="1:19">
      <c r="A35" t="s">
        <v>32</v>
      </c>
      <c r="B35">
        <v>10214</v>
      </c>
      <c r="C35">
        <v>5352.21</v>
      </c>
      <c r="D35">
        <v>1370.6420000000001</v>
      </c>
      <c r="E35">
        <v>14.02361</v>
      </c>
      <c r="F35">
        <v>1.0231413E-2</v>
      </c>
      <c r="G35">
        <v>3981.4639999999999</v>
      </c>
      <c r="H35">
        <v>-37.326300000000003</v>
      </c>
      <c r="I35">
        <v>-9.3750198999999999E-3</v>
      </c>
      <c r="J35">
        <v>-23.302689999999998</v>
      </c>
      <c r="K35">
        <v>-4.3538450000000003E-3</v>
      </c>
      <c r="L35">
        <v>4461.3389999999999</v>
      </c>
      <c r="M35">
        <v>1.9586000999999999E-2</v>
      </c>
      <c r="N35">
        <v>4.8495834000000003E-3</v>
      </c>
      <c r="O35">
        <v>890.76649999999995</v>
      </c>
      <c r="P35">
        <v>-1.1415783000000001E-2</v>
      </c>
      <c r="Q35">
        <v>-2.8412398E-3</v>
      </c>
      <c r="R35">
        <v>-10.168799999999999</v>
      </c>
      <c r="S35">
        <v>87.37979</v>
      </c>
    </row>
    <row r="36" spans="1:19">
      <c r="A36" t="s">
        <v>33</v>
      </c>
      <c r="B36">
        <v>10355</v>
      </c>
      <c r="C36">
        <v>5836.4979999999996</v>
      </c>
      <c r="D36">
        <v>1800.396</v>
      </c>
      <c r="E36">
        <v>18.345009999999998</v>
      </c>
      <c r="F36">
        <v>1.0189429E-2</v>
      </c>
      <c r="G36">
        <v>4036.0070000000001</v>
      </c>
      <c r="H36">
        <v>-35.345190000000002</v>
      </c>
      <c r="I36">
        <v>-8.7574655000000005E-3</v>
      </c>
      <c r="J36">
        <v>-17.00018</v>
      </c>
      <c r="K36">
        <v>-2.9127363000000001E-3</v>
      </c>
      <c r="L36">
        <v>4829.3519999999999</v>
      </c>
      <c r="M36">
        <v>1.8654242000000001E-2</v>
      </c>
      <c r="N36">
        <v>4.6071339999999997E-3</v>
      </c>
      <c r="O36">
        <v>1007.052</v>
      </c>
      <c r="P36">
        <v>-1.0903546E-2</v>
      </c>
      <c r="Q36">
        <v>-2.7186021000000001E-3</v>
      </c>
      <c r="R36">
        <v>-10.98043</v>
      </c>
      <c r="S36">
        <v>90.087900000000005</v>
      </c>
    </row>
  </sheetData>
  <phoneticPr fontId="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79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467.52609999999999</v>
      </c>
      <c r="D2">
        <v>120.358</v>
      </c>
      <c r="E2">
        <v>1.638147</v>
      </c>
      <c r="F2">
        <v>1.3610616000000001E-2</v>
      </c>
      <c r="G2">
        <v>347.16739999999999</v>
      </c>
      <c r="H2">
        <v>-3.6246399999999999</v>
      </c>
      <c r="I2">
        <v>-1.0440613E-2</v>
      </c>
      <c r="J2">
        <v>-1.9864930000000001</v>
      </c>
      <c r="K2">
        <v>-4.2489464000000001E-3</v>
      </c>
      <c r="L2">
        <v>372.50389999999999</v>
      </c>
      <c r="M2">
        <v>2.6892444000000001E-2</v>
      </c>
      <c r="N2">
        <v>6.5474119000000002E-3</v>
      </c>
      <c r="O2">
        <v>95.020939999999996</v>
      </c>
      <c r="P2">
        <v>-1.4588689E-2</v>
      </c>
      <c r="Q2">
        <v>-3.6005995000000001E-3</v>
      </c>
      <c r="R2">
        <v>-1.386231</v>
      </c>
      <c r="S2">
        <v>10.01754</v>
      </c>
    </row>
    <row r="3" spans="1:19">
      <c r="A3" t="s">
        <v>1</v>
      </c>
      <c r="B3">
        <v>1248</v>
      </c>
      <c r="C3">
        <v>553.61410000000001</v>
      </c>
      <c r="D3">
        <v>137.56800000000001</v>
      </c>
      <c r="E3">
        <v>1.933878</v>
      </c>
      <c r="F3">
        <v>1.4057614E-2</v>
      </c>
      <c r="G3">
        <v>416.04610000000002</v>
      </c>
      <c r="H3">
        <v>-4.352017</v>
      </c>
      <c r="I3">
        <v>-1.0460420999999999E-2</v>
      </c>
      <c r="J3">
        <v>-2.418139</v>
      </c>
      <c r="K3">
        <v>-4.3679145000000003E-3</v>
      </c>
      <c r="L3">
        <v>427.8322</v>
      </c>
      <c r="M3">
        <v>2.5194813E-2</v>
      </c>
      <c r="N3">
        <v>6.1314856000000001E-3</v>
      </c>
      <c r="O3">
        <v>125.782</v>
      </c>
      <c r="P3">
        <v>-1.0917789000000001E-2</v>
      </c>
      <c r="Q3">
        <v>-2.6873996999999998E-3</v>
      </c>
      <c r="R3">
        <v>-1.3732610000000001</v>
      </c>
      <c r="S3">
        <v>10.77915</v>
      </c>
    </row>
    <row r="4" spans="1:19">
      <c r="A4" t="s">
        <v>2</v>
      </c>
      <c r="B4">
        <v>2468</v>
      </c>
      <c r="C4">
        <v>1028.8040000000001</v>
      </c>
      <c r="D4">
        <v>242.53639999999999</v>
      </c>
      <c r="E4">
        <v>3.522411</v>
      </c>
      <c r="F4">
        <v>1.4523227E-2</v>
      </c>
      <c r="G4">
        <v>786.26729999999998</v>
      </c>
      <c r="H4">
        <v>-9.4130800000000008</v>
      </c>
      <c r="I4">
        <v>-1.1971858E-2</v>
      </c>
      <c r="J4">
        <v>-5.8906700000000001</v>
      </c>
      <c r="K4">
        <v>-5.7257445999999998E-3</v>
      </c>
      <c r="L4">
        <v>946.14940000000001</v>
      </c>
      <c r="M4">
        <v>2.5453974000000001E-2</v>
      </c>
      <c r="N4">
        <v>6.2214573999999998E-3</v>
      </c>
      <c r="O4">
        <v>82.653949999999995</v>
      </c>
      <c r="P4">
        <v>-1.3854145E-2</v>
      </c>
      <c r="Q4">
        <v>-3.4182086E-3</v>
      </c>
      <c r="R4">
        <v>-1.1451</v>
      </c>
      <c r="S4">
        <v>24.083259999999999</v>
      </c>
    </row>
    <row r="5" spans="1:19">
      <c r="A5" t="s">
        <v>3</v>
      </c>
      <c r="B5">
        <v>993</v>
      </c>
      <c r="C5">
        <v>273.11200000000002</v>
      </c>
      <c r="D5">
        <v>110.5017</v>
      </c>
      <c r="E5">
        <v>0.78070130000000004</v>
      </c>
      <c r="F5">
        <v>7.0650592000000003E-3</v>
      </c>
      <c r="G5">
        <v>162.6097</v>
      </c>
      <c r="H5">
        <v>-1.806624</v>
      </c>
      <c r="I5">
        <v>-1.1110188E-2</v>
      </c>
      <c r="J5">
        <v>-1.0259229999999999</v>
      </c>
      <c r="K5">
        <v>-3.7564185999999999E-3</v>
      </c>
      <c r="L5">
        <v>242.68979999999999</v>
      </c>
      <c r="M5">
        <v>1.8265255000000001E-2</v>
      </c>
      <c r="N5">
        <v>4.4327917999999996E-3</v>
      </c>
      <c r="O5">
        <v>30.42201</v>
      </c>
      <c r="P5">
        <v>-1.154239E-2</v>
      </c>
      <c r="Q5">
        <v>-2.8091415E-3</v>
      </c>
      <c r="R5">
        <v>-0.35114269999999997</v>
      </c>
      <c r="S5">
        <v>4.4327920000000001</v>
      </c>
    </row>
    <row r="6" spans="1:19">
      <c r="A6" t="s">
        <v>4</v>
      </c>
      <c r="B6">
        <v>994</v>
      </c>
      <c r="C6">
        <v>270.51190000000003</v>
      </c>
      <c r="D6">
        <v>96.848849999999999</v>
      </c>
      <c r="E6">
        <v>0.85070520000000005</v>
      </c>
      <c r="F6">
        <v>8.7838433999999996E-3</v>
      </c>
      <c r="G6">
        <v>173.66290000000001</v>
      </c>
      <c r="H6">
        <v>-1.8190679999999999</v>
      </c>
      <c r="I6">
        <v>-1.0474707999999999E-2</v>
      </c>
      <c r="J6">
        <v>-0.96836259999999996</v>
      </c>
      <c r="K6">
        <v>-3.5797409E-3</v>
      </c>
      <c r="L6">
        <v>247.81700000000001</v>
      </c>
      <c r="M6">
        <v>1.8997639E-2</v>
      </c>
      <c r="N6">
        <v>4.6156262999999999E-3</v>
      </c>
      <c r="O6">
        <v>22.69501</v>
      </c>
      <c r="P6">
        <v>-1.1893488000000001E-2</v>
      </c>
      <c r="Q6">
        <v>-2.9023959999999998E-3</v>
      </c>
      <c r="R6">
        <v>-0.26992280000000002</v>
      </c>
      <c r="S6">
        <v>4.7079389999999997</v>
      </c>
    </row>
    <row r="7" spans="1:19">
      <c r="A7" t="s">
        <v>5</v>
      </c>
      <c r="B7">
        <v>1001</v>
      </c>
      <c r="C7">
        <v>283.76949999999999</v>
      </c>
      <c r="D7">
        <v>118.5936</v>
      </c>
      <c r="E7">
        <v>0.7167521</v>
      </c>
      <c r="F7">
        <v>6.0437679999999997E-3</v>
      </c>
      <c r="G7">
        <v>165.1747</v>
      </c>
      <c r="H7">
        <v>-1.9465710000000001</v>
      </c>
      <c r="I7">
        <v>-1.1784922E-2</v>
      </c>
      <c r="J7">
        <v>-1.229819</v>
      </c>
      <c r="K7">
        <v>-4.3338643999999999E-3</v>
      </c>
      <c r="L7">
        <v>261.12619999999998</v>
      </c>
      <c r="M7">
        <v>1.8075021E-2</v>
      </c>
      <c r="N7">
        <v>4.3946569999999997E-3</v>
      </c>
      <c r="O7">
        <v>22.64301</v>
      </c>
      <c r="P7">
        <v>-1.2378228999999999E-2</v>
      </c>
      <c r="Q7">
        <v>-3.0137674999999998E-3</v>
      </c>
      <c r="R7">
        <v>-0.28028039999999999</v>
      </c>
      <c r="S7">
        <v>4.719862</v>
      </c>
    </row>
    <row r="8" spans="1:19">
      <c r="A8" t="s">
        <v>6</v>
      </c>
      <c r="B8">
        <v>1001</v>
      </c>
      <c r="C8">
        <v>274.76170000000002</v>
      </c>
      <c r="D8">
        <v>115.70480000000001</v>
      </c>
      <c r="E8">
        <v>0.8796659</v>
      </c>
      <c r="F8">
        <v>7.6026740000000002E-3</v>
      </c>
      <c r="G8">
        <v>159.0566</v>
      </c>
      <c r="H8">
        <v>-1.8555330000000001</v>
      </c>
      <c r="I8">
        <v>-1.1665866E-2</v>
      </c>
      <c r="J8">
        <v>-0.97586759999999995</v>
      </c>
      <c r="K8">
        <v>-3.5516865999999999E-3</v>
      </c>
      <c r="L8">
        <v>251.37799999999999</v>
      </c>
      <c r="M8">
        <v>1.8494723000000001E-2</v>
      </c>
      <c r="N8">
        <v>4.4962930999999998E-3</v>
      </c>
      <c r="O8">
        <v>23.384</v>
      </c>
      <c r="P8">
        <v>-1.2039945E-2</v>
      </c>
      <c r="Q8">
        <v>-2.9327303999999998E-3</v>
      </c>
      <c r="R8">
        <v>-0.28154210000000002</v>
      </c>
      <c r="S8">
        <v>4.6491670000000003</v>
      </c>
    </row>
    <row r="9" spans="1:19">
      <c r="A9" t="s">
        <v>7</v>
      </c>
      <c r="B9">
        <v>1305</v>
      </c>
      <c r="C9">
        <v>330.3621</v>
      </c>
      <c r="D9">
        <v>109.1977</v>
      </c>
      <c r="E9">
        <v>1.266643</v>
      </c>
      <c r="F9">
        <v>1.1599541999999999E-2</v>
      </c>
      <c r="G9">
        <v>221.16300000000001</v>
      </c>
      <c r="H9">
        <v>-2.495746</v>
      </c>
      <c r="I9">
        <v>-1.1284648E-2</v>
      </c>
      <c r="J9">
        <v>-1.2291030000000001</v>
      </c>
      <c r="K9">
        <v>-3.7204732999999999E-3</v>
      </c>
      <c r="L9">
        <v>294.8107</v>
      </c>
      <c r="M9">
        <v>2.1418408999999999E-2</v>
      </c>
      <c r="N9">
        <v>5.2055870000000002E-3</v>
      </c>
      <c r="O9">
        <v>35.551020000000001</v>
      </c>
      <c r="P9">
        <v>-1.0972903000000001E-2</v>
      </c>
      <c r="Q9">
        <v>-2.6903300999999999E-3</v>
      </c>
      <c r="R9">
        <v>-0.3900979</v>
      </c>
      <c r="S9">
        <v>6.3143770000000004</v>
      </c>
    </row>
    <row r="10" spans="1:19">
      <c r="A10" t="s">
        <v>8</v>
      </c>
      <c r="B10">
        <v>1309</v>
      </c>
      <c r="C10">
        <v>339.56950000000001</v>
      </c>
      <c r="D10">
        <v>112.58880000000001</v>
      </c>
      <c r="E10">
        <v>1.3756630000000001</v>
      </c>
      <c r="F10">
        <v>1.2218463000000001E-2</v>
      </c>
      <c r="G10">
        <v>226.97880000000001</v>
      </c>
      <c r="H10">
        <v>-2.7208389999999998</v>
      </c>
      <c r="I10">
        <v>-1.1987197E-2</v>
      </c>
      <c r="J10">
        <v>-1.3451770000000001</v>
      </c>
      <c r="K10">
        <v>-3.9614178000000003E-3</v>
      </c>
      <c r="L10">
        <v>301.90109999999999</v>
      </c>
      <c r="M10">
        <v>2.1464027E-2</v>
      </c>
      <c r="N10">
        <v>5.2216062000000002E-3</v>
      </c>
      <c r="O10">
        <v>37.668010000000002</v>
      </c>
      <c r="P10">
        <v>-1.2202073000000001E-2</v>
      </c>
      <c r="Q10">
        <v>-2.9845962E-3</v>
      </c>
      <c r="R10">
        <v>-0.45962779999999998</v>
      </c>
      <c r="S10">
        <v>6.4800129999999996</v>
      </c>
    </row>
    <row r="11" spans="1:19">
      <c r="A11" t="s">
        <v>9</v>
      </c>
      <c r="B11">
        <v>951</v>
      </c>
      <c r="C11">
        <v>277.7901</v>
      </c>
      <c r="D11">
        <v>72.678039999999996</v>
      </c>
      <c r="E11">
        <v>0.71027280000000004</v>
      </c>
      <c r="F11">
        <v>9.7728669999999993E-3</v>
      </c>
      <c r="G11">
        <v>205.11189999999999</v>
      </c>
      <c r="H11">
        <v>-2.3000349999999998</v>
      </c>
      <c r="I11">
        <v>-1.1213559999999999E-2</v>
      </c>
      <c r="J11">
        <v>-1.5897619999999999</v>
      </c>
      <c r="K11">
        <v>-5.7228896999999999E-3</v>
      </c>
      <c r="L11">
        <v>252.041</v>
      </c>
      <c r="M11">
        <v>1.7701898000000001E-2</v>
      </c>
      <c r="N11">
        <v>4.3065678000000001E-3</v>
      </c>
      <c r="O11">
        <v>25.748999999999999</v>
      </c>
      <c r="P11">
        <v>-7.5146164999999997E-3</v>
      </c>
      <c r="Q11">
        <v>-1.825414E-3</v>
      </c>
      <c r="R11">
        <v>-0.1934939</v>
      </c>
      <c r="S11">
        <v>4.4616040000000003</v>
      </c>
    </row>
    <row r="12" spans="1:19">
      <c r="A12" t="s">
        <v>10</v>
      </c>
      <c r="B12">
        <v>956</v>
      </c>
      <c r="C12">
        <v>282.01029999999997</v>
      </c>
      <c r="D12">
        <v>69.440989999999999</v>
      </c>
      <c r="E12">
        <v>0.63519199999999998</v>
      </c>
      <c r="F12">
        <v>9.1472194E-3</v>
      </c>
      <c r="G12">
        <v>212.56890000000001</v>
      </c>
      <c r="H12">
        <v>-2.3712559999999998</v>
      </c>
      <c r="I12">
        <v>-1.1155237E-2</v>
      </c>
      <c r="J12">
        <v>-1.7360640000000001</v>
      </c>
      <c r="K12">
        <v>-6.1560329000000004E-3</v>
      </c>
      <c r="L12">
        <v>257.4769</v>
      </c>
      <c r="M12">
        <v>1.8006141999999999E-2</v>
      </c>
      <c r="N12">
        <v>4.3778708000000001E-3</v>
      </c>
      <c r="O12">
        <v>24.533000000000001</v>
      </c>
      <c r="P12">
        <v>-7.6414971000000002E-3</v>
      </c>
      <c r="Q12">
        <v>-1.8561275999999999E-3</v>
      </c>
      <c r="R12">
        <v>-0.18746889999999999</v>
      </c>
      <c r="S12">
        <v>4.6361650000000001</v>
      </c>
    </row>
    <row r="13" spans="1:19">
      <c r="A13" t="s">
        <v>11</v>
      </c>
      <c r="B13">
        <v>957</v>
      </c>
      <c r="C13">
        <v>280.38709999999998</v>
      </c>
      <c r="D13">
        <v>85.122889999999998</v>
      </c>
      <c r="E13">
        <v>1.028993</v>
      </c>
      <c r="F13">
        <v>1.2088321000000001E-2</v>
      </c>
      <c r="G13">
        <v>195.26400000000001</v>
      </c>
      <c r="H13">
        <v>-2.1849940000000001</v>
      </c>
      <c r="I13">
        <v>-1.1189950000000001E-2</v>
      </c>
      <c r="J13">
        <v>-1.156002</v>
      </c>
      <c r="K13">
        <v>-4.1228775000000002E-3</v>
      </c>
      <c r="L13">
        <v>261.91410000000002</v>
      </c>
      <c r="M13">
        <v>1.8279763000000001E-2</v>
      </c>
      <c r="N13">
        <v>4.4495608000000002E-3</v>
      </c>
      <c r="O13">
        <v>18.473009999999999</v>
      </c>
      <c r="P13">
        <v>-7.9316570999999995E-3</v>
      </c>
      <c r="Q13">
        <v>-1.9279150999999999E-3</v>
      </c>
      <c r="R13">
        <v>-0.1465216</v>
      </c>
      <c r="S13">
        <v>4.7877270000000003</v>
      </c>
    </row>
    <row r="14" spans="1:19">
      <c r="A14" t="s">
        <v>12</v>
      </c>
      <c r="B14">
        <v>1894</v>
      </c>
      <c r="C14">
        <v>939.81389999999999</v>
      </c>
      <c r="D14">
        <v>317.93880000000001</v>
      </c>
      <c r="E14">
        <v>3.002135</v>
      </c>
      <c r="F14">
        <v>9.4424933000000003E-3</v>
      </c>
      <c r="G14">
        <v>621.87189999999998</v>
      </c>
      <c r="H14">
        <v>-5.3633240000000004</v>
      </c>
      <c r="I14">
        <v>-8.6244819999999993E-3</v>
      </c>
      <c r="J14">
        <v>-2.3611879999999998</v>
      </c>
      <c r="K14">
        <v>-2.5124000000000001E-3</v>
      </c>
      <c r="L14">
        <v>853.93619999999999</v>
      </c>
      <c r="M14">
        <v>1.7106524000000001E-2</v>
      </c>
      <c r="N14">
        <v>4.1820434999999996E-3</v>
      </c>
      <c r="O14">
        <v>85.876930000000002</v>
      </c>
      <c r="P14">
        <v>-7.9924026999999998E-3</v>
      </c>
      <c r="Q14">
        <v>-1.9554500000000001E-3</v>
      </c>
      <c r="R14">
        <v>-0.68636299999999995</v>
      </c>
      <c r="S14">
        <v>14.60788</v>
      </c>
    </row>
    <row r="15" spans="1:19">
      <c r="A15" t="s">
        <v>13</v>
      </c>
      <c r="B15">
        <v>2192</v>
      </c>
      <c r="C15">
        <v>602.63530000000003</v>
      </c>
      <c r="D15">
        <v>140.10579999999999</v>
      </c>
      <c r="E15">
        <v>2.277879</v>
      </c>
      <c r="F15">
        <v>1.6258279E-2</v>
      </c>
      <c r="G15">
        <v>462.52809999999999</v>
      </c>
      <c r="H15">
        <v>-5.0581019999999999</v>
      </c>
      <c r="I15">
        <v>-1.0935772999999999E-2</v>
      </c>
      <c r="J15">
        <v>-2.7802229999999999</v>
      </c>
      <c r="K15">
        <v>-4.6134419000000001E-3</v>
      </c>
      <c r="L15">
        <v>547.26459999999997</v>
      </c>
      <c r="M15">
        <v>2.2716917E-2</v>
      </c>
      <c r="N15">
        <v>5.5278641999999996E-3</v>
      </c>
      <c r="O15">
        <v>55.370010000000001</v>
      </c>
      <c r="P15">
        <v>-1.0588801E-2</v>
      </c>
      <c r="Q15">
        <v>-2.5828282999999998E-3</v>
      </c>
      <c r="R15">
        <v>-0.58630199999999999</v>
      </c>
      <c r="S15">
        <v>12.432169999999999</v>
      </c>
    </row>
    <row r="16" spans="1:19">
      <c r="A16" t="s">
        <v>14</v>
      </c>
      <c r="B16">
        <v>2192</v>
      </c>
      <c r="C16">
        <v>600.06650000000002</v>
      </c>
      <c r="D16">
        <v>138.73670000000001</v>
      </c>
      <c r="E16">
        <v>2.2711700000000001</v>
      </c>
      <c r="F16">
        <v>1.6370355999999999E-2</v>
      </c>
      <c r="G16">
        <v>461.32909999999998</v>
      </c>
      <c r="H16">
        <v>-5.1053369999999996</v>
      </c>
      <c r="I16">
        <v>-1.1066585E-2</v>
      </c>
      <c r="J16">
        <v>-2.8341669999999999</v>
      </c>
      <c r="K16">
        <v>-4.7230884000000004E-3</v>
      </c>
      <c r="L16">
        <v>546.34649999999999</v>
      </c>
      <c r="M16">
        <v>2.2875653999999999E-2</v>
      </c>
      <c r="N16">
        <v>5.5620977999999996E-3</v>
      </c>
      <c r="O16">
        <v>53.719990000000003</v>
      </c>
      <c r="P16">
        <v>-1.1333670000000001E-2</v>
      </c>
      <c r="Q16">
        <v>-2.7674755999999999E-3</v>
      </c>
      <c r="R16">
        <v>-0.60884459999999996</v>
      </c>
      <c r="S16">
        <v>12.49803</v>
      </c>
    </row>
    <row r="17" spans="1:19">
      <c r="A17" t="s">
        <v>15</v>
      </c>
      <c r="B17">
        <v>2201</v>
      </c>
      <c r="C17">
        <v>603.40959999999995</v>
      </c>
      <c r="D17">
        <v>173.0008</v>
      </c>
      <c r="E17">
        <v>2.4911310000000002</v>
      </c>
      <c r="F17">
        <v>1.4399535999999999E-2</v>
      </c>
      <c r="G17">
        <v>430.40769999999998</v>
      </c>
      <c r="H17">
        <v>-4.7288129999999997</v>
      </c>
      <c r="I17">
        <v>-1.0986821000000001E-2</v>
      </c>
      <c r="J17">
        <v>-2.2376819999999999</v>
      </c>
      <c r="K17">
        <v>-3.7083959000000001E-3</v>
      </c>
      <c r="L17">
        <v>537.90470000000005</v>
      </c>
      <c r="M17">
        <v>2.3541245999999998E-2</v>
      </c>
      <c r="N17">
        <v>5.7246596999999998E-3</v>
      </c>
      <c r="O17">
        <v>65.504999999999995</v>
      </c>
      <c r="P17">
        <v>-1.208475E-2</v>
      </c>
      <c r="Q17">
        <v>-2.9537742999999998E-3</v>
      </c>
      <c r="R17">
        <v>-0.79161150000000002</v>
      </c>
      <c r="S17">
        <v>12.66295</v>
      </c>
    </row>
    <row r="18" spans="1:19">
      <c r="A18" t="s">
        <v>16</v>
      </c>
      <c r="B18">
        <v>4326</v>
      </c>
      <c r="C18">
        <v>1600.606</v>
      </c>
      <c r="D18">
        <v>365.8922</v>
      </c>
      <c r="E18">
        <v>5.2885999999999997</v>
      </c>
      <c r="F18">
        <v>1.4453985000000001E-2</v>
      </c>
      <c r="G18">
        <v>1234.7149999999999</v>
      </c>
      <c r="H18">
        <v>-10.02209</v>
      </c>
      <c r="I18">
        <v>-8.1169278999999993E-3</v>
      </c>
      <c r="J18">
        <v>-4.7334899999999998</v>
      </c>
      <c r="K18">
        <v>-2.9573108000000002E-3</v>
      </c>
      <c r="L18">
        <v>1479.6130000000001</v>
      </c>
      <c r="M18">
        <v>2.2019578000000001E-2</v>
      </c>
      <c r="N18">
        <v>5.4093407999999997E-3</v>
      </c>
      <c r="O18">
        <v>120.992</v>
      </c>
      <c r="P18">
        <v>-1.0457721999999999E-2</v>
      </c>
      <c r="Q18">
        <v>-2.5769868000000001E-3</v>
      </c>
      <c r="R18">
        <v>-1.265301</v>
      </c>
      <c r="S18">
        <v>32.580460000000002</v>
      </c>
    </row>
    <row r="19" spans="1:19">
      <c r="A19" t="s">
        <v>17</v>
      </c>
      <c r="B19">
        <v>4366</v>
      </c>
      <c r="C19">
        <v>1584.8119999999999</v>
      </c>
      <c r="D19">
        <v>375.07870000000003</v>
      </c>
      <c r="E19">
        <v>5.6652899999999997</v>
      </c>
      <c r="F19">
        <v>1.5104271000000001E-2</v>
      </c>
      <c r="G19">
        <v>1209.739</v>
      </c>
      <c r="H19">
        <v>-9.9035189999999993</v>
      </c>
      <c r="I19">
        <v>-8.1864893000000005E-3</v>
      </c>
      <c r="J19">
        <v>-4.2382289999999996</v>
      </c>
      <c r="K19">
        <v>-2.6742795000000001E-3</v>
      </c>
      <c r="L19">
        <v>1487.46</v>
      </c>
      <c r="M19">
        <v>2.1795385E-2</v>
      </c>
      <c r="N19">
        <v>5.3480313999999998E-3</v>
      </c>
      <c r="O19">
        <v>97.351879999999994</v>
      </c>
      <c r="P19">
        <v>-1.0718959E-2</v>
      </c>
      <c r="Q19">
        <v>-2.6417999000000001E-3</v>
      </c>
      <c r="R19">
        <v>-1.0435110000000001</v>
      </c>
      <c r="S19">
        <v>32.41977</v>
      </c>
    </row>
    <row r="20" spans="1:19">
      <c r="A20" t="s">
        <v>18</v>
      </c>
      <c r="B20">
        <v>4368</v>
      </c>
      <c r="C20">
        <v>1583.14</v>
      </c>
      <c r="D20">
        <v>370.673</v>
      </c>
      <c r="E20">
        <v>5.5950030000000002</v>
      </c>
      <c r="F20">
        <v>1.5094173000000001E-2</v>
      </c>
      <c r="G20">
        <v>1212.473</v>
      </c>
      <c r="H20">
        <v>-9.9595369999999992</v>
      </c>
      <c r="I20">
        <v>-8.2142306000000005E-3</v>
      </c>
      <c r="J20">
        <v>-4.3645329999999998</v>
      </c>
      <c r="K20">
        <v>-2.7568842999999999E-3</v>
      </c>
      <c r="L20">
        <v>1485.867</v>
      </c>
      <c r="M20">
        <v>2.180006E-2</v>
      </c>
      <c r="N20">
        <v>5.3496257999999996E-3</v>
      </c>
      <c r="O20">
        <v>97.272869999999998</v>
      </c>
      <c r="P20">
        <v>-1.0584277E-2</v>
      </c>
      <c r="Q20">
        <v>-2.6064888E-3</v>
      </c>
      <c r="R20">
        <v>-1.029563</v>
      </c>
      <c r="S20">
        <v>32.391979999999997</v>
      </c>
    </row>
    <row r="21" spans="1:19">
      <c r="A21" t="s">
        <v>19</v>
      </c>
      <c r="B21">
        <v>4368</v>
      </c>
      <c r="C21">
        <v>1591.5989999999999</v>
      </c>
      <c r="D21">
        <v>360.2466</v>
      </c>
      <c r="E21">
        <v>4.8235099999999997</v>
      </c>
      <c r="F21">
        <v>1.3389465E-2</v>
      </c>
      <c r="G21">
        <v>1231.3530000000001</v>
      </c>
      <c r="H21">
        <v>-10.06934</v>
      </c>
      <c r="I21">
        <v>-8.1774583000000008E-3</v>
      </c>
      <c r="J21">
        <v>-5.2458280000000004</v>
      </c>
      <c r="K21">
        <v>-3.2959475999999998E-3</v>
      </c>
      <c r="L21">
        <v>1493.0229999999999</v>
      </c>
      <c r="M21">
        <v>2.1520774999999999E-2</v>
      </c>
      <c r="N21">
        <v>5.2899262000000004E-3</v>
      </c>
      <c r="O21">
        <v>98.575869999999995</v>
      </c>
      <c r="P21">
        <v>-1.0393757E-2</v>
      </c>
      <c r="Q21">
        <v>-2.5614342000000001E-3</v>
      </c>
      <c r="R21">
        <v>-1.0245740000000001</v>
      </c>
      <c r="S21">
        <v>32.131010000000003</v>
      </c>
    </row>
    <row r="22" spans="1:19">
      <c r="A22" t="s">
        <v>20</v>
      </c>
      <c r="B22">
        <v>4376</v>
      </c>
      <c r="C22">
        <v>1588.46</v>
      </c>
      <c r="D22">
        <v>372.09379999999999</v>
      </c>
      <c r="E22">
        <v>5.5671010000000001</v>
      </c>
      <c r="F22">
        <v>1.4961556000000001E-2</v>
      </c>
      <c r="G22">
        <v>1216.373</v>
      </c>
      <c r="H22">
        <v>-9.9865870000000001</v>
      </c>
      <c r="I22">
        <v>-8.2101384000000006E-3</v>
      </c>
      <c r="J22">
        <v>-4.4194849999999999</v>
      </c>
      <c r="K22">
        <v>-2.7822446999999999E-3</v>
      </c>
      <c r="L22">
        <v>1495.4</v>
      </c>
      <c r="M22">
        <v>2.1819808E-2</v>
      </c>
      <c r="N22">
        <v>5.3552175000000004E-3</v>
      </c>
      <c r="O22">
        <v>93.059899999999999</v>
      </c>
      <c r="P22">
        <v>-1.0696509999999999E-2</v>
      </c>
      <c r="Q22">
        <v>-2.6333760000000002E-3</v>
      </c>
      <c r="R22">
        <v>-0.99541610000000003</v>
      </c>
      <c r="S22">
        <v>32.629339999999999</v>
      </c>
    </row>
    <row r="23" spans="1:19">
      <c r="A23" t="s">
        <v>21</v>
      </c>
      <c r="B23">
        <v>4382</v>
      </c>
      <c r="C23">
        <v>1608.4280000000001</v>
      </c>
      <c r="D23">
        <v>348.53070000000002</v>
      </c>
      <c r="E23">
        <v>4.9660359999999999</v>
      </c>
      <c r="F23">
        <v>1.4248490000000001E-2</v>
      </c>
      <c r="G23">
        <v>1259.9010000000001</v>
      </c>
      <c r="H23">
        <v>-9.9042750000000002</v>
      </c>
      <c r="I23">
        <v>-7.8611532000000001E-3</v>
      </c>
      <c r="J23">
        <v>-4.9382390000000003</v>
      </c>
      <c r="K23">
        <v>-3.0702262000000002E-3</v>
      </c>
      <c r="L23">
        <v>1499.587</v>
      </c>
      <c r="M23">
        <v>2.1771977000000001E-2</v>
      </c>
      <c r="N23">
        <v>5.3531671999999999E-3</v>
      </c>
      <c r="O23">
        <v>108.8399</v>
      </c>
      <c r="P23">
        <v>-1.0175478E-2</v>
      </c>
      <c r="Q23">
        <v>-2.5113327E-3</v>
      </c>
      <c r="R23">
        <v>-1.1074980000000001</v>
      </c>
      <c r="S23">
        <v>32.648969999999998</v>
      </c>
    </row>
    <row r="24" spans="1:19">
      <c r="A24" t="s">
        <v>34</v>
      </c>
      <c r="B24">
        <v>4382</v>
      </c>
      <c r="C24">
        <v>1593.9380000000001</v>
      </c>
      <c r="D24">
        <v>377.45</v>
      </c>
      <c r="E24">
        <v>5.6495040000000003</v>
      </c>
      <c r="F24">
        <v>1.4967556999999999E-2</v>
      </c>
      <c r="G24">
        <v>1216.4949999999999</v>
      </c>
      <c r="H24">
        <v>-9.999136</v>
      </c>
      <c r="I24">
        <v>-8.2196295000000006E-3</v>
      </c>
      <c r="J24">
        <v>-4.3496319999999997</v>
      </c>
      <c r="K24">
        <v>-2.7288592000000002E-3</v>
      </c>
      <c r="L24">
        <v>1486.201</v>
      </c>
      <c r="M24">
        <v>2.1871686000000001E-2</v>
      </c>
      <c r="N24">
        <v>5.3639802999999996E-3</v>
      </c>
      <c r="O24">
        <v>107.7379</v>
      </c>
      <c r="P24">
        <v>-1.0347156999999999E-2</v>
      </c>
      <c r="Q24">
        <v>-2.545163E-3</v>
      </c>
      <c r="R24">
        <v>-1.114781</v>
      </c>
      <c r="S24">
        <v>32.505719999999997</v>
      </c>
    </row>
    <row r="25" spans="1:19">
      <c r="A25" t="s">
        <v>22</v>
      </c>
      <c r="B25">
        <v>4384</v>
      </c>
      <c r="C25">
        <v>948.97709999999995</v>
      </c>
      <c r="D25">
        <v>250.01419999999999</v>
      </c>
      <c r="E25">
        <v>4.5868679999999999</v>
      </c>
      <c r="F25">
        <v>1.8346433999999998E-2</v>
      </c>
      <c r="G25">
        <v>698.96119999999996</v>
      </c>
      <c r="H25">
        <v>-7.6115269999999997</v>
      </c>
      <c r="I25">
        <v>-1.088977E-2</v>
      </c>
      <c r="J25">
        <v>-3.0246590000000002</v>
      </c>
      <c r="K25">
        <v>-3.1872832E-3</v>
      </c>
      <c r="L25">
        <v>887.08540000000005</v>
      </c>
      <c r="M25">
        <v>2.3077026E-2</v>
      </c>
      <c r="N25">
        <v>5.6162672000000004E-3</v>
      </c>
      <c r="O25">
        <v>61.89199</v>
      </c>
      <c r="P25">
        <v>-1.1669628E-2</v>
      </c>
      <c r="Q25">
        <v>-2.8547687E-3</v>
      </c>
      <c r="R25">
        <v>-0.72225649999999997</v>
      </c>
      <c r="S25">
        <v>20.47129</v>
      </c>
    </row>
    <row r="26" spans="1:19">
      <c r="A26" t="s">
        <v>23</v>
      </c>
      <c r="B26">
        <v>4386</v>
      </c>
      <c r="C26">
        <v>1579.5830000000001</v>
      </c>
      <c r="D26">
        <v>341.24869999999999</v>
      </c>
      <c r="E26">
        <v>4.6855869999999999</v>
      </c>
      <c r="F26">
        <v>1.373071E-2</v>
      </c>
      <c r="G26">
        <v>1238.336</v>
      </c>
      <c r="H26">
        <v>-10.321210000000001</v>
      </c>
      <c r="I26">
        <v>-8.3347418999999996E-3</v>
      </c>
      <c r="J26">
        <v>-5.6356270000000004</v>
      </c>
      <c r="K26">
        <v>-3.5677941E-3</v>
      </c>
      <c r="L26">
        <v>1471.827</v>
      </c>
      <c r="M26">
        <v>2.1675261000000001E-2</v>
      </c>
      <c r="N26">
        <v>5.3241373999999998E-3</v>
      </c>
      <c r="O26">
        <v>107.754</v>
      </c>
      <c r="P26">
        <v>-1.1196230999999999E-2</v>
      </c>
      <c r="Q26">
        <v>-2.7607284000000002E-3</v>
      </c>
      <c r="R26">
        <v>-1.2064379999999999</v>
      </c>
      <c r="S26">
        <v>31.902229999999999</v>
      </c>
    </row>
    <row r="27" spans="1:19">
      <c r="A27" t="s">
        <v>24</v>
      </c>
      <c r="B27">
        <v>4386</v>
      </c>
      <c r="C27">
        <v>1603.374</v>
      </c>
      <c r="D27">
        <v>361.13260000000002</v>
      </c>
      <c r="E27">
        <v>5.2685310000000003</v>
      </c>
      <c r="F27">
        <v>1.4588907999999999E-2</v>
      </c>
      <c r="G27">
        <v>1242.2429999999999</v>
      </c>
      <c r="H27">
        <v>-9.7572670000000006</v>
      </c>
      <c r="I27">
        <v>-7.8545556999999998E-3</v>
      </c>
      <c r="J27">
        <v>-4.4887360000000003</v>
      </c>
      <c r="K27">
        <v>-2.7995558999999999E-3</v>
      </c>
      <c r="L27">
        <v>1495.2950000000001</v>
      </c>
      <c r="M27">
        <v>2.1709348999999999E-2</v>
      </c>
      <c r="N27">
        <v>5.3364904999999999E-3</v>
      </c>
      <c r="O27">
        <v>108.07689999999999</v>
      </c>
      <c r="P27">
        <v>-1.1072022000000001E-2</v>
      </c>
      <c r="Q27">
        <v>-2.7320322000000002E-3</v>
      </c>
      <c r="R27">
        <v>-1.1966300000000001</v>
      </c>
      <c r="S27">
        <v>32.461869999999998</v>
      </c>
    </row>
    <row r="28" spans="1:19">
      <c r="A28" t="s">
        <v>25</v>
      </c>
      <c r="B28">
        <v>4396</v>
      </c>
      <c r="C28">
        <v>1817.7950000000001</v>
      </c>
      <c r="D28">
        <v>403.18290000000002</v>
      </c>
      <c r="E28">
        <v>5.6373550000000003</v>
      </c>
      <c r="F28">
        <v>1.3982130000000001E-2</v>
      </c>
      <c r="G28">
        <v>1414.6179999999999</v>
      </c>
      <c r="H28">
        <v>-10.9903</v>
      </c>
      <c r="I28">
        <v>-7.7690924999999997E-3</v>
      </c>
      <c r="J28">
        <v>-5.3529429999999998</v>
      </c>
      <c r="K28">
        <v>-2.9447454000000001E-3</v>
      </c>
      <c r="L28">
        <v>1690.3409999999999</v>
      </c>
      <c r="M28">
        <v>2.1246129999999998E-2</v>
      </c>
      <c r="N28">
        <v>5.2244975000000004E-3</v>
      </c>
      <c r="O28">
        <v>127.455</v>
      </c>
      <c r="P28">
        <v>-1.3081963E-2</v>
      </c>
      <c r="Q28">
        <v>-3.2188454999999999E-3</v>
      </c>
      <c r="R28">
        <v>-1.667362</v>
      </c>
      <c r="S28">
        <v>35.913200000000003</v>
      </c>
    </row>
    <row r="29" spans="1:19">
      <c r="A29" t="s">
        <v>26</v>
      </c>
      <c r="B29">
        <v>4496</v>
      </c>
      <c r="C29">
        <v>1438.414</v>
      </c>
      <c r="D29">
        <v>228.93969999999999</v>
      </c>
      <c r="E29">
        <v>2.7291189999999999</v>
      </c>
      <c r="F29">
        <v>1.1920685E-2</v>
      </c>
      <c r="G29">
        <v>1209.47</v>
      </c>
      <c r="H29">
        <v>-11.86576</v>
      </c>
      <c r="I29">
        <v>-9.8107084999999993E-3</v>
      </c>
      <c r="J29">
        <v>-9.1366420000000002</v>
      </c>
      <c r="K29">
        <v>-6.3518877000000003E-3</v>
      </c>
      <c r="L29">
        <v>1347.183</v>
      </c>
      <c r="M29">
        <v>2.6200166E-2</v>
      </c>
      <c r="N29">
        <v>6.4128665000000003E-3</v>
      </c>
      <c r="O29">
        <v>91.227940000000004</v>
      </c>
      <c r="P29">
        <v>-8.7841544000000008E-3</v>
      </c>
      <c r="Q29">
        <v>-2.1600005999999998E-3</v>
      </c>
      <c r="R29">
        <v>-0.80136019999999997</v>
      </c>
      <c r="S29">
        <v>35.296419999999998</v>
      </c>
    </row>
    <row r="30" spans="1:19">
      <c r="A30" t="s">
        <v>27</v>
      </c>
      <c r="B30">
        <v>4616</v>
      </c>
      <c r="C30">
        <v>1442.2760000000001</v>
      </c>
      <c r="D30">
        <v>257.16750000000002</v>
      </c>
      <c r="E30">
        <v>4.4493819999999999</v>
      </c>
      <c r="F30">
        <v>1.7301494000000001E-2</v>
      </c>
      <c r="G30">
        <v>1185.1089999999999</v>
      </c>
      <c r="H30">
        <v>-12.34247</v>
      </c>
      <c r="I30">
        <v>-1.0414631000000001E-2</v>
      </c>
      <c r="J30">
        <v>-7.8930860000000003</v>
      </c>
      <c r="K30">
        <v>-5.4726610000000002E-3</v>
      </c>
      <c r="L30">
        <v>1204.501</v>
      </c>
      <c r="M30">
        <v>2.5842845E-2</v>
      </c>
      <c r="N30">
        <v>6.3293482999999999E-3</v>
      </c>
      <c r="O30">
        <v>237.77199999999999</v>
      </c>
      <c r="P30">
        <v>-1.2563764999999999E-2</v>
      </c>
      <c r="Q30">
        <v>-3.0892566000000001E-3</v>
      </c>
      <c r="R30">
        <v>-2.987311</v>
      </c>
      <c r="S30">
        <v>31.127739999999999</v>
      </c>
    </row>
    <row r="31" spans="1:19">
      <c r="A31" t="s">
        <v>28</v>
      </c>
      <c r="B31">
        <v>4599</v>
      </c>
      <c r="C31">
        <v>897.5326</v>
      </c>
      <c r="D31">
        <v>212.95689999999999</v>
      </c>
      <c r="E31">
        <v>4.1143159999999996</v>
      </c>
      <c r="F31">
        <v>1.9319946000000001E-2</v>
      </c>
      <c r="G31">
        <v>684.57429999999999</v>
      </c>
      <c r="H31">
        <v>-10.77289</v>
      </c>
      <c r="I31">
        <v>-1.5736627999999999E-2</v>
      </c>
      <c r="J31">
        <v>-6.6585760000000001</v>
      </c>
      <c r="K31">
        <v>-7.4187563999999996E-3</v>
      </c>
      <c r="L31">
        <v>852.24680000000001</v>
      </c>
      <c r="M31">
        <v>2.7960459E-2</v>
      </c>
      <c r="N31">
        <v>6.8005742999999999E-3</v>
      </c>
      <c r="O31">
        <v>45.286000000000001</v>
      </c>
      <c r="P31">
        <v>-8.5298577000000007E-3</v>
      </c>
      <c r="Q31">
        <v>-2.0880168000000001E-3</v>
      </c>
      <c r="R31">
        <v>-0.38628309999999999</v>
      </c>
      <c r="S31">
        <v>23.82921</v>
      </c>
    </row>
    <row r="32" spans="1:19">
      <c r="A32" t="s">
        <v>29</v>
      </c>
      <c r="B32">
        <v>4600</v>
      </c>
      <c r="C32">
        <v>884.81269999999995</v>
      </c>
      <c r="D32">
        <v>186.28899999999999</v>
      </c>
      <c r="E32">
        <v>3.8757160000000002</v>
      </c>
      <c r="F32">
        <v>2.0804854000000001E-2</v>
      </c>
      <c r="G32">
        <v>698.52359999999999</v>
      </c>
      <c r="H32">
        <v>-10.735279999999999</v>
      </c>
      <c r="I32">
        <v>-1.5368529000000001E-2</v>
      </c>
      <c r="J32">
        <v>-6.8595629999999996</v>
      </c>
      <c r="K32">
        <v>-7.7525590999999996E-3</v>
      </c>
      <c r="L32">
        <v>834.77260000000001</v>
      </c>
      <c r="M32">
        <v>2.8291456E-2</v>
      </c>
      <c r="N32">
        <v>6.8813911999999998E-3</v>
      </c>
      <c r="O32">
        <v>50.039990000000003</v>
      </c>
      <c r="P32">
        <v>-9.5699709000000004E-3</v>
      </c>
      <c r="Q32">
        <v>-2.3474569999999998E-3</v>
      </c>
      <c r="R32">
        <v>-0.47888120000000001</v>
      </c>
      <c r="S32">
        <v>23.61693</v>
      </c>
    </row>
    <row r="33" spans="1:19">
      <c r="A33" t="s">
        <v>30</v>
      </c>
      <c r="B33">
        <v>4599</v>
      </c>
      <c r="C33">
        <v>878.86659999999995</v>
      </c>
      <c r="D33">
        <v>186.5351</v>
      </c>
      <c r="E33">
        <v>3.899581</v>
      </c>
      <c r="F33">
        <v>2.0905346000000002E-2</v>
      </c>
      <c r="G33">
        <v>692.33040000000005</v>
      </c>
      <c r="H33">
        <v>-10.69125</v>
      </c>
      <c r="I33">
        <v>-1.5442403E-2</v>
      </c>
      <c r="J33">
        <v>-6.7916650000000001</v>
      </c>
      <c r="K33">
        <v>-7.7277533999999997E-3</v>
      </c>
      <c r="L33">
        <v>832.20529999999997</v>
      </c>
      <c r="M33">
        <v>2.8115834999999999E-2</v>
      </c>
      <c r="N33">
        <v>6.8375644999999997E-3</v>
      </c>
      <c r="O33">
        <v>46.661000000000001</v>
      </c>
      <c r="P33">
        <v>-9.7898989999999995E-3</v>
      </c>
      <c r="Q33">
        <v>-2.4042446E-3</v>
      </c>
      <c r="R33">
        <v>-0.4568065</v>
      </c>
      <c r="S33">
        <v>23.398150000000001</v>
      </c>
    </row>
    <row r="34" spans="1:19">
      <c r="A34" t="s">
        <v>31</v>
      </c>
      <c r="B34">
        <v>10032</v>
      </c>
      <c r="C34">
        <v>3770.2370000000001</v>
      </c>
      <c r="D34">
        <v>1052.3510000000001</v>
      </c>
      <c r="E34">
        <v>9.8032749999999993</v>
      </c>
      <c r="F34">
        <v>9.3155978000000004E-3</v>
      </c>
      <c r="G34">
        <v>2717.8319999999999</v>
      </c>
      <c r="H34">
        <v>-25.346399999999999</v>
      </c>
      <c r="I34">
        <v>-9.3259607000000001E-3</v>
      </c>
      <c r="J34">
        <v>-15.54312</v>
      </c>
      <c r="K34">
        <v>-4.1225845999999997E-3</v>
      </c>
      <c r="L34">
        <v>3175.837</v>
      </c>
      <c r="M34">
        <v>1.9507793999999998E-2</v>
      </c>
      <c r="N34">
        <v>4.7638276999999998E-3</v>
      </c>
      <c r="O34">
        <v>594.3596</v>
      </c>
      <c r="P34">
        <v>-9.8608593000000001E-3</v>
      </c>
      <c r="Q34">
        <v>-2.4319072000000001E-3</v>
      </c>
      <c r="R34">
        <v>-5.8608969999999996</v>
      </c>
      <c r="S34">
        <v>61.953580000000002</v>
      </c>
    </row>
    <row r="35" spans="1:19">
      <c r="A35" t="s">
        <v>32</v>
      </c>
      <c r="B35">
        <v>10214</v>
      </c>
      <c r="C35">
        <v>3952.22</v>
      </c>
      <c r="D35">
        <v>1047.258</v>
      </c>
      <c r="E35">
        <v>11.13794</v>
      </c>
      <c r="F35">
        <v>1.0635329000000001E-2</v>
      </c>
      <c r="G35">
        <v>2904.904</v>
      </c>
      <c r="H35">
        <v>-27.496849999999998</v>
      </c>
      <c r="I35">
        <v>-9.4656665000000008E-3</v>
      </c>
      <c r="J35">
        <v>-16.358910000000002</v>
      </c>
      <c r="K35">
        <v>-4.1391709999999996E-3</v>
      </c>
      <c r="L35">
        <v>3324.9479999999999</v>
      </c>
      <c r="M35">
        <v>1.9606420999999999E-2</v>
      </c>
      <c r="N35">
        <v>4.7972863999999997E-3</v>
      </c>
      <c r="O35">
        <v>627.20519999999999</v>
      </c>
      <c r="P35">
        <v>-1.1538138E-2</v>
      </c>
      <c r="Q35">
        <v>-2.8390663E-3</v>
      </c>
      <c r="R35">
        <v>-7.2367800000000004</v>
      </c>
      <c r="S35">
        <v>65.19032</v>
      </c>
    </row>
    <row r="36" spans="1:19">
      <c r="A36" t="s">
        <v>33</v>
      </c>
      <c r="B36">
        <v>10355</v>
      </c>
      <c r="C36">
        <v>4318.433</v>
      </c>
      <c r="D36">
        <v>1407.3030000000001</v>
      </c>
      <c r="E36">
        <v>14.86261</v>
      </c>
      <c r="F36">
        <v>1.0561054E-2</v>
      </c>
      <c r="G36">
        <v>2911.04</v>
      </c>
      <c r="H36">
        <v>-25.61018</v>
      </c>
      <c r="I36">
        <v>-8.7976045999999999E-3</v>
      </c>
      <c r="J36">
        <v>-10.74757</v>
      </c>
      <c r="K36">
        <v>-2.4887669999999998E-3</v>
      </c>
      <c r="L36">
        <v>3581.2220000000002</v>
      </c>
      <c r="M36">
        <v>1.8707313E-2</v>
      </c>
      <c r="N36">
        <v>4.5608990000000002E-3</v>
      </c>
      <c r="O36">
        <v>737.16010000000006</v>
      </c>
      <c r="P36">
        <v>-1.1120065E-2</v>
      </c>
      <c r="Q36">
        <v>-2.7424785999999998E-3</v>
      </c>
      <c r="R36">
        <v>-8.1972679999999993</v>
      </c>
      <c r="S36">
        <v>66.995050000000006</v>
      </c>
    </row>
  </sheetData>
  <phoneticPr fontId="0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80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376.99619999999999</v>
      </c>
      <c r="D2">
        <v>102.9888</v>
      </c>
      <c r="E2">
        <v>1.3769039999999999</v>
      </c>
      <c r="F2">
        <v>1.3369457E-2</v>
      </c>
      <c r="G2">
        <v>274.00700000000001</v>
      </c>
      <c r="H2">
        <v>-2.928442</v>
      </c>
      <c r="I2">
        <v>-1.0687469999999999E-2</v>
      </c>
      <c r="J2">
        <v>-1.5515380000000001</v>
      </c>
      <c r="K2">
        <v>-4.1155274999999996E-3</v>
      </c>
      <c r="L2">
        <v>305.57679999999999</v>
      </c>
      <c r="M2">
        <v>2.6637008E-2</v>
      </c>
      <c r="N2">
        <v>6.4294249999999999E-3</v>
      </c>
      <c r="O2">
        <v>71.418980000000005</v>
      </c>
      <c r="P2">
        <v>-1.3893057E-2</v>
      </c>
      <c r="Q2">
        <v>-3.3980410000000001E-3</v>
      </c>
      <c r="R2">
        <v>-0.992228</v>
      </c>
      <c r="S2">
        <v>8.1396519999999999</v>
      </c>
    </row>
    <row r="3" spans="1:19">
      <c r="A3" t="s">
        <v>1</v>
      </c>
      <c r="B3">
        <v>1248</v>
      </c>
      <c r="C3">
        <v>438.97190000000001</v>
      </c>
      <c r="D3">
        <v>112.0977</v>
      </c>
      <c r="E3">
        <v>1.599281</v>
      </c>
      <c r="F3">
        <v>1.4266846999999999E-2</v>
      </c>
      <c r="G3">
        <v>326.87360000000001</v>
      </c>
      <c r="H3">
        <v>-3.433656</v>
      </c>
      <c r="I3">
        <v>-1.0504538000000001E-2</v>
      </c>
      <c r="J3">
        <v>-1.8343750000000001</v>
      </c>
      <c r="K3">
        <v>-4.1787973999999999E-3</v>
      </c>
      <c r="L3">
        <v>341.76029999999997</v>
      </c>
      <c r="M3">
        <v>2.4804567999999999E-2</v>
      </c>
      <c r="N3">
        <v>5.9825097999999998E-3</v>
      </c>
      <c r="O3">
        <v>97.210909999999998</v>
      </c>
      <c r="P3">
        <v>-1.0509457E-2</v>
      </c>
      <c r="Q3">
        <v>-2.5669192E-3</v>
      </c>
      <c r="R3">
        <v>-1.0216339999999999</v>
      </c>
      <c r="S3">
        <v>8.4772169999999996</v>
      </c>
    </row>
    <row r="4" spans="1:19">
      <c r="A4" t="s">
        <v>2</v>
      </c>
      <c r="B4">
        <v>2468</v>
      </c>
      <c r="C4">
        <v>819.43960000000004</v>
      </c>
      <c r="D4">
        <v>202.1309</v>
      </c>
      <c r="E4">
        <v>3.0506790000000001</v>
      </c>
      <c r="F4">
        <v>1.5092588000000001E-2</v>
      </c>
      <c r="G4">
        <v>617.30930000000001</v>
      </c>
      <c r="H4">
        <v>-7.5029539999999999</v>
      </c>
      <c r="I4">
        <v>-1.2154286E-2</v>
      </c>
      <c r="J4">
        <v>-4.4522750000000002</v>
      </c>
      <c r="K4">
        <v>-5.4333167999999999E-3</v>
      </c>
      <c r="L4">
        <v>756.55889999999999</v>
      </c>
      <c r="M4">
        <v>2.5556661000000001E-2</v>
      </c>
      <c r="N4">
        <v>6.1892186999999996E-3</v>
      </c>
      <c r="O4">
        <v>62.879040000000003</v>
      </c>
      <c r="P4">
        <v>-1.3735547000000001E-2</v>
      </c>
      <c r="Q4">
        <v>-3.3606145999999998E-3</v>
      </c>
      <c r="R4">
        <v>-0.86367799999999995</v>
      </c>
      <c r="S4">
        <v>19.33512</v>
      </c>
    </row>
    <row r="5" spans="1:19">
      <c r="A5" t="s">
        <v>3</v>
      </c>
      <c r="B5">
        <v>993</v>
      </c>
      <c r="C5">
        <v>218.83690000000001</v>
      </c>
      <c r="D5">
        <v>92.993740000000003</v>
      </c>
      <c r="E5">
        <v>0.66561809999999999</v>
      </c>
      <c r="F5">
        <v>7.1576660999999996E-3</v>
      </c>
      <c r="G5">
        <v>125.8428</v>
      </c>
      <c r="H5">
        <v>-1.41106</v>
      </c>
      <c r="I5">
        <v>-1.121288E-2</v>
      </c>
      <c r="J5">
        <v>-0.74544169999999998</v>
      </c>
      <c r="K5">
        <v>-3.406381E-3</v>
      </c>
      <c r="L5">
        <v>197.625</v>
      </c>
      <c r="M5">
        <v>1.7868893E-2</v>
      </c>
      <c r="N5">
        <v>4.3012657999999997E-3</v>
      </c>
      <c r="O5">
        <v>21.21199</v>
      </c>
      <c r="P5">
        <v>-1.1957911E-2</v>
      </c>
      <c r="Q5">
        <v>-2.8823994E-3</v>
      </c>
      <c r="R5">
        <v>-0.25365110000000002</v>
      </c>
      <c r="S5">
        <v>3.531339</v>
      </c>
    </row>
    <row r="6" spans="1:19">
      <c r="A6" t="s">
        <v>4</v>
      </c>
      <c r="B6">
        <v>994</v>
      </c>
      <c r="C6">
        <v>217.24199999999999</v>
      </c>
      <c r="D6">
        <v>80.404849999999996</v>
      </c>
      <c r="E6">
        <v>0.69170929999999997</v>
      </c>
      <c r="F6">
        <v>8.6028305999999999E-3</v>
      </c>
      <c r="G6">
        <v>136.8366</v>
      </c>
      <c r="H6">
        <v>-1.4503509999999999</v>
      </c>
      <c r="I6">
        <v>-1.0599149E-2</v>
      </c>
      <c r="J6">
        <v>-0.75864200000000004</v>
      </c>
      <c r="K6">
        <v>-3.4921513999999999E-3</v>
      </c>
      <c r="L6">
        <v>200.8289</v>
      </c>
      <c r="M6">
        <v>1.8507255E-2</v>
      </c>
      <c r="N6">
        <v>4.4565847999999998E-3</v>
      </c>
      <c r="O6">
        <v>16.413</v>
      </c>
      <c r="P6">
        <v>-1.1413847E-2</v>
      </c>
      <c r="Q6">
        <v>-2.7549333999999999E-3</v>
      </c>
      <c r="R6">
        <v>-0.18733549999999999</v>
      </c>
      <c r="S6">
        <v>3.7167919999999999</v>
      </c>
    </row>
    <row r="7" spans="1:19">
      <c r="A7" t="s">
        <v>5</v>
      </c>
      <c r="B7">
        <v>1001</v>
      </c>
      <c r="C7">
        <v>224.59809999999999</v>
      </c>
      <c r="D7">
        <v>97.072720000000004</v>
      </c>
      <c r="E7">
        <v>0.59347899999999998</v>
      </c>
      <c r="F7">
        <v>6.1137563999999998E-3</v>
      </c>
      <c r="G7">
        <v>127.5245</v>
      </c>
      <c r="H7">
        <v>-1.509107</v>
      </c>
      <c r="I7">
        <v>-1.1833857E-2</v>
      </c>
      <c r="J7">
        <v>-0.91562809999999994</v>
      </c>
      <c r="K7">
        <v>-4.0767407000000004E-3</v>
      </c>
      <c r="L7">
        <v>209.18389999999999</v>
      </c>
      <c r="M7">
        <v>1.7724444999999998E-2</v>
      </c>
      <c r="N7">
        <v>4.2715087000000001E-3</v>
      </c>
      <c r="O7">
        <v>15.414</v>
      </c>
      <c r="P7">
        <v>-1.2460705000000001E-2</v>
      </c>
      <c r="Q7">
        <v>-3.0010825000000001E-3</v>
      </c>
      <c r="R7">
        <v>-0.1920693</v>
      </c>
      <c r="S7">
        <v>3.7076690000000001</v>
      </c>
    </row>
    <row r="8" spans="1:19">
      <c r="A8" t="s">
        <v>6</v>
      </c>
      <c r="B8">
        <v>1001</v>
      </c>
      <c r="C8">
        <v>213.70609999999999</v>
      </c>
      <c r="D8">
        <v>93.939750000000004</v>
      </c>
      <c r="E8">
        <v>0.70641719999999997</v>
      </c>
      <c r="F8">
        <v>7.5198966000000001E-3</v>
      </c>
      <c r="G8">
        <v>119.76560000000001</v>
      </c>
      <c r="H8">
        <v>-1.4143680000000001</v>
      </c>
      <c r="I8">
        <v>-1.1809465999999999E-2</v>
      </c>
      <c r="J8">
        <v>-0.70795070000000004</v>
      </c>
      <c r="K8">
        <v>-3.3127305E-3</v>
      </c>
      <c r="L8">
        <v>197.56899999999999</v>
      </c>
      <c r="M8">
        <v>1.8100577999999999E-2</v>
      </c>
      <c r="N8">
        <v>4.3611131000000003E-3</v>
      </c>
      <c r="O8">
        <v>16.137</v>
      </c>
      <c r="P8">
        <v>-1.2374072E-2</v>
      </c>
      <c r="Q8">
        <v>-2.9803045999999998E-3</v>
      </c>
      <c r="R8">
        <v>-0.19968040000000001</v>
      </c>
      <c r="S8">
        <v>3.5761129999999999</v>
      </c>
    </row>
    <row r="9" spans="1:19">
      <c r="A9" t="s">
        <v>7</v>
      </c>
      <c r="B9">
        <v>1305</v>
      </c>
      <c r="C9">
        <v>258.4119</v>
      </c>
      <c r="D9">
        <v>89.396749999999997</v>
      </c>
      <c r="E9">
        <v>1.05671</v>
      </c>
      <c r="F9">
        <v>1.1820447E-2</v>
      </c>
      <c r="G9">
        <v>169.0145</v>
      </c>
      <c r="H9">
        <v>-1.931435</v>
      </c>
      <c r="I9">
        <v>-1.1427629E-2</v>
      </c>
      <c r="J9">
        <v>-0.87472570000000005</v>
      </c>
      <c r="K9">
        <v>-3.3850055000000001E-3</v>
      </c>
      <c r="L9">
        <v>233.61490000000001</v>
      </c>
      <c r="M9">
        <v>2.1337707000000001E-2</v>
      </c>
      <c r="N9">
        <v>5.1389751000000001E-3</v>
      </c>
      <c r="O9">
        <v>24.79701</v>
      </c>
      <c r="P9">
        <v>-1.0326752E-2</v>
      </c>
      <c r="Q9">
        <v>-2.5105148E-3</v>
      </c>
      <c r="R9">
        <v>-0.25607249999999998</v>
      </c>
      <c r="S9">
        <v>4.9848059999999998</v>
      </c>
    </row>
    <row r="10" spans="1:19">
      <c r="A10" t="s">
        <v>8</v>
      </c>
      <c r="B10">
        <v>1309</v>
      </c>
      <c r="C10">
        <v>268.6909</v>
      </c>
      <c r="D10">
        <v>91.762770000000003</v>
      </c>
      <c r="E10">
        <v>1.1864269999999999</v>
      </c>
      <c r="F10">
        <v>1.2929282E-2</v>
      </c>
      <c r="G10">
        <v>176.92769999999999</v>
      </c>
      <c r="H10">
        <v>-2.161975</v>
      </c>
      <c r="I10">
        <v>-1.2219539E-2</v>
      </c>
      <c r="J10">
        <v>-0.97554859999999999</v>
      </c>
      <c r="K10">
        <v>-3.6307469000000001E-3</v>
      </c>
      <c r="L10">
        <v>242.51589999999999</v>
      </c>
      <c r="M10">
        <v>2.1471756000000002E-2</v>
      </c>
      <c r="N10">
        <v>5.1761842000000004E-3</v>
      </c>
      <c r="O10">
        <v>26.175000000000001</v>
      </c>
      <c r="P10">
        <v>-1.1436379999999999E-2</v>
      </c>
      <c r="Q10">
        <v>-2.7717332999999999E-3</v>
      </c>
      <c r="R10">
        <v>-0.29934719999999998</v>
      </c>
      <c r="S10">
        <v>5.2072419999999999</v>
      </c>
    </row>
    <row r="11" spans="1:19">
      <c r="A11" t="s">
        <v>9</v>
      </c>
      <c r="B11">
        <v>951</v>
      </c>
      <c r="C11">
        <v>216.2</v>
      </c>
      <c r="D11">
        <v>56.376019999999997</v>
      </c>
      <c r="E11">
        <v>0.55657489999999998</v>
      </c>
      <c r="F11">
        <v>9.8725483000000006E-3</v>
      </c>
      <c r="G11">
        <v>159.8236</v>
      </c>
      <c r="H11">
        <v>-1.796009</v>
      </c>
      <c r="I11">
        <v>-1.1237445E-2</v>
      </c>
      <c r="J11">
        <v>-1.2394339999999999</v>
      </c>
      <c r="K11">
        <v>-5.7328129000000002E-3</v>
      </c>
      <c r="L11">
        <v>197.6918</v>
      </c>
      <c r="M11">
        <v>1.8042168000000001E-2</v>
      </c>
      <c r="N11">
        <v>4.3497426000000004E-3</v>
      </c>
      <c r="O11">
        <v>18.507999999999999</v>
      </c>
      <c r="P11">
        <v>-7.1957223000000004E-3</v>
      </c>
      <c r="Q11">
        <v>-1.7295898E-3</v>
      </c>
      <c r="R11">
        <v>-0.1331784</v>
      </c>
      <c r="S11">
        <v>3.566789</v>
      </c>
    </row>
    <row r="12" spans="1:19">
      <c r="A12" t="s">
        <v>10</v>
      </c>
      <c r="B12">
        <v>956</v>
      </c>
      <c r="C12">
        <v>220.2499</v>
      </c>
      <c r="D12">
        <v>55.123959999999997</v>
      </c>
      <c r="E12">
        <v>0.52016289999999998</v>
      </c>
      <c r="F12">
        <v>9.4362404000000004E-3</v>
      </c>
      <c r="G12">
        <v>165.12569999999999</v>
      </c>
      <c r="H12">
        <v>-1.8755580000000001</v>
      </c>
      <c r="I12">
        <v>-1.1358363999999999E-2</v>
      </c>
      <c r="J12">
        <v>-1.3553949999999999</v>
      </c>
      <c r="K12">
        <v>-6.1538955000000001E-3</v>
      </c>
      <c r="L12">
        <v>200.77359999999999</v>
      </c>
      <c r="M12">
        <v>1.7777576999999999E-2</v>
      </c>
      <c r="N12">
        <v>4.2848367999999996E-3</v>
      </c>
      <c r="O12">
        <v>19.475989999999999</v>
      </c>
      <c r="P12">
        <v>-7.4096535999999998E-3</v>
      </c>
      <c r="Q12">
        <v>-1.7816094000000001E-3</v>
      </c>
      <c r="R12">
        <v>-0.14431040000000001</v>
      </c>
      <c r="S12">
        <v>3.5692689999999998</v>
      </c>
    </row>
    <row r="13" spans="1:19">
      <c r="A13" t="s">
        <v>11</v>
      </c>
      <c r="B13">
        <v>957</v>
      </c>
      <c r="C13">
        <v>223.80179999999999</v>
      </c>
      <c r="D13">
        <v>70.792900000000003</v>
      </c>
      <c r="E13">
        <v>0.86717520000000003</v>
      </c>
      <c r="F13">
        <v>1.2249466000000001E-2</v>
      </c>
      <c r="G13">
        <v>153.0087</v>
      </c>
      <c r="H13">
        <v>-1.7343850000000001</v>
      </c>
      <c r="I13">
        <v>-1.1335204999999999E-2</v>
      </c>
      <c r="J13">
        <v>-0.86720989999999998</v>
      </c>
      <c r="K13">
        <v>-3.8749004999999999E-3</v>
      </c>
      <c r="L13">
        <v>209.11359999999999</v>
      </c>
      <c r="M13">
        <v>1.8262818E-2</v>
      </c>
      <c r="N13">
        <v>4.4048498E-3</v>
      </c>
      <c r="O13">
        <v>14.688000000000001</v>
      </c>
      <c r="P13">
        <v>-7.7432357E-3</v>
      </c>
      <c r="Q13">
        <v>-1.8644689999999999E-3</v>
      </c>
      <c r="R13">
        <v>-0.1137326</v>
      </c>
      <c r="S13">
        <v>3.8190050000000002</v>
      </c>
    </row>
    <row r="14" spans="1:19">
      <c r="A14" t="s">
        <v>12</v>
      </c>
      <c r="B14">
        <v>1894</v>
      </c>
      <c r="C14">
        <v>753.30520000000001</v>
      </c>
      <c r="D14">
        <v>261.95229999999998</v>
      </c>
      <c r="E14">
        <v>2.4469020000000001</v>
      </c>
      <c r="F14">
        <v>9.3410183000000001E-3</v>
      </c>
      <c r="G14">
        <v>491.3571</v>
      </c>
      <c r="H14">
        <v>-4.2823690000000001</v>
      </c>
      <c r="I14">
        <v>-8.7153901999999991E-3</v>
      </c>
      <c r="J14">
        <v>-1.8354680000000001</v>
      </c>
      <c r="K14">
        <v>-2.4365521999999999E-3</v>
      </c>
      <c r="L14">
        <v>683.94399999999996</v>
      </c>
      <c r="M14">
        <v>1.6948851000000001E-2</v>
      </c>
      <c r="N14">
        <v>4.1062929999999996E-3</v>
      </c>
      <c r="O14">
        <v>69.362049999999996</v>
      </c>
      <c r="P14">
        <v>-7.7221160999999998E-3</v>
      </c>
      <c r="Q14">
        <v>-1.8728035999999999E-3</v>
      </c>
      <c r="R14">
        <v>-0.53562180000000004</v>
      </c>
      <c r="S14">
        <v>11.59206</v>
      </c>
    </row>
    <row r="15" spans="1:19">
      <c r="A15" t="s">
        <v>13</v>
      </c>
      <c r="B15">
        <v>2192</v>
      </c>
      <c r="C15">
        <v>471.74</v>
      </c>
      <c r="D15">
        <v>114.3175</v>
      </c>
      <c r="E15">
        <v>1.895095</v>
      </c>
      <c r="F15">
        <v>1.6577478E-2</v>
      </c>
      <c r="G15">
        <v>357.42020000000002</v>
      </c>
      <c r="H15">
        <v>-3.912261</v>
      </c>
      <c r="I15">
        <v>-1.0945831E-2</v>
      </c>
      <c r="J15">
        <v>-2.017166</v>
      </c>
      <c r="K15">
        <v>-4.2760124999999998E-3</v>
      </c>
      <c r="L15">
        <v>432.80669999999998</v>
      </c>
      <c r="M15">
        <v>2.2627815999999999E-2</v>
      </c>
      <c r="N15">
        <v>5.4529347000000002E-3</v>
      </c>
      <c r="O15">
        <v>38.933</v>
      </c>
      <c r="P15">
        <v>-1.0252155000000001E-2</v>
      </c>
      <c r="Q15">
        <v>-2.4791751000000002E-3</v>
      </c>
      <c r="R15">
        <v>-0.39914719999999998</v>
      </c>
      <c r="S15">
        <v>9.7934699999999992</v>
      </c>
    </row>
    <row r="16" spans="1:19">
      <c r="A16" t="s">
        <v>14</v>
      </c>
      <c r="B16">
        <v>2192</v>
      </c>
      <c r="C16">
        <v>473.4221</v>
      </c>
      <c r="D16">
        <v>110.7055</v>
      </c>
      <c r="E16">
        <v>1.8946050000000001</v>
      </c>
      <c r="F16">
        <v>1.7113917999999999E-2</v>
      </c>
      <c r="G16">
        <v>362.71460000000002</v>
      </c>
      <c r="H16">
        <v>-4.014907</v>
      </c>
      <c r="I16">
        <v>-1.1069054E-2</v>
      </c>
      <c r="J16">
        <v>-2.1203020000000001</v>
      </c>
      <c r="K16">
        <v>-4.4786710999999996E-3</v>
      </c>
      <c r="L16">
        <v>433.99489999999997</v>
      </c>
      <c r="M16">
        <v>2.2784470000000001E-2</v>
      </c>
      <c r="N16">
        <v>5.4904734999999998E-3</v>
      </c>
      <c r="O16">
        <v>39.427010000000003</v>
      </c>
      <c r="P16">
        <v>-1.0362296E-2</v>
      </c>
      <c r="Q16">
        <v>-2.5064684000000001E-3</v>
      </c>
      <c r="R16">
        <v>-0.40855439999999998</v>
      </c>
      <c r="S16">
        <v>9.8883430000000008</v>
      </c>
    </row>
    <row r="17" spans="1:19">
      <c r="A17" t="s">
        <v>15</v>
      </c>
      <c r="B17">
        <v>2201</v>
      </c>
      <c r="C17">
        <v>474.44040000000001</v>
      </c>
      <c r="D17">
        <v>139.58439999999999</v>
      </c>
      <c r="E17">
        <v>2.0265919999999999</v>
      </c>
      <c r="F17">
        <v>1.4518761E-2</v>
      </c>
      <c r="G17">
        <v>334.85329999999999</v>
      </c>
      <c r="H17">
        <v>-3.7184179999999998</v>
      </c>
      <c r="I17">
        <v>-1.1104615999999999E-2</v>
      </c>
      <c r="J17">
        <v>-1.6918249999999999</v>
      </c>
      <c r="K17">
        <v>-3.5659384E-3</v>
      </c>
      <c r="L17">
        <v>426.27910000000003</v>
      </c>
      <c r="M17">
        <v>2.3218685999999999E-2</v>
      </c>
      <c r="N17">
        <v>5.5950488999999999E-3</v>
      </c>
      <c r="O17">
        <v>48.161000000000001</v>
      </c>
      <c r="P17">
        <v>-1.1723358999999999E-2</v>
      </c>
      <c r="Q17">
        <v>-2.8372294999999999E-3</v>
      </c>
      <c r="R17">
        <v>-0.56460869999999996</v>
      </c>
      <c r="S17">
        <v>9.8976410000000001</v>
      </c>
    </row>
    <row r="18" spans="1:19">
      <c r="A18" t="s">
        <v>16</v>
      </c>
      <c r="B18">
        <v>4326</v>
      </c>
      <c r="C18">
        <v>1261.3130000000001</v>
      </c>
      <c r="D18">
        <v>297.69459999999998</v>
      </c>
      <c r="E18">
        <v>4.4107789999999998</v>
      </c>
      <c r="F18">
        <v>1.4816457E-2</v>
      </c>
      <c r="G18">
        <v>963.60659999999996</v>
      </c>
      <c r="H18">
        <v>-7.8634719999999998</v>
      </c>
      <c r="I18">
        <v>-8.1604589000000005E-3</v>
      </c>
      <c r="J18">
        <v>-3.452693</v>
      </c>
      <c r="K18">
        <v>-2.7373806E-3</v>
      </c>
      <c r="L18">
        <v>1176.095</v>
      </c>
      <c r="M18">
        <v>2.189837E-2</v>
      </c>
      <c r="N18">
        <v>5.3311060000000004E-3</v>
      </c>
      <c r="O18">
        <v>85.212990000000005</v>
      </c>
      <c r="P18">
        <v>-9.6510378999999993E-3</v>
      </c>
      <c r="Q18">
        <v>-2.3564291000000002E-3</v>
      </c>
      <c r="R18">
        <v>-0.82239379999999995</v>
      </c>
      <c r="S18">
        <v>25.754570000000001</v>
      </c>
    </row>
    <row r="19" spans="1:19">
      <c r="A19" t="s">
        <v>17</v>
      </c>
      <c r="B19">
        <v>4366</v>
      </c>
      <c r="C19">
        <v>1238.5050000000001</v>
      </c>
      <c r="D19">
        <v>303.4563</v>
      </c>
      <c r="E19">
        <v>4.6527250000000002</v>
      </c>
      <c r="F19">
        <v>1.5332437000000001E-2</v>
      </c>
      <c r="G19">
        <v>935.04510000000005</v>
      </c>
      <c r="H19">
        <v>-7.5930799999999996</v>
      </c>
      <c r="I19">
        <v>-8.1205488999999999E-3</v>
      </c>
      <c r="J19">
        <v>-2.9403540000000001</v>
      </c>
      <c r="K19">
        <v>-2.3741158999999999E-3</v>
      </c>
      <c r="L19">
        <v>1176.712</v>
      </c>
      <c r="M19">
        <v>2.1563698999999999E-2</v>
      </c>
      <c r="N19">
        <v>5.2469539999999999E-3</v>
      </c>
      <c r="O19">
        <v>61.789969999999997</v>
      </c>
      <c r="P19">
        <v>-9.8005217000000002E-3</v>
      </c>
      <c r="Q19">
        <v>-2.3935725999999998E-3</v>
      </c>
      <c r="R19">
        <v>-0.6055739</v>
      </c>
      <c r="S19">
        <v>25.374269999999999</v>
      </c>
    </row>
    <row r="20" spans="1:19">
      <c r="A20" t="s">
        <v>18</v>
      </c>
      <c r="B20">
        <v>4368</v>
      </c>
      <c r="C20">
        <v>1244.5550000000001</v>
      </c>
      <c r="D20">
        <v>304.7158</v>
      </c>
      <c r="E20">
        <v>4.6474489999999999</v>
      </c>
      <c r="F20">
        <v>1.5251746E-2</v>
      </c>
      <c r="G20">
        <v>939.83389999999997</v>
      </c>
      <c r="H20">
        <v>-7.5927720000000001</v>
      </c>
      <c r="I20">
        <v>-8.0788443000000005E-3</v>
      </c>
      <c r="J20">
        <v>-2.9453230000000001</v>
      </c>
      <c r="K20">
        <v>-2.3665673000000001E-3</v>
      </c>
      <c r="L20">
        <v>1178.4090000000001</v>
      </c>
      <c r="M20">
        <v>2.1522427E-2</v>
      </c>
      <c r="N20">
        <v>5.2379621000000001E-3</v>
      </c>
      <c r="O20">
        <v>66.142970000000005</v>
      </c>
      <c r="P20">
        <v>-9.8581966000000007E-3</v>
      </c>
      <c r="Q20">
        <v>-2.4060900000000001E-3</v>
      </c>
      <c r="R20">
        <v>-0.65205040000000003</v>
      </c>
      <c r="S20">
        <v>25.362210000000001</v>
      </c>
    </row>
    <row r="21" spans="1:19">
      <c r="A21" t="s">
        <v>19</v>
      </c>
      <c r="B21">
        <v>4368</v>
      </c>
      <c r="C21">
        <v>1256.5830000000001</v>
      </c>
      <c r="D21">
        <v>295.60399999999998</v>
      </c>
      <c r="E21">
        <v>4.0114939999999999</v>
      </c>
      <c r="F21">
        <v>1.3570497000000001E-2</v>
      </c>
      <c r="G21">
        <v>960.97230000000002</v>
      </c>
      <c r="H21">
        <v>-7.913227</v>
      </c>
      <c r="I21">
        <v>-8.2346043000000001E-3</v>
      </c>
      <c r="J21">
        <v>-3.9017330000000001</v>
      </c>
      <c r="K21">
        <v>-3.1050346000000002E-3</v>
      </c>
      <c r="L21">
        <v>1188.6110000000001</v>
      </c>
      <c r="M21">
        <v>2.152741E-2</v>
      </c>
      <c r="N21">
        <v>5.2455328000000001E-3</v>
      </c>
      <c r="O21">
        <v>67.968950000000007</v>
      </c>
      <c r="P21">
        <v>-9.5902708999999996E-3</v>
      </c>
      <c r="Q21">
        <v>-2.3447505999999998E-3</v>
      </c>
      <c r="R21">
        <v>-0.65184059999999999</v>
      </c>
      <c r="S21">
        <v>25.587710000000001</v>
      </c>
    </row>
    <row r="22" spans="1:19">
      <c r="A22" t="s">
        <v>20</v>
      </c>
      <c r="B22">
        <v>4376</v>
      </c>
      <c r="C22">
        <v>1243.442</v>
      </c>
      <c r="D22">
        <v>301.41649999999998</v>
      </c>
      <c r="E22">
        <v>4.6191560000000003</v>
      </c>
      <c r="F22">
        <v>1.5324829E-2</v>
      </c>
      <c r="G22">
        <v>942.02250000000004</v>
      </c>
      <c r="H22">
        <v>-7.6955739999999997</v>
      </c>
      <c r="I22">
        <v>-8.1692039999999994E-3</v>
      </c>
      <c r="J22">
        <v>-3.0764179999999999</v>
      </c>
      <c r="K22">
        <v>-2.4741145000000001E-3</v>
      </c>
      <c r="L22">
        <v>1180.175</v>
      </c>
      <c r="M22">
        <v>2.1693533000000001E-2</v>
      </c>
      <c r="N22">
        <v>5.2787983E-3</v>
      </c>
      <c r="O22">
        <v>63.264969999999998</v>
      </c>
      <c r="P22">
        <v>-9.8057509999999997E-3</v>
      </c>
      <c r="Q22">
        <v>-2.3952143000000002E-3</v>
      </c>
      <c r="R22">
        <v>-0.62036049999999998</v>
      </c>
      <c r="S22">
        <v>25.602170000000001</v>
      </c>
    </row>
    <row r="23" spans="1:19">
      <c r="A23" t="s">
        <v>21</v>
      </c>
      <c r="B23">
        <v>4382</v>
      </c>
      <c r="C23">
        <v>1255.117</v>
      </c>
      <c r="D23">
        <v>287.45780000000002</v>
      </c>
      <c r="E23">
        <v>4.1683490000000001</v>
      </c>
      <c r="F23">
        <v>1.4500735000000001E-2</v>
      </c>
      <c r="G23">
        <v>967.654</v>
      </c>
      <c r="H23">
        <v>-7.5478040000000002</v>
      </c>
      <c r="I23">
        <v>-7.8001060000000002E-3</v>
      </c>
      <c r="J23">
        <v>-3.3794550000000001</v>
      </c>
      <c r="K23">
        <v>-2.6925406E-3</v>
      </c>
      <c r="L23">
        <v>1179.4269999999999</v>
      </c>
      <c r="M23">
        <v>2.1660560999999998E-2</v>
      </c>
      <c r="N23">
        <v>5.2783168000000002E-3</v>
      </c>
      <c r="O23">
        <v>75.687939999999998</v>
      </c>
      <c r="P23">
        <v>-9.3571581000000004E-3</v>
      </c>
      <c r="Q23">
        <v>-2.2919872000000002E-3</v>
      </c>
      <c r="R23">
        <v>-0.70822410000000002</v>
      </c>
      <c r="S23">
        <v>25.547049999999999</v>
      </c>
    </row>
    <row r="24" spans="1:19">
      <c r="A24" t="s">
        <v>34</v>
      </c>
      <c r="B24">
        <v>4382</v>
      </c>
      <c r="C24">
        <v>1245.7380000000001</v>
      </c>
      <c r="D24">
        <v>303.83839999999998</v>
      </c>
      <c r="E24">
        <v>4.6120380000000001</v>
      </c>
      <c r="F24">
        <v>1.5179244E-2</v>
      </c>
      <c r="G24">
        <v>941.89469999999994</v>
      </c>
      <c r="H24">
        <v>-7.690925</v>
      </c>
      <c r="I24">
        <v>-8.1653763000000008E-3</v>
      </c>
      <c r="J24">
        <v>-3.0788869999999999</v>
      </c>
      <c r="K24">
        <v>-2.4715361999999999E-3</v>
      </c>
      <c r="L24">
        <v>1170.875</v>
      </c>
      <c r="M24">
        <v>2.186227E-2</v>
      </c>
      <c r="N24">
        <v>5.3163011999999999E-3</v>
      </c>
      <c r="O24">
        <v>74.861930000000001</v>
      </c>
      <c r="P24">
        <v>-9.4845295E-3</v>
      </c>
      <c r="Q24">
        <v>-2.3128020000000001E-3</v>
      </c>
      <c r="R24">
        <v>-0.71003019999999994</v>
      </c>
      <c r="S24">
        <v>25.597989999999999</v>
      </c>
    </row>
    <row r="25" spans="1:19">
      <c r="A25" t="s">
        <v>22</v>
      </c>
      <c r="B25">
        <v>4384</v>
      </c>
      <c r="C25">
        <v>727.78629999999998</v>
      </c>
      <c r="D25">
        <v>205.78440000000001</v>
      </c>
      <c r="E25">
        <v>3.8447680000000002</v>
      </c>
      <c r="F25">
        <v>1.8683476000000001E-2</v>
      </c>
      <c r="G25">
        <v>522.00199999999995</v>
      </c>
      <c r="H25">
        <v>-5.7564310000000001</v>
      </c>
      <c r="I25">
        <v>-1.1027601999999999E-2</v>
      </c>
      <c r="J25">
        <v>-1.9116629999999999</v>
      </c>
      <c r="K25">
        <v>-2.6266816999999999E-3</v>
      </c>
      <c r="L25">
        <v>686.40260000000001</v>
      </c>
      <c r="M25">
        <v>2.3178423E-2</v>
      </c>
      <c r="N25">
        <v>5.5882431999999998E-3</v>
      </c>
      <c r="O25">
        <v>41.385010000000001</v>
      </c>
      <c r="P25">
        <v>-1.0801913999999999E-2</v>
      </c>
      <c r="Q25">
        <v>-2.6142534000000001E-3</v>
      </c>
      <c r="R25">
        <v>-0.44703730000000003</v>
      </c>
      <c r="S25">
        <v>15.90973</v>
      </c>
    </row>
    <row r="26" spans="1:19">
      <c r="A26" t="s">
        <v>23</v>
      </c>
      <c r="B26">
        <v>4386</v>
      </c>
      <c r="C26">
        <v>1238.3320000000001</v>
      </c>
      <c r="D26">
        <v>274.64909999999998</v>
      </c>
      <c r="E26">
        <v>3.8339500000000002</v>
      </c>
      <c r="F26">
        <v>1.3959444999999999E-2</v>
      </c>
      <c r="G26">
        <v>963.67629999999997</v>
      </c>
      <c r="H26">
        <v>-8.0824099999999994</v>
      </c>
      <c r="I26">
        <v>-8.3870590000000005E-3</v>
      </c>
      <c r="J26">
        <v>-4.2484599999999997</v>
      </c>
      <c r="K26">
        <v>-3.4307932999999998E-3</v>
      </c>
      <c r="L26">
        <v>1163.384</v>
      </c>
      <c r="M26">
        <v>2.1737320000000001E-2</v>
      </c>
      <c r="N26">
        <v>5.2905525000000002E-3</v>
      </c>
      <c r="O26">
        <v>74.946910000000003</v>
      </c>
      <c r="P26">
        <v>-1.0568315E-2</v>
      </c>
      <c r="Q26">
        <v>-2.58844E-3</v>
      </c>
      <c r="R26">
        <v>-0.79206259999999995</v>
      </c>
      <c r="S26">
        <v>25.28884</v>
      </c>
    </row>
    <row r="27" spans="1:19">
      <c r="A27" t="s">
        <v>24</v>
      </c>
      <c r="B27">
        <v>4386</v>
      </c>
      <c r="C27">
        <v>1253.1849999999999</v>
      </c>
      <c r="D27">
        <v>295.89679999999998</v>
      </c>
      <c r="E27">
        <v>4.3819629999999998</v>
      </c>
      <c r="F27">
        <v>1.4809093000000001E-2</v>
      </c>
      <c r="G27">
        <v>957.28150000000005</v>
      </c>
      <c r="H27">
        <v>-7.5000660000000003</v>
      </c>
      <c r="I27">
        <v>-7.8347548999999992E-3</v>
      </c>
      <c r="J27">
        <v>-3.1181030000000001</v>
      </c>
      <c r="K27">
        <v>-2.4881427999999999E-3</v>
      </c>
      <c r="L27">
        <v>1177.817</v>
      </c>
      <c r="M27">
        <v>2.1672588E-2</v>
      </c>
      <c r="N27">
        <v>5.2794911999999999E-3</v>
      </c>
      <c r="O27">
        <v>75.364919999999998</v>
      </c>
      <c r="P27">
        <v>-1.0461028000000001E-2</v>
      </c>
      <c r="Q27">
        <v>-2.5597224000000001E-3</v>
      </c>
      <c r="R27">
        <v>-0.7883945</v>
      </c>
      <c r="S27">
        <v>25.526340000000001</v>
      </c>
    </row>
    <row r="28" spans="1:19">
      <c r="A28" t="s">
        <v>25</v>
      </c>
      <c r="B28">
        <v>4396</v>
      </c>
      <c r="C28">
        <v>1427.068</v>
      </c>
      <c r="D28">
        <v>324.97070000000002</v>
      </c>
      <c r="E28">
        <v>4.5788450000000003</v>
      </c>
      <c r="F28">
        <v>1.4090023E-2</v>
      </c>
      <c r="G28">
        <v>1102.087</v>
      </c>
      <c r="H28">
        <v>-8.4800500000000003</v>
      </c>
      <c r="I28">
        <v>-7.6945410000000001E-3</v>
      </c>
      <c r="J28">
        <v>-3.9012060000000002</v>
      </c>
      <c r="K28">
        <v>-2.7337213999999999E-3</v>
      </c>
      <c r="L28">
        <v>1336.8720000000001</v>
      </c>
      <c r="M28">
        <v>2.1047287000000001E-2</v>
      </c>
      <c r="N28">
        <v>5.1317764000000004E-3</v>
      </c>
      <c r="O28">
        <v>90.192899999999995</v>
      </c>
      <c r="P28">
        <v>-1.3201864000000001E-2</v>
      </c>
      <c r="Q28">
        <v>-3.2181471999999998E-3</v>
      </c>
      <c r="R28">
        <v>-1.1907140000000001</v>
      </c>
      <c r="S28">
        <v>28.137530000000002</v>
      </c>
    </row>
    <row r="29" spans="1:19">
      <c r="A29" t="s">
        <v>26</v>
      </c>
      <c r="B29">
        <v>4496</v>
      </c>
      <c r="C29">
        <v>1097.9860000000001</v>
      </c>
      <c r="D29">
        <v>172.65860000000001</v>
      </c>
      <c r="E29">
        <v>2.0514139999999998</v>
      </c>
      <c r="F29">
        <v>1.1881338E-2</v>
      </c>
      <c r="G29">
        <v>925.32650000000001</v>
      </c>
      <c r="H29">
        <v>-9.0791109999999993</v>
      </c>
      <c r="I29">
        <v>-9.8117924999999995E-3</v>
      </c>
      <c r="J29">
        <v>-7.0276969999999999</v>
      </c>
      <c r="K29">
        <v>-6.4005325999999998E-3</v>
      </c>
      <c r="L29">
        <v>1039.6220000000001</v>
      </c>
      <c r="M29">
        <v>2.6058072000000002E-2</v>
      </c>
      <c r="N29">
        <v>6.3251304000000001E-3</v>
      </c>
      <c r="O29">
        <v>58.363999999999997</v>
      </c>
      <c r="P29">
        <v>-7.8805247000000005E-3</v>
      </c>
      <c r="Q29">
        <v>-1.9244307E-3</v>
      </c>
      <c r="R29">
        <v>-0.45993889999999998</v>
      </c>
      <c r="S29">
        <v>27.090530000000001</v>
      </c>
    </row>
    <row r="30" spans="1:19">
      <c r="A30" t="s">
        <v>27</v>
      </c>
      <c r="B30">
        <v>4616</v>
      </c>
      <c r="C30">
        <v>1096.1320000000001</v>
      </c>
      <c r="D30">
        <v>204.50280000000001</v>
      </c>
      <c r="E30">
        <v>3.6255480000000002</v>
      </c>
      <c r="F30">
        <v>1.7728601E-2</v>
      </c>
      <c r="G30">
        <v>891.62620000000004</v>
      </c>
      <c r="H30">
        <v>-9.3591829999999998</v>
      </c>
      <c r="I30">
        <v>-1.0496757000000001E-2</v>
      </c>
      <c r="J30">
        <v>-5.7336359999999997</v>
      </c>
      <c r="K30">
        <v>-5.2307886000000003E-3</v>
      </c>
      <c r="L30">
        <v>923.50009999999997</v>
      </c>
      <c r="M30">
        <v>2.5742443E-2</v>
      </c>
      <c r="N30">
        <v>6.2495129999999999E-3</v>
      </c>
      <c r="O30">
        <v>172.62649999999999</v>
      </c>
      <c r="P30">
        <v>-1.2041665999999999E-2</v>
      </c>
      <c r="Q30">
        <v>-2.9360314000000001E-3</v>
      </c>
      <c r="R30">
        <v>-2.0787100000000001</v>
      </c>
      <c r="S30">
        <v>23.773150000000001</v>
      </c>
    </row>
    <row r="31" spans="1:19">
      <c r="A31" t="s">
        <v>28</v>
      </c>
      <c r="B31">
        <v>4599</v>
      </c>
      <c r="C31">
        <v>681.93589999999995</v>
      </c>
      <c r="D31">
        <v>162.52610000000001</v>
      </c>
      <c r="E31">
        <v>3.2541579999999999</v>
      </c>
      <c r="F31">
        <v>2.0022370000000001E-2</v>
      </c>
      <c r="G31">
        <v>519.40859999999998</v>
      </c>
      <c r="H31">
        <v>-8.425421</v>
      </c>
      <c r="I31">
        <v>-1.6221181000000001E-2</v>
      </c>
      <c r="J31">
        <v>-5.1712629999999997</v>
      </c>
      <c r="K31">
        <v>-7.5832097999999999E-3</v>
      </c>
      <c r="L31">
        <v>651.33540000000005</v>
      </c>
      <c r="M31">
        <v>2.8248479999999999E-2</v>
      </c>
      <c r="N31">
        <v>6.8069682000000001E-3</v>
      </c>
      <c r="O31">
        <v>30.600999999999999</v>
      </c>
      <c r="P31">
        <v>-8.2180033999999999E-3</v>
      </c>
      <c r="Q31">
        <v>-1.9958661999999999E-3</v>
      </c>
      <c r="R31">
        <v>-0.25147910000000001</v>
      </c>
      <c r="S31">
        <v>18.399229999999999</v>
      </c>
    </row>
    <row r="32" spans="1:19">
      <c r="A32" t="s">
        <v>29</v>
      </c>
      <c r="B32">
        <v>4600</v>
      </c>
      <c r="C32">
        <v>672.03549999999996</v>
      </c>
      <c r="D32">
        <v>147.39930000000001</v>
      </c>
      <c r="E32">
        <v>3.208037</v>
      </c>
      <c r="F32">
        <v>2.1764258000000002E-2</v>
      </c>
      <c r="G32">
        <v>524.63599999999997</v>
      </c>
      <c r="H32">
        <v>-8.3638030000000008</v>
      </c>
      <c r="I32">
        <v>-1.5942103999999999E-2</v>
      </c>
      <c r="J32">
        <v>-5.1557659999999998</v>
      </c>
      <c r="K32">
        <v>-7.6718660999999999E-3</v>
      </c>
      <c r="L32">
        <v>638.73900000000003</v>
      </c>
      <c r="M32">
        <v>2.8636768E-2</v>
      </c>
      <c r="N32">
        <v>6.9024228000000003E-3</v>
      </c>
      <c r="O32">
        <v>33.296999999999997</v>
      </c>
      <c r="P32">
        <v>-9.2289215000000008E-3</v>
      </c>
      <c r="Q32">
        <v>-2.2430321999999999E-3</v>
      </c>
      <c r="R32">
        <v>-0.3072954</v>
      </c>
      <c r="S32">
        <v>18.291419999999999</v>
      </c>
    </row>
    <row r="33" spans="1:19">
      <c r="A33" t="s">
        <v>30</v>
      </c>
      <c r="B33">
        <v>4599</v>
      </c>
      <c r="C33">
        <v>664.22029999999995</v>
      </c>
      <c r="D33">
        <v>146.40819999999999</v>
      </c>
      <c r="E33">
        <v>3.165473</v>
      </c>
      <c r="F33">
        <v>2.162087E-2</v>
      </c>
      <c r="G33">
        <v>517.8116</v>
      </c>
      <c r="H33">
        <v>-8.2964289999999998</v>
      </c>
      <c r="I33">
        <v>-1.6022099000000001E-2</v>
      </c>
      <c r="J33">
        <v>-5.1309560000000003</v>
      </c>
      <c r="K33">
        <v>-7.7247792000000003E-3</v>
      </c>
      <c r="L33">
        <v>634.01750000000004</v>
      </c>
      <c r="M33">
        <v>2.8525636E-2</v>
      </c>
      <c r="N33">
        <v>6.8740983999999996E-3</v>
      </c>
      <c r="O33">
        <v>30.20299</v>
      </c>
      <c r="P33">
        <v>-9.4271870000000001E-3</v>
      </c>
      <c r="Q33">
        <v>-2.2962034999999999E-3</v>
      </c>
      <c r="R33">
        <v>-0.28472920000000002</v>
      </c>
      <c r="S33">
        <v>18.085750000000001</v>
      </c>
    </row>
    <row r="34" spans="1:19">
      <c r="A34" t="s">
        <v>31</v>
      </c>
      <c r="B34">
        <v>10032</v>
      </c>
      <c r="C34">
        <v>2908.7579999999998</v>
      </c>
      <c r="D34">
        <v>841.63549999999998</v>
      </c>
      <c r="E34">
        <v>7.81616</v>
      </c>
      <c r="F34">
        <v>9.2868711999999996E-3</v>
      </c>
      <c r="G34">
        <v>2067.1170000000002</v>
      </c>
      <c r="H34">
        <v>-19.493590000000001</v>
      </c>
      <c r="I34">
        <v>-9.4303275000000002E-3</v>
      </c>
      <c r="J34">
        <v>-11.677429999999999</v>
      </c>
      <c r="K34">
        <v>-4.0145759000000001E-3</v>
      </c>
      <c r="L34">
        <v>2457.973</v>
      </c>
      <c r="M34">
        <v>1.9402334E-2</v>
      </c>
      <c r="N34">
        <v>4.6962490000000004E-3</v>
      </c>
      <c r="O34">
        <v>450.78789999999998</v>
      </c>
      <c r="P34">
        <v>-9.3029662999999999E-3</v>
      </c>
      <c r="Q34">
        <v>-2.2742215000000001E-3</v>
      </c>
      <c r="R34">
        <v>-4.1936650000000002</v>
      </c>
      <c r="S34">
        <v>47.69041</v>
      </c>
    </row>
    <row r="35" spans="1:19">
      <c r="A35" t="s">
        <v>32</v>
      </c>
      <c r="B35">
        <v>10214</v>
      </c>
      <c r="C35">
        <v>3054.8789999999999</v>
      </c>
      <c r="D35">
        <v>842.16869999999994</v>
      </c>
      <c r="E35">
        <v>9.1294219999999999</v>
      </c>
      <c r="F35">
        <v>1.0840371999999999E-2</v>
      </c>
      <c r="G35">
        <v>2212.7109999999998</v>
      </c>
      <c r="H35">
        <v>-21.19472</v>
      </c>
      <c r="I35">
        <v>-9.5786229000000001E-3</v>
      </c>
      <c r="J35">
        <v>-12.065300000000001</v>
      </c>
      <c r="K35">
        <v>-3.9495182999999996E-3</v>
      </c>
      <c r="L35">
        <v>2586.3780000000002</v>
      </c>
      <c r="M35">
        <v>1.9603659999999998E-2</v>
      </c>
      <c r="N35">
        <v>4.7545456E-3</v>
      </c>
      <c r="O35">
        <v>468.49189999999999</v>
      </c>
      <c r="P35">
        <v>-1.0998131E-2</v>
      </c>
      <c r="Q35">
        <v>-2.6836121000000002E-3</v>
      </c>
      <c r="R35">
        <v>-5.1525350000000003</v>
      </c>
      <c r="S35">
        <v>50.702469999999998</v>
      </c>
    </row>
    <row r="36" spans="1:19">
      <c r="A36" t="s">
        <v>33</v>
      </c>
      <c r="B36">
        <v>10355</v>
      </c>
      <c r="C36">
        <v>3357.7379999999998</v>
      </c>
      <c r="D36">
        <v>1146.8019999999999</v>
      </c>
      <c r="E36">
        <v>12.42074</v>
      </c>
      <c r="F36">
        <v>1.0830754999999999E-2</v>
      </c>
      <c r="G36">
        <v>2210.9650000000001</v>
      </c>
      <c r="H36">
        <v>-19.55179</v>
      </c>
      <c r="I36">
        <v>-8.8431033999999999E-3</v>
      </c>
      <c r="J36">
        <v>-7.1310510000000003</v>
      </c>
      <c r="K36">
        <v>-2.1237665999999998E-3</v>
      </c>
      <c r="L36">
        <v>2784.739</v>
      </c>
      <c r="M36">
        <v>1.8642617E-2</v>
      </c>
      <c r="N36">
        <v>4.5025869999999997E-3</v>
      </c>
      <c r="O36">
        <v>573.01610000000005</v>
      </c>
      <c r="P36">
        <v>-1.087699E-2</v>
      </c>
      <c r="Q36">
        <v>-2.6589977E-3</v>
      </c>
      <c r="R36">
        <v>-6.2326899999999998</v>
      </c>
      <c r="S36">
        <v>51.914830000000002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X37"/>
  <sheetViews>
    <sheetView zoomScale="75" zoomScaleNormal="75" workbookViewId="0">
      <selection activeCell="Y35" sqref="Y35"/>
    </sheetView>
  </sheetViews>
  <sheetFormatPr defaultRowHeight="15"/>
  <sheetData>
    <row r="1" spans="1:24">
      <c r="A1" s="1"/>
      <c r="B1" s="1" t="str">
        <f>"AA_pho_ind_1.4A"</f>
        <v>AA_pho_ind_1.4A</v>
      </c>
      <c r="C1" s="1" t="str">
        <f>"AA_pho_ind_2A"</f>
        <v>AA_pho_ind_2A</v>
      </c>
      <c r="D1" s="1" t="str">
        <f>"AA_pho_ind_3A"</f>
        <v>AA_pho_ind_3A</v>
      </c>
      <c r="E1" s="1" t="str">
        <f>"AA_pho_ind_4A"</f>
        <v>AA_pho_ind_4A</v>
      </c>
      <c r="F1" s="1" t="str">
        <f>"AA_pho_ind_5A"</f>
        <v>AA_pho_ind_5A</v>
      </c>
      <c r="G1" s="1" t="str">
        <f>"AA_pho_ind_6A"</f>
        <v>AA_pho_ind_6A</v>
      </c>
      <c r="H1" s="1" t="str">
        <f>"AA_pho_ind_7A"</f>
        <v>AA_pho_ind_7A</v>
      </c>
      <c r="I1" s="1" t="str">
        <f>"AA_pho_ind_8A"</f>
        <v>AA_pho_ind_8A</v>
      </c>
      <c r="J1" s="1" t="str">
        <f>"AA_pho_ind_9A"</f>
        <v>AA_pho_ind_9A</v>
      </c>
      <c r="K1" s="1" t="str">
        <f>"AA_pho_ind_10A"</f>
        <v>AA_pho_ind_10A</v>
      </c>
      <c r="L1" s="1" t="str">
        <f>"AA_pho_ind_11A"</f>
        <v>AA_pho_ind_11A</v>
      </c>
      <c r="M1" s="1" t="str">
        <f>"AA_pho_ind_12A"</f>
        <v>AA_pho_ind_12A</v>
      </c>
      <c r="N1" s="1" t="str">
        <f>"AA_pho_ind_13A"</f>
        <v>AA_pho_ind_13A</v>
      </c>
      <c r="O1" s="1" t="str">
        <f>"AA_pho_ind_14A"</f>
        <v>AA_pho_ind_14A</v>
      </c>
      <c r="P1" s="1" t="str">
        <f>"AA_pho_ind_15A"</f>
        <v>AA_pho_ind_15A</v>
      </c>
      <c r="Q1" s="1" t="str">
        <f>"AA_pho_ind_16A"</f>
        <v>AA_pho_ind_16A</v>
      </c>
      <c r="R1" s="1" t="str">
        <f>"AA_pho_ind_17A"</f>
        <v>AA_pho_ind_17A</v>
      </c>
      <c r="S1" s="1" t="str">
        <f>"AA_pho_ind_18A"</f>
        <v>AA_pho_ind_18A</v>
      </c>
      <c r="T1" s="1" t="str">
        <f>"AA_pho_ind_19A"</f>
        <v>AA_pho_ind_19A</v>
      </c>
      <c r="U1" s="1" t="str">
        <f>"AA_pho_ind_20A"</f>
        <v>AA_pho_ind_20A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-1.3652315E-2</v>
      </c>
      <c r="C3">
        <v>-1.4124071E-2</v>
      </c>
      <c r="D3">
        <v>-1.4354797000000001E-2</v>
      </c>
      <c r="E3">
        <v>-1.4389525E-2</v>
      </c>
      <c r="F3">
        <v>-1.4588689E-2</v>
      </c>
      <c r="G3">
        <v>-1.3893057E-2</v>
      </c>
      <c r="H3">
        <v>-1.4487316E-2</v>
      </c>
      <c r="I3">
        <v>-1.4313387E-2</v>
      </c>
      <c r="J3">
        <v>-1.4335123999999999E-2</v>
      </c>
      <c r="K3">
        <v>-1.4173280999999999E-2</v>
      </c>
      <c r="L3">
        <v>-1.4167542E-2</v>
      </c>
      <c r="M3">
        <v>-1.4609893000000001E-2</v>
      </c>
      <c r="N3">
        <v>-1.5217368E-2</v>
      </c>
      <c r="O3">
        <v>-1.5322379000000001E-2</v>
      </c>
      <c r="P3">
        <v>-1.5104611E-2</v>
      </c>
      <c r="Q3">
        <v>-1.5011962E-2</v>
      </c>
      <c r="R3">
        <v>-1.4582403000000001E-2</v>
      </c>
      <c r="S3">
        <v>-1.4607765999999999E-2</v>
      </c>
      <c r="T3">
        <v>-1.473177E-2</v>
      </c>
      <c r="U3">
        <v>-1.4688903E-2</v>
      </c>
    </row>
    <row r="4" spans="1:24">
      <c r="A4" t="s">
        <v>1</v>
      </c>
      <c r="B4">
        <v>-1.1528773000000001E-2</v>
      </c>
      <c r="C4">
        <v>-1.1610231E-2</v>
      </c>
      <c r="D4">
        <v>-1.1103768E-2</v>
      </c>
      <c r="E4">
        <v>-1.0806679E-2</v>
      </c>
      <c r="F4">
        <v>-1.0917789000000001E-2</v>
      </c>
      <c r="G4">
        <v>-1.0509457E-2</v>
      </c>
      <c r="H4">
        <v>-1.0717539999999999E-2</v>
      </c>
      <c r="I4">
        <v>-1.0827883E-2</v>
      </c>
      <c r="J4">
        <v>-1.069995E-2</v>
      </c>
      <c r="K4">
        <v>-1.0583973999999999E-2</v>
      </c>
      <c r="L4">
        <v>-1.1058211E-2</v>
      </c>
      <c r="M4">
        <v>-1.1375748E-2</v>
      </c>
      <c r="N4">
        <v>-1.1220252999999999E-2</v>
      </c>
      <c r="O4">
        <v>-1.1328948E-2</v>
      </c>
      <c r="P4">
        <v>-1.1215170999999999E-2</v>
      </c>
      <c r="Q4">
        <v>-1.1216357999999999E-2</v>
      </c>
      <c r="R4">
        <v>-1.1087792000000001E-2</v>
      </c>
      <c r="S4">
        <v>-1.1389668E-2</v>
      </c>
      <c r="T4">
        <v>-1.1448085E-2</v>
      </c>
      <c r="U4">
        <v>-1.1436385E-2</v>
      </c>
    </row>
    <row r="5" spans="1:24">
      <c r="A5" t="s">
        <v>2</v>
      </c>
      <c r="B5">
        <v>-1.2878232E-2</v>
      </c>
      <c r="C5">
        <v>-1.3191993000000001E-2</v>
      </c>
      <c r="D5">
        <v>-1.3542556000000001E-2</v>
      </c>
      <c r="E5">
        <v>-1.3404301E-2</v>
      </c>
      <c r="F5">
        <v>-1.3854145E-2</v>
      </c>
      <c r="G5">
        <v>-1.3735547000000001E-2</v>
      </c>
      <c r="H5">
        <v>-1.4108229E-2</v>
      </c>
      <c r="I5">
        <v>-1.4644337E-2</v>
      </c>
      <c r="J5">
        <v>-1.483924E-2</v>
      </c>
      <c r="K5">
        <v>-1.4900962E-2</v>
      </c>
      <c r="L5">
        <v>-1.5286741E-2</v>
      </c>
      <c r="M5">
        <v>-1.6070858E-2</v>
      </c>
      <c r="N5">
        <v>-1.6236244E-2</v>
      </c>
      <c r="O5">
        <v>-1.6193039999999999E-2</v>
      </c>
      <c r="P5">
        <v>-1.5614187999999999E-2</v>
      </c>
      <c r="Q5">
        <v>-1.5476835E-2</v>
      </c>
      <c r="R5">
        <v>-1.5251733999999999E-2</v>
      </c>
      <c r="S5">
        <v>-1.5313742999999999E-2</v>
      </c>
      <c r="T5">
        <v>-1.5193488E-2</v>
      </c>
      <c r="U5">
        <v>-1.514077E-2</v>
      </c>
    </row>
    <row r="6" spans="1:24">
      <c r="A6" t="s">
        <v>3</v>
      </c>
      <c r="B6">
        <v>-1.2636959999999999E-2</v>
      </c>
      <c r="C6">
        <v>-1.2487366999999999E-2</v>
      </c>
      <c r="D6">
        <v>-1.2693500999999999E-2</v>
      </c>
      <c r="E6">
        <v>-1.1994151999999999E-2</v>
      </c>
      <c r="F6">
        <v>-1.154239E-2</v>
      </c>
      <c r="G6">
        <v>-1.1957911E-2</v>
      </c>
      <c r="H6">
        <v>-1.2572491999999999E-2</v>
      </c>
      <c r="I6">
        <v>-1.2293757000000001E-2</v>
      </c>
      <c r="J6">
        <v>-1.2581510000000001E-2</v>
      </c>
      <c r="K6">
        <v>-1.2693991E-2</v>
      </c>
      <c r="L6">
        <v>-1.2419985999999999E-2</v>
      </c>
      <c r="M6">
        <v>-1.2371896E-2</v>
      </c>
      <c r="N6">
        <v>-1.2832909E-2</v>
      </c>
      <c r="O6">
        <v>-1.3116081E-2</v>
      </c>
      <c r="P6">
        <v>-1.2310117000000001E-2</v>
      </c>
      <c r="Q6">
        <v>-1.2219097E-2</v>
      </c>
      <c r="R6">
        <v>-1.1690723E-2</v>
      </c>
      <c r="S6">
        <v>-1.1606583E-2</v>
      </c>
      <c r="T6">
        <v>-1.0843596E-2</v>
      </c>
      <c r="U6">
        <v>-1.0364393E-2</v>
      </c>
    </row>
    <row r="7" spans="1:24">
      <c r="A7" t="s">
        <v>4</v>
      </c>
      <c r="B7">
        <v>-1.2528437999999999E-2</v>
      </c>
      <c r="C7">
        <v>-1.2502414E-2</v>
      </c>
      <c r="D7">
        <v>-1.2600889000000001E-2</v>
      </c>
      <c r="E7">
        <v>-1.209501E-2</v>
      </c>
      <c r="F7">
        <v>-1.1893488000000001E-2</v>
      </c>
      <c r="G7">
        <v>-1.1413847E-2</v>
      </c>
      <c r="H7">
        <v>-1.1900216999999999E-2</v>
      </c>
      <c r="I7">
        <v>-1.159896E-2</v>
      </c>
      <c r="J7">
        <v>-1.1664612E-2</v>
      </c>
      <c r="K7">
        <v>-1.0579402E-2</v>
      </c>
      <c r="L7">
        <v>-1.1255283E-2</v>
      </c>
      <c r="M7">
        <v>-1.1977118E-2</v>
      </c>
      <c r="N7">
        <v>-1.1006545E-2</v>
      </c>
      <c r="O7">
        <v>-1.1226305000000001E-2</v>
      </c>
      <c r="P7">
        <v>-1.1039767000000001E-2</v>
      </c>
      <c r="Q7">
        <v>-1.0774235E-2</v>
      </c>
      <c r="R7">
        <v>-1.089706E-2</v>
      </c>
      <c r="S7">
        <v>-1.0637143E-2</v>
      </c>
      <c r="T7">
        <v>-1.07654E-2</v>
      </c>
      <c r="U7">
        <v>-1.0766975E-2</v>
      </c>
    </row>
    <row r="8" spans="1:24">
      <c r="A8" t="s">
        <v>5</v>
      </c>
      <c r="B8">
        <v>-1.2663264E-2</v>
      </c>
      <c r="C8">
        <v>-1.2874975E-2</v>
      </c>
      <c r="D8">
        <v>-1.2971029E-2</v>
      </c>
      <c r="E8">
        <v>-1.2230174999999999E-2</v>
      </c>
      <c r="F8">
        <v>-1.2378228999999999E-2</v>
      </c>
      <c r="G8">
        <v>-1.2460705000000001E-2</v>
      </c>
      <c r="H8">
        <v>-1.3627765999999999E-2</v>
      </c>
      <c r="I8">
        <v>-1.3056376E-2</v>
      </c>
      <c r="J8">
        <v>-1.3408778999999999E-2</v>
      </c>
      <c r="K8">
        <v>-1.3813593000000001E-2</v>
      </c>
      <c r="L8">
        <v>-1.3293513E-2</v>
      </c>
      <c r="M8">
        <v>-1.3441946999999999E-2</v>
      </c>
      <c r="N8">
        <v>-1.3286941E-2</v>
      </c>
      <c r="O8">
        <v>-1.2984795E-2</v>
      </c>
      <c r="P8">
        <v>-1.2239547E-2</v>
      </c>
      <c r="Q8">
        <v>-1.1436185999999999E-2</v>
      </c>
      <c r="R8">
        <v>-1.1266171E-2</v>
      </c>
      <c r="S8">
        <v>-1.1526969999999999E-2</v>
      </c>
      <c r="T8">
        <v>-1.1846478000000001E-2</v>
      </c>
      <c r="U8">
        <v>-1.1840514999999999E-2</v>
      </c>
    </row>
    <row r="9" spans="1:24">
      <c r="A9" t="s">
        <v>6</v>
      </c>
      <c r="B9">
        <v>-1.2423316E-2</v>
      </c>
      <c r="C9">
        <v>-1.2629356E-2</v>
      </c>
      <c r="D9">
        <v>-1.2630433E-2</v>
      </c>
      <c r="E9">
        <v>-1.2088036999999999E-2</v>
      </c>
      <c r="F9">
        <v>-1.2039945E-2</v>
      </c>
      <c r="G9">
        <v>-1.2374072E-2</v>
      </c>
      <c r="H9">
        <v>-1.2210202999999999E-2</v>
      </c>
      <c r="I9">
        <v>-1.2051133E-2</v>
      </c>
      <c r="J9">
        <v>-1.2352645000000001E-2</v>
      </c>
      <c r="K9">
        <v>-1.1451563999999999E-2</v>
      </c>
      <c r="L9">
        <v>-1.1338028E-2</v>
      </c>
      <c r="M9">
        <v>-1.2109852000000001E-2</v>
      </c>
      <c r="N9">
        <v>-1.2443277000000001E-2</v>
      </c>
      <c r="O9">
        <v>-1.2367271000000001E-2</v>
      </c>
      <c r="P9">
        <v>-1.2681639999999999E-2</v>
      </c>
      <c r="Q9">
        <v>-1.2934892E-2</v>
      </c>
      <c r="R9">
        <v>-1.2805524E-2</v>
      </c>
      <c r="S9">
        <v>-1.2675962000000001E-2</v>
      </c>
      <c r="T9">
        <v>-1.2434049000000001E-2</v>
      </c>
      <c r="U9">
        <v>-1.243384E-2</v>
      </c>
    </row>
    <row r="10" spans="1:24">
      <c r="A10" t="s">
        <v>7</v>
      </c>
      <c r="B10">
        <v>-1.2197929999999999E-2</v>
      </c>
      <c r="C10">
        <v>-1.2001174999999999E-2</v>
      </c>
      <c r="D10">
        <v>-1.1677162E-2</v>
      </c>
      <c r="E10">
        <v>-1.0857166E-2</v>
      </c>
      <c r="F10">
        <v>-1.0972903000000001E-2</v>
      </c>
      <c r="G10">
        <v>-1.0326752E-2</v>
      </c>
      <c r="H10">
        <v>-1.0649809E-2</v>
      </c>
      <c r="I10">
        <v>-1.0483605999999999E-2</v>
      </c>
      <c r="J10">
        <v>-1.0677598E-2</v>
      </c>
      <c r="K10">
        <v>-1.0009476999999999E-2</v>
      </c>
      <c r="L10">
        <v>-1.0545825999999999E-2</v>
      </c>
      <c r="M10">
        <v>-1.0512957E-2</v>
      </c>
      <c r="N10">
        <v>-1.1012223999999999E-2</v>
      </c>
      <c r="O10">
        <v>-1.0994657E-2</v>
      </c>
      <c r="P10">
        <v>-1.0853056999999999E-2</v>
      </c>
      <c r="Q10">
        <v>-1.1401514E-2</v>
      </c>
      <c r="R10">
        <v>-1.0989957999999999E-2</v>
      </c>
      <c r="S10">
        <v>-1.1903067999999999E-2</v>
      </c>
      <c r="T10">
        <v>-1.2006943000000001E-2</v>
      </c>
      <c r="U10">
        <v>-1.1014384E-2</v>
      </c>
    </row>
    <row r="11" spans="1:24">
      <c r="A11" t="s">
        <v>8</v>
      </c>
      <c r="B11">
        <v>-1.2643022E-2</v>
      </c>
      <c r="C11">
        <v>-1.2609776E-2</v>
      </c>
      <c r="D11">
        <v>-1.2500716E-2</v>
      </c>
      <c r="E11">
        <v>-1.1932561E-2</v>
      </c>
      <c r="F11">
        <v>-1.2202073000000001E-2</v>
      </c>
      <c r="G11">
        <v>-1.1436379999999999E-2</v>
      </c>
      <c r="H11">
        <v>-1.1686129E-2</v>
      </c>
      <c r="I11">
        <v>-1.1514391000000001E-2</v>
      </c>
      <c r="J11">
        <v>-1.155952E-2</v>
      </c>
      <c r="K11">
        <v>-1.1297570999999999E-2</v>
      </c>
      <c r="L11">
        <v>-1.0863228000000001E-2</v>
      </c>
      <c r="M11">
        <v>-1.1221033E-2</v>
      </c>
      <c r="N11">
        <v>-1.0545139E-2</v>
      </c>
      <c r="O11">
        <v>-9.9822934999999995E-3</v>
      </c>
      <c r="P11">
        <v>-9.8776734000000001E-3</v>
      </c>
      <c r="Q11">
        <v>-1.0349267000000001E-2</v>
      </c>
      <c r="R11">
        <v>-1.0547785E-2</v>
      </c>
      <c r="S11">
        <v>-1.1216784E-2</v>
      </c>
      <c r="T11">
        <v>-1.2069165E-2</v>
      </c>
      <c r="U11">
        <v>-1.2071920999999999E-2</v>
      </c>
    </row>
    <row r="12" spans="1:24">
      <c r="A12" t="s">
        <v>9</v>
      </c>
      <c r="B12">
        <v>-8.2502514000000002E-3</v>
      </c>
      <c r="C12">
        <v>-7.9125742999999991E-3</v>
      </c>
      <c r="D12">
        <v>-7.7424464000000002E-3</v>
      </c>
      <c r="E12">
        <v>-7.3241931000000001E-3</v>
      </c>
      <c r="F12">
        <v>-7.5146164999999997E-3</v>
      </c>
      <c r="G12">
        <v>-7.1957223000000004E-3</v>
      </c>
      <c r="H12">
        <v>-7.2838323999999998E-3</v>
      </c>
      <c r="I12">
        <v>-7.3905988000000002E-3</v>
      </c>
      <c r="J12">
        <v>-7.4550611999999999E-3</v>
      </c>
      <c r="K12">
        <v>-7.3411301999999996E-3</v>
      </c>
      <c r="L12">
        <v>-7.9164477000000007E-3</v>
      </c>
      <c r="M12">
        <v>-7.5695040000000003E-3</v>
      </c>
      <c r="N12">
        <v>-7.3322732999999999E-3</v>
      </c>
      <c r="O12">
        <v>-7.2346032000000001E-3</v>
      </c>
      <c r="P12">
        <v>-7.2279177000000002E-3</v>
      </c>
      <c r="Q12">
        <v>-7.3882508999999997E-3</v>
      </c>
      <c r="R12">
        <v>-7.3744641000000003E-3</v>
      </c>
      <c r="S12">
        <v>-7.4986736000000002E-3</v>
      </c>
      <c r="T12">
        <v>-7.4260202000000003E-3</v>
      </c>
      <c r="U12">
        <v>-7.5383749999999999E-3</v>
      </c>
    </row>
    <row r="13" spans="1:24">
      <c r="A13" t="s">
        <v>10</v>
      </c>
      <c r="B13">
        <v>-8.3104362999999997E-3</v>
      </c>
      <c r="C13">
        <v>-7.9513964999999992E-3</v>
      </c>
      <c r="D13">
        <v>-7.6860356999999997E-3</v>
      </c>
      <c r="E13">
        <v>-7.4151508E-3</v>
      </c>
      <c r="F13">
        <v>-7.6414971000000002E-3</v>
      </c>
      <c r="G13">
        <v>-7.4096535999999998E-3</v>
      </c>
      <c r="H13">
        <v>-7.5649204999999999E-3</v>
      </c>
      <c r="I13">
        <v>-7.3909316999999997E-3</v>
      </c>
      <c r="J13">
        <v>-7.4918064999999999E-3</v>
      </c>
      <c r="K13">
        <v>-7.1776434999999998E-3</v>
      </c>
      <c r="L13">
        <v>-7.4856033999999997E-3</v>
      </c>
      <c r="M13">
        <v>-7.5400694999999997E-3</v>
      </c>
      <c r="N13">
        <v>-7.3155067000000001E-3</v>
      </c>
      <c r="O13">
        <v>-7.2572892999999998E-3</v>
      </c>
      <c r="P13">
        <v>-7.2068096999999996E-3</v>
      </c>
      <c r="Q13">
        <v>-7.3545253999999999E-3</v>
      </c>
      <c r="R13">
        <v>-7.3586474000000004E-3</v>
      </c>
      <c r="S13">
        <v>-7.0845378000000004E-3</v>
      </c>
      <c r="T13">
        <v>-7.0674861999999996E-3</v>
      </c>
      <c r="U13">
        <v>-7.0679039000000003E-3</v>
      </c>
    </row>
    <row r="14" spans="1:24">
      <c r="A14" t="s">
        <v>11</v>
      </c>
      <c r="B14">
        <v>-8.4168082000000005E-3</v>
      </c>
      <c r="C14">
        <v>-7.9673816999999997E-3</v>
      </c>
      <c r="D14">
        <v>-7.9325492999999993E-3</v>
      </c>
      <c r="E14">
        <v>-7.5761153999999997E-3</v>
      </c>
      <c r="F14">
        <v>-7.9316570999999995E-3</v>
      </c>
      <c r="G14">
        <v>-7.7432357E-3</v>
      </c>
      <c r="H14">
        <v>-7.7382246999999999E-3</v>
      </c>
      <c r="I14">
        <v>-7.4949869999999998E-3</v>
      </c>
      <c r="J14">
        <v>-7.6238848000000003E-3</v>
      </c>
      <c r="K14">
        <v>-7.5897196999999998E-3</v>
      </c>
      <c r="L14">
        <v>-7.8159226000000005E-3</v>
      </c>
      <c r="M14">
        <v>-7.6657076999999997E-3</v>
      </c>
      <c r="N14">
        <v>-7.5081708E-3</v>
      </c>
      <c r="O14">
        <v>-7.4323610999999998E-3</v>
      </c>
      <c r="P14">
        <v>-7.4473443000000004E-3</v>
      </c>
      <c r="Q14">
        <v>-7.6164617000000004E-3</v>
      </c>
      <c r="R14">
        <v>-7.6331315000000002E-3</v>
      </c>
      <c r="S14">
        <v>-7.6865479E-3</v>
      </c>
      <c r="T14">
        <v>-7.5762370000000004E-3</v>
      </c>
      <c r="U14">
        <v>-7.6385159000000001E-3</v>
      </c>
    </row>
    <row r="15" spans="1:24">
      <c r="A15" t="s">
        <v>12</v>
      </c>
      <c r="B15">
        <v>-8.0752922000000005E-3</v>
      </c>
      <c r="C15">
        <v>-8.2383221000000006E-3</v>
      </c>
      <c r="D15">
        <v>-8.0918324999999999E-3</v>
      </c>
      <c r="E15">
        <v>-7.8901862999999992E-3</v>
      </c>
      <c r="F15">
        <v>-7.9924026999999998E-3</v>
      </c>
      <c r="G15">
        <v>-7.7221160999999998E-3</v>
      </c>
      <c r="H15">
        <v>-8.0439728000000002E-3</v>
      </c>
      <c r="I15">
        <v>-7.9220273000000004E-3</v>
      </c>
      <c r="J15">
        <v>-7.9683028000000003E-3</v>
      </c>
      <c r="K15">
        <v>-7.7062831E-3</v>
      </c>
      <c r="L15">
        <v>-8.1619350000000004E-3</v>
      </c>
      <c r="M15">
        <v>-8.2567651000000006E-3</v>
      </c>
      <c r="N15">
        <v>-8.1725875E-3</v>
      </c>
      <c r="O15">
        <v>-8.1003010000000007E-3</v>
      </c>
      <c r="P15">
        <v>-7.8717796E-3</v>
      </c>
      <c r="Q15">
        <v>-7.8972056999999998E-3</v>
      </c>
      <c r="R15">
        <v>-7.8006233000000001E-3</v>
      </c>
      <c r="S15">
        <v>-7.9002333999999997E-3</v>
      </c>
      <c r="T15">
        <v>-7.8040072999999996E-3</v>
      </c>
      <c r="U15">
        <v>-7.8185331000000004E-3</v>
      </c>
    </row>
    <row r="16" spans="1:24">
      <c r="A16" t="s">
        <v>13</v>
      </c>
      <c r="B16">
        <v>-1.2615191E-2</v>
      </c>
      <c r="C16">
        <v>-1.2376649E-2</v>
      </c>
      <c r="D16">
        <v>-1.1768631999999999E-2</v>
      </c>
      <c r="E16">
        <v>-1.1098385000000001E-2</v>
      </c>
      <c r="F16">
        <v>-1.0588801E-2</v>
      </c>
      <c r="G16">
        <v>-1.0252155000000001E-2</v>
      </c>
      <c r="H16">
        <v>-1.0596912E-2</v>
      </c>
      <c r="I16">
        <v>-1.022264E-2</v>
      </c>
      <c r="J16">
        <v>-1.0229967E-2</v>
      </c>
      <c r="K16">
        <v>-1.0184906000000001E-2</v>
      </c>
      <c r="L16">
        <v>-1.0495294E-2</v>
      </c>
      <c r="M16">
        <v>-1.1079662000000001E-2</v>
      </c>
      <c r="N16">
        <v>-1.1218456E-2</v>
      </c>
      <c r="O16">
        <v>-1.1285681000000001E-2</v>
      </c>
      <c r="P16">
        <v>-1.0973412E-2</v>
      </c>
      <c r="Q16">
        <v>-1.0568648999999999E-2</v>
      </c>
      <c r="R16">
        <v>-9.9216168999999993E-3</v>
      </c>
      <c r="S16">
        <v>-1.0212066000000001E-2</v>
      </c>
      <c r="T16">
        <v>-1.062951E-2</v>
      </c>
      <c r="U16">
        <v>-1.0854878E-2</v>
      </c>
    </row>
    <row r="17" spans="1:21">
      <c r="A17" t="s">
        <v>14</v>
      </c>
      <c r="B17">
        <v>-1.2605668E-2</v>
      </c>
      <c r="C17">
        <v>-1.2414552000000001E-2</v>
      </c>
      <c r="D17">
        <v>-1.1567034E-2</v>
      </c>
      <c r="E17">
        <v>-1.1069842E-2</v>
      </c>
      <c r="F17">
        <v>-1.1333670000000001E-2</v>
      </c>
      <c r="G17">
        <v>-1.0362296E-2</v>
      </c>
      <c r="H17">
        <v>-1.0364424000000001E-2</v>
      </c>
      <c r="I17">
        <v>-1.0450233999999999E-2</v>
      </c>
      <c r="J17">
        <v>-1.0487431E-2</v>
      </c>
      <c r="K17">
        <v>-1.0547663000000001E-2</v>
      </c>
      <c r="L17">
        <v>-1.0863434999999999E-2</v>
      </c>
      <c r="M17">
        <v>-1.0615237E-2</v>
      </c>
      <c r="N17">
        <v>-1.0523032E-2</v>
      </c>
      <c r="O17">
        <v>-1.0425202E-2</v>
      </c>
      <c r="P17">
        <v>-1.0294757999999999E-2</v>
      </c>
      <c r="Q17">
        <v>-1.0470119999999999E-2</v>
      </c>
      <c r="R17">
        <v>-1.0370025999999999E-2</v>
      </c>
      <c r="S17">
        <v>-1.0926562000000001E-2</v>
      </c>
      <c r="T17">
        <v>-1.1202073E-2</v>
      </c>
      <c r="U17">
        <v>-1.1312598E-2</v>
      </c>
    </row>
    <row r="18" spans="1:21">
      <c r="A18" t="s">
        <v>15</v>
      </c>
      <c r="B18">
        <v>-1.3042846E-2</v>
      </c>
      <c r="C18">
        <v>-1.3073384E-2</v>
      </c>
      <c r="D18">
        <v>-1.2523816E-2</v>
      </c>
      <c r="E18">
        <v>-1.1978216999999999E-2</v>
      </c>
      <c r="F18">
        <v>-1.208475E-2</v>
      </c>
      <c r="G18">
        <v>-1.1723358999999999E-2</v>
      </c>
      <c r="H18">
        <v>-1.1936652000000001E-2</v>
      </c>
      <c r="I18">
        <v>-1.2041398E-2</v>
      </c>
      <c r="J18">
        <v>-1.2223734999999999E-2</v>
      </c>
      <c r="K18">
        <v>-1.1831123000000001E-2</v>
      </c>
      <c r="L18">
        <v>-1.2071081000000001E-2</v>
      </c>
      <c r="M18">
        <v>-1.2296071E-2</v>
      </c>
      <c r="N18">
        <v>-1.2244985E-2</v>
      </c>
      <c r="O18">
        <v>-1.2120519999999999E-2</v>
      </c>
      <c r="P18">
        <v>-1.1627576000000001E-2</v>
      </c>
      <c r="Q18">
        <v>-1.1496195000000001E-2</v>
      </c>
      <c r="R18">
        <v>-1.1385662E-2</v>
      </c>
      <c r="S18">
        <v>-1.1912046000000001E-2</v>
      </c>
      <c r="T18">
        <v>-1.2285658E-2</v>
      </c>
      <c r="U18">
        <v>-1.2083518999999999E-2</v>
      </c>
    </row>
    <row r="19" spans="1:21">
      <c r="A19" t="s">
        <v>16</v>
      </c>
      <c r="B19">
        <v>-1.2764058999999999E-2</v>
      </c>
      <c r="C19">
        <v>-1.2616015E-2</v>
      </c>
      <c r="D19">
        <v>-1.1674597E-2</v>
      </c>
      <c r="E19">
        <v>-1.0823737E-2</v>
      </c>
      <c r="F19">
        <v>-1.0457721999999999E-2</v>
      </c>
      <c r="G19">
        <v>-9.6510378999999993E-3</v>
      </c>
      <c r="H19">
        <v>-9.8251784000000005E-3</v>
      </c>
      <c r="I19">
        <v>-9.3169398999999996E-3</v>
      </c>
      <c r="J19">
        <v>-9.1819875000000006E-3</v>
      </c>
      <c r="K19">
        <v>-8.7833144000000005E-3</v>
      </c>
      <c r="L19">
        <v>-9.2675182999999994E-3</v>
      </c>
      <c r="M19">
        <v>-9.4465408000000001E-3</v>
      </c>
      <c r="N19">
        <v>-8.7863448999999996E-3</v>
      </c>
      <c r="O19">
        <v>-9.1400361000000003E-3</v>
      </c>
      <c r="P19">
        <v>-9.1295661E-3</v>
      </c>
      <c r="Q19">
        <v>-9.4145415E-3</v>
      </c>
      <c r="R19">
        <v>-9.2009212999999996E-3</v>
      </c>
      <c r="S19">
        <v>-9.2608146000000002E-3</v>
      </c>
      <c r="T19">
        <v>-9.6707110999999998E-3</v>
      </c>
      <c r="U19">
        <v>-9.7126467000000008E-3</v>
      </c>
    </row>
    <row r="20" spans="1:21">
      <c r="A20" t="s">
        <v>17</v>
      </c>
      <c r="B20">
        <v>-1.2414543E-2</v>
      </c>
      <c r="C20">
        <v>-1.2383896E-2</v>
      </c>
      <c r="D20">
        <v>-1.1483067E-2</v>
      </c>
      <c r="E20">
        <v>-1.0812323E-2</v>
      </c>
      <c r="F20">
        <v>-1.0718959E-2</v>
      </c>
      <c r="G20">
        <v>-9.8005217000000002E-3</v>
      </c>
      <c r="H20">
        <v>-9.8907687000000001E-3</v>
      </c>
      <c r="I20">
        <v>-9.8533639999999999E-3</v>
      </c>
      <c r="J20">
        <v>-9.4079356999999999E-3</v>
      </c>
      <c r="K20">
        <v>-9.0945269999999998E-3</v>
      </c>
      <c r="L20">
        <v>-9.7359036999999995E-3</v>
      </c>
      <c r="M20">
        <v>-9.9932682000000005E-3</v>
      </c>
      <c r="N20">
        <v>-9.4658368999999999E-3</v>
      </c>
      <c r="O20">
        <v>-9.6501847999999994E-3</v>
      </c>
      <c r="P20">
        <v>-9.6787288999999992E-3</v>
      </c>
      <c r="Q20">
        <v>-9.7245425000000007E-3</v>
      </c>
      <c r="R20">
        <v>-9.5555213999999992E-3</v>
      </c>
      <c r="S20">
        <v>-9.9310632999999992E-3</v>
      </c>
      <c r="T20">
        <v>-1.0138103000000001E-2</v>
      </c>
      <c r="U20">
        <v>-1.0299301E-2</v>
      </c>
    </row>
    <row r="21" spans="1:21">
      <c r="A21" t="s">
        <v>18</v>
      </c>
      <c r="B21">
        <v>-1.2463695E-2</v>
      </c>
      <c r="C21">
        <v>-1.2438205000000001E-2</v>
      </c>
      <c r="D21">
        <v>-1.1518230000000001E-2</v>
      </c>
      <c r="E21">
        <v>-1.071751E-2</v>
      </c>
      <c r="F21">
        <v>-1.0584277E-2</v>
      </c>
      <c r="G21">
        <v>-9.8581966000000007E-3</v>
      </c>
      <c r="H21">
        <v>-1.0166542000000001E-2</v>
      </c>
      <c r="I21">
        <v>-9.7381072000000003E-3</v>
      </c>
      <c r="J21">
        <v>-9.7945640000000004E-3</v>
      </c>
      <c r="K21">
        <v>-9.2137800999999991E-3</v>
      </c>
      <c r="L21">
        <v>-9.9079404000000006E-3</v>
      </c>
      <c r="M21">
        <v>-9.9843833999999996E-3</v>
      </c>
      <c r="N21">
        <v>-9.5652471999999999E-3</v>
      </c>
      <c r="O21">
        <v>-9.6104080000000008E-3</v>
      </c>
      <c r="P21">
        <v>-9.8780802999999997E-3</v>
      </c>
      <c r="Q21">
        <v>-1.0033431000000001E-2</v>
      </c>
      <c r="R21">
        <v>-9.6795699000000006E-3</v>
      </c>
      <c r="S21">
        <v>-9.8480367999999995E-3</v>
      </c>
      <c r="T21">
        <v>-9.9250823000000005E-3</v>
      </c>
      <c r="U21">
        <v>-1.0019561999999999E-2</v>
      </c>
    </row>
    <row r="22" spans="1:21">
      <c r="A22" t="s">
        <v>19</v>
      </c>
      <c r="B22">
        <v>-1.2405388E-2</v>
      </c>
      <c r="C22">
        <v>-1.2356499999999999E-2</v>
      </c>
      <c r="D22">
        <v>-1.128403E-2</v>
      </c>
      <c r="E22">
        <v>-1.0480114E-2</v>
      </c>
      <c r="F22">
        <v>-1.0393757E-2</v>
      </c>
      <c r="G22">
        <v>-9.5902708999999996E-3</v>
      </c>
      <c r="H22">
        <v>-9.6369507000000007E-3</v>
      </c>
      <c r="I22">
        <v>-9.4608738999999997E-3</v>
      </c>
      <c r="J22">
        <v>-9.2913071E-3</v>
      </c>
      <c r="K22">
        <v>-8.9567312999999996E-3</v>
      </c>
      <c r="L22">
        <v>-9.7689106999999994E-3</v>
      </c>
      <c r="M22">
        <v>-9.8390300000000003E-3</v>
      </c>
      <c r="N22">
        <v>-9.3614644999999996E-3</v>
      </c>
      <c r="O22">
        <v>-9.3157551999999994E-3</v>
      </c>
      <c r="P22">
        <v>-9.419363E-3</v>
      </c>
      <c r="Q22">
        <v>-9.3765371000000004E-3</v>
      </c>
      <c r="R22">
        <v>-9.0701114000000006E-3</v>
      </c>
      <c r="S22">
        <v>-9.5222080000000008E-3</v>
      </c>
      <c r="T22">
        <v>-9.9129992999999993E-3</v>
      </c>
      <c r="U22">
        <v>-9.9555514999999997E-3</v>
      </c>
    </row>
    <row r="23" spans="1:21">
      <c r="A23" t="s">
        <v>20</v>
      </c>
      <c r="B23">
        <v>-1.2451220000000001E-2</v>
      </c>
      <c r="C23">
        <v>-1.2434855999999999E-2</v>
      </c>
      <c r="D23">
        <v>-1.150268E-2</v>
      </c>
      <c r="E23">
        <v>-1.0891349E-2</v>
      </c>
      <c r="F23">
        <v>-1.0696509999999999E-2</v>
      </c>
      <c r="G23">
        <v>-9.8057509999999997E-3</v>
      </c>
      <c r="H23">
        <v>-1.0054721000000001E-2</v>
      </c>
      <c r="I23">
        <v>-9.7413919999999998E-3</v>
      </c>
      <c r="J23">
        <v>-9.5618768000000007E-3</v>
      </c>
      <c r="K23">
        <v>-9.1988081000000006E-3</v>
      </c>
      <c r="L23">
        <v>-9.8196668999999993E-3</v>
      </c>
      <c r="M23">
        <v>-9.8740384E-3</v>
      </c>
      <c r="N23">
        <v>-9.5406324000000004E-3</v>
      </c>
      <c r="O23">
        <v>-9.3100023999999997E-3</v>
      </c>
      <c r="P23">
        <v>-9.3859042999999993E-3</v>
      </c>
      <c r="Q23">
        <v>-1.0001029E-2</v>
      </c>
      <c r="R23">
        <v>-9.8168150999999992E-3</v>
      </c>
      <c r="S23">
        <v>-1.019424E-2</v>
      </c>
      <c r="T23">
        <v>-1.0137344E-2</v>
      </c>
      <c r="U23">
        <v>-1.0138678999999999E-2</v>
      </c>
    </row>
    <row r="24" spans="1:21">
      <c r="A24" t="s">
        <v>21</v>
      </c>
      <c r="B24">
        <v>-1.2319553E-2</v>
      </c>
      <c r="C24">
        <v>-1.2243436999999999E-2</v>
      </c>
      <c r="D24">
        <v>-1.1209833000000001E-2</v>
      </c>
      <c r="E24">
        <v>-1.025379E-2</v>
      </c>
      <c r="F24">
        <v>-1.0175478E-2</v>
      </c>
      <c r="G24">
        <v>-9.3571581000000004E-3</v>
      </c>
      <c r="H24">
        <v>-9.2897136000000009E-3</v>
      </c>
      <c r="I24">
        <v>-9.4471591999999993E-3</v>
      </c>
      <c r="J24">
        <v>-9.1001503000000001E-3</v>
      </c>
      <c r="K24">
        <v>-9.0403798999999993E-3</v>
      </c>
      <c r="L24">
        <v>-9.7918239999999993E-3</v>
      </c>
      <c r="M24">
        <v>-1.0107858000000001E-2</v>
      </c>
      <c r="N24">
        <v>-9.6547659000000008E-3</v>
      </c>
      <c r="O24">
        <v>-9.4290702000000004E-3</v>
      </c>
      <c r="P24">
        <v>-9.2160003000000008E-3</v>
      </c>
      <c r="Q24">
        <v>-9.4871065000000001E-3</v>
      </c>
      <c r="R24">
        <v>-9.2086093999999997E-3</v>
      </c>
      <c r="S24">
        <v>-9.3801756999999999E-3</v>
      </c>
      <c r="T24">
        <v>-9.7976456999999996E-3</v>
      </c>
      <c r="U24">
        <v>-9.7988611000000003E-3</v>
      </c>
    </row>
    <row r="25" spans="1:21">
      <c r="A25" t="s">
        <v>34</v>
      </c>
      <c r="B25">
        <v>-1.2304641E-2</v>
      </c>
      <c r="C25">
        <v>-1.2270424E-2</v>
      </c>
      <c r="D25">
        <v>-1.1303463E-2</v>
      </c>
      <c r="E25">
        <v>-1.0487569E-2</v>
      </c>
      <c r="F25">
        <v>-1.0347156999999999E-2</v>
      </c>
      <c r="G25">
        <v>-9.4845295E-3</v>
      </c>
      <c r="H25">
        <v>-9.6532450999999991E-3</v>
      </c>
      <c r="I25">
        <v>-9.4562927000000005E-3</v>
      </c>
      <c r="J25">
        <v>-9.1527533000000001E-3</v>
      </c>
      <c r="K25">
        <v>-8.8247042000000001E-3</v>
      </c>
      <c r="L25">
        <v>-9.5287757000000004E-3</v>
      </c>
      <c r="M25">
        <v>-9.8860217000000007E-3</v>
      </c>
      <c r="N25">
        <v>-9.1794896999999997E-3</v>
      </c>
      <c r="O25">
        <v>-9.3035511999999994E-3</v>
      </c>
      <c r="P25">
        <v>-9.3943896000000006E-3</v>
      </c>
      <c r="Q25">
        <v>-9.5216100999999994E-3</v>
      </c>
      <c r="R25">
        <v>-9.3856323999999998E-3</v>
      </c>
      <c r="S25">
        <v>-9.8460969000000002E-3</v>
      </c>
      <c r="T25">
        <v>-1.0065523999999999E-2</v>
      </c>
      <c r="U25">
        <v>-9.9779832999999998E-3</v>
      </c>
    </row>
    <row r="26" spans="1:21">
      <c r="A26" t="s">
        <v>22</v>
      </c>
      <c r="B26">
        <v>-1.2781364E-2</v>
      </c>
      <c r="C26">
        <v>-1.2941329999999999E-2</v>
      </c>
      <c r="D26">
        <v>-1.2299361E-2</v>
      </c>
      <c r="E26">
        <v>-1.1622194000000001E-2</v>
      </c>
      <c r="F26">
        <v>-1.1669628E-2</v>
      </c>
      <c r="G26">
        <v>-1.0801913999999999E-2</v>
      </c>
      <c r="H26">
        <v>-1.1189773E-2</v>
      </c>
      <c r="I26">
        <v>-1.0544754E-2</v>
      </c>
      <c r="J26">
        <v>-1.0557519E-2</v>
      </c>
      <c r="K26">
        <v>-9.7028323999999999E-3</v>
      </c>
      <c r="L26">
        <v>-1.0012323E-2</v>
      </c>
      <c r="M26">
        <v>-1.0319306E-2</v>
      </c>
      <c r="N26">
        <v>-1.0045724000000001E-2</v>
      </c>
      <c r="O26">
        <v>-9.8514007000000004E-3</v>
      </c>
      <c r="P26">
        <v>-9.2406430999999994E-3</v>
      </c>
      <c r="Q26">
        <v>-9.3840481999999999E-3</v>
      </c>
      <c r="R26">
        <v>-8.9279404000000007E-3</v>
      </c>
      <c r="S26">
        <v>-8.6356187000000001E-3</v>
      </c>
      <c r="T26">
        <v>-9.0222266000000006E-3</v>
      </c>
      <c r="U26">
        <v>-9.1318692999999996E-3</v>
      </c>
    </row>
    <row r="27" spans="1:21">
      <c r="A27" t="s">
        <v>23</v>
      </c>
      <c r="B27">
        <v>-1.2679215000000001E-2</v>
      </c>
      <c r="C27">
        <v>-1.2692939E-2</v>
      </c>
      <c r="D27">
        <v>-1.1871886999999999E-2</v>
      </c>
      <c r="E27">
        <v>-1.1173153E-2</v>
      </c>
      <c r="F27">
        <v>-1.1196230999999999E-2</v>
      </c>
      <c r="G27">
        <v>-1.0568315E-2</v>
      </c>
      <c r="H27">
        <v>-1.0765393E-2</v>
      </c>
      <c r="I27">
        <v>-1.0415914E-2</v>
      </c>
      <c r="J27">
        <v>-1.0224864E-2</v>
      </c>
      <c r="K27">
        <v>-9.8568816000000007E-3</v>
      </c>
      <c r="L27">
        <v>-1.0346009E-2</v>
      </c>
      <c r="M27">
        <v>-1.0105269E-2</v>
      </c>
      <c r="N27">
        <v>-9.4717256999999992E-3</v>
      </c>
      <c r="O27">
        <v>-9.6210976999999993E-3</v>
      </c>
      <c r="P27">
        <v>-9.7801024000000007E-3</v>
      </c>
      <c r="Q27">
        <v>-9.8834075E-3</v>
      </c>
      <c r="R27">
        <v>-9.8514818000000007E-3</v>
      </c>
      <c r="S27">
        <v>-9.5691019999999995E-3</v>
      </c>
      <c r="T27">
        <v>-9.7772394999999998E-3</v>
      </c>
      <c r="U27">
        <v>-9.7702694999999996E-3</v>
      </c>
    </row>
    <row r="28" spans="1:21">
      <c r="A28" t="s">
        <v>24</v>
      </c>
      <c r="B28">
        <v>-1.2713403E-2</v>
      </c>
      <c r="C28">
        <v>-1.2755673E-2</v>
      </c>
      <c r="D28">
        <v>-1.1921126000000001E-2</v>
      </c>
      <c r="E28">
        <v>-1.1199189999999999E-2</v>
      </c>
      <c r="F28">
        <v>-1.1072022000000001E-2</v>
      </c>
      <c r="G28">
        <v>-1.0461028000000001E-2</v>
      </c>
      <c r="H28">
        <v>-1.0401545E-2</v>
      </c>
      <c r="I28">
        <v>-1.0474529999999999E-2</v>
      </c>
      <c r="J28">
        <v>-1.0292249999999999E-2</v>
      </c>
      <c r="K28">
        <v>-9.6146063999999996E-3</v>
      </c>
      <c r="L28">
        <v>-9.7671318999999999E-3</v>
      </c>
      <c r="M28">
        <v>-9.7273429999999994E-3</v>
      </c>
      <c r="N28">
        <v>-9.1820163999999996E-3</v>
      </c>
      <c r="O28">
        <v>-9.1521134999999997E-3</v>
      </c>
      <c r="P28">
        <v>-9.1708107000000004E-3</v>
      </c>
      <c r="Q28">
        <v>-9.2327808999999993E-3</v>
      </c>
      <c r="R28">
        <v>-9.2408079999999997E-3</v>
      </c>
      <c r="S28">
        <v>-9.4121712999999992E-3</v>
      </c>
      <c r="T28">
        <v>-9.7258733999999996E-3</v>
      </c>
      <c r="U28">
        <v>-9.7244176999999998E-3</v>
      </c>
    </row>
    <row r="29" spans="1:21">
      <c r="A29" t="s">
        <v>25</v>
      </c>
      <c r="B29">
        <v>-1.2565177E-2</v>
      </c>
      <c r="C29">
        <v>-1.2681679E-2</v>
      </c>
      <c r="D29">
        <v>-1.2559528E-2</v>
      </c>
      <c r="E29">
        <v>-1.2448005E-2</v>
      </c>
      <c r="F29">
        <v>-1.3081963E-2</v>
      </c>
      <c r="G29">
        <v>-1.3201864000000001E-2</v>
      </c>
      <c r="H29">
        <v>-1.4200452000000001E-2</v>
      </c>
      <c r="I29">
        <v>-1.4722528E-2</v>
      </c>
      <c r="J29">
        <v>-1.497424E-2</v>
      </c>
      <c r="K29">
        <v>-1.5754537999999998E-2</v>
      </c>
      <c r="L29">
        <v>-1.4931345E-2</v>
      </c>
      <c r="M29">
        <v>-1.5023833E-2</v>
      </c>
      <c r="N29">
        <v>-1.5339716999999999E-2</v>
      </c>
      <c r="O29">
        <v>-1.5291587000000001E-2</v>
      </c>
      <c r="P29">
        <v>-1.4954281E-2</v>
      </c>
      <c r="Q29">
        <v>-1.4956855999999999E-2</v>
      </c>
      <c r="R29">
        <v>-1.4427333000000001E-2</v>
      </c>
      <c r="S29">
        <v>-1.4369231999999999E-2</v>
      </c>
      <c r="T29">
        <v>-1.4662352E-2</v>
      </c>
      <c r="U29">
        <v>-1.4626808E-2</v>
      </c>
    </row>
    <row r="30" spans="1:21">
      <c r="A30" t="s">
        <v>26</v>
      </c>
      <c r="B30">
        <v>-1.0929069E-2</v>
      </c>
      <c r="C30">
        <v>-1.0688568000000001E-2</v>
      </c>
      <c r="D30">
        <v>-9.5772155999999994E-3</v>
      </c>
      <c r="E30">
        <v>-9.0434001999999993E-3</v>
      </c>
      <c r="F30">
        <v>-8.7841544000000008E-3</v>
      </c>
      <c r="G30">
        <v>-7.8805247000000005E-3</v>
      </c>
      <c r="H30">
        <v>-7.5909584000000002E-3</v>
      </c>
      <c r="I30">
        <v>-7.5452859000000004E-3</v>
      </c>
      <c r="J30">
        <v>-7.3228403999999999E-3</v>
      </c>
      <c r="K30">
        <v>-7.0400545000000002E-3</v>
      </c>
      <c r="L30">
        <v>-7.9459986000000003E-3</v>
      </c>
      <c r="M30">
        <v>-8.1884693000000008E-3</v>
      </c>
      <c r="N30">
        <v>-7.5369547E-3</v>
      </c>
      <c r="O30">
        <v>-7.4789039999999998E-3</v>
      </c>
      <c r="P30">
        <v>-7.4736433999999996E-3</v>
      </c>
      <c r="Q30">
        <v>-7.5883799999999996E-3</v>
      </c>
      <c r="R30">
        <v>-7.5368453E-3</v>
      </c>
      <c r="S30">
        <v>-7.8015551000000004E-3</v>
      </c>
      <c r="T30">
        <v>-8.1716672999999993E-3</v>
      </c>
      <c r="U30">
        <v>-8.1883213000000007E-3</v>
      </c>
    </row>
    <row r="31" spans="1:21">
      <c r="A31" t="s">
        <v>27</v>
      </c>
      <c r="B31">
        <v>-1.1651528E-2</v>
      </c>
      <c r="C31">
        <v>-1.2238963E-2</v>
      </c>
      <c r="D31">
        <v>-1.2395428E-2</v>
      </c>
      <c r="E31">
        <v>-1.2339457999999999E-2</v>
      </c>
      <c r="F31">
        <v>-1.2563764999999999E-2</v>
      </c>
      <c r="G31">
        <v>-1.2041665999999999E-2</v>
      </c>
      <c r="H31">
        <v>-1.2523128E-2</v>
      </c>
      <c r="I31">
        <v>-1.2407639999999999E-2</v>
      </c>
      <c r="J31">
        <v>-1.2351365E-2</v>
      </c>
      <c r="K31">
        <v>-1.2113753999999999E-2</v>
      </c>
      <c r="L31">
        <v>-1.2390478E-2</v>
      </c>
      <c r="M31">
        <v>-1.2519544000000001E-2</v>
      </c>
      <c r="N31">
        <v>-1.2409158999999999E-2</v>
      </c>
      <c r="O31">
        <v>-1.2671533E-2</v>
      </c>
      <c r="P31">
        <v>-1.2522083E-2</v>
      </c>
      <c r="Q31">
        <v>-1.2751658000000001E-2</v>
      </c>
      <c r="R31">
        <v>-1.2317781E-2</v>
      </c>
      <c r="S31">
        <v>-1.2424121E-2</v>
      </c>
      <c r="T31">
        <v>-1.2456276000000001E-2</v>
      </c>
      <c r="U31">
        <v>-1.2807021E-2</v>
      </c>
    </row>
    <row r="32" spans="1:21">
      <c r="A32" t="s">
        <v>28</v>
      </c>
      <c r="B32">
        <v>-1.1416337E-2</v>
      </c>
      <c r="C32">
        <v>-1.1313843000000001E-2</v>
      </c>
      <c r="D32">
        <v>-9.9357887999999995E-3</v>
      </c>
      <c r="E32">
        <v>-8.6513069000000008E-3</v>
      </c>
      <c r="F32">
        <v>-8.5298577000000007E-3</v>
      </c>
      <c r="G32">
        <v>-8.2180033999999999E-3</v>
      </c>
      <c r="H32">
        <v>-8.0481571999999994E-3</v>
      </c>
      <c r="I32">
        <v>-7.7863209999999997E-3</v>
      </c>
      <c r="J32">
        <v>-7.4069705000000003E-3</v>
      </c>
      <c r="K32">
        <v>-6.6193481999999998E-3</v>
      </c>
      <c r="L32">
        <v>-6.6629271000000004E-3</v>
      </c>
      <c r="M32">
        <v>-6.9209257999999999E-3</v>
      </c>
      <c r="N32">
        <v>-6.0495719999999996E-3</v>
      </c>
      <c r="O32">
        <v>-6.5970546999999996E-3</v>
      </c>
      <c r="P32">
        <v>-6.3600753999999999E-3</v>
      </c>
      <c r="Q32">
        <v>-7.0562973000000001E-3</v>
      </c>
      <c r="R32">
        <v>-7.0328865999999997E-3</v>
      </c>
      <c r="S32">
        <v>-7.2954502000000003E-3</v>
      </c>
      <c r="T32">
        <v>-7.6389116999999998E-3</v>
      </c>
      <c r="U32">
        <v>-7.6389116999999998E-3</v>
      </c>
    </row>
    <row r="33" spans="1:21">
      <c r="A33" t="s">
        <v>29</v>
      </c>
      <c r="B33">
        <v>-1.1458451999999999E-2</v>
      </c>
      <c r="C33">
        <v>-1.1012635999999999E-2</v>
      </c>
      <c r="D33">
        <v>-1.0114128E-2</v>
      </c>
      <c r="E33">
        <v>-9.4153145000000008E-3</v>
      </c>
      <c r="F33">
        <v>-9.5699709000000004E-3</v>
      </c>
      <c r="G33">
        <v>-9.2289215000000008E-3</v>
      </c>
      <c r="H33">
        <v>-9.6522979000000005E-3</v>
      </c>
      <c r="I33">
        <v>-9.4185788000000006E-3</v>
      </c>
      <c r="J33">
        <v>-9.2220827999999998E-3</v>
      </c>
      <c r="K33">
        <v>-9.4561577000000004E-3</v>
      </c>
      <c r="L33">
        <v>-1.0677114E-2</v>
      </c>
      <c r="M33">
        <v>-1.056179E-2</v>
      </c>
      <c r="N33">
        <v>-1.0189577999999999E-2</v>
      </c>
      <c r="O33">
        <v>-1.1031348E-2</v>
      </c>
      <c r="P33">
        <v>-1.1503161E-2</v>
      </c>
      <c r="Q33">
        <v>-1.0491032000000001E-2</v>
      </c>
      <c r="R33">
        <v>-1.0597064999999999E-2</v>
      </c>
      <c r="S33">
        <v>-1.0869906E-2</v>
      </c>
      <c r="T33">
        <v>-1.1119551E-2</v>
      </c>
      <c r="U33">
        <v>-1.1117324E-2</v>
      </c>
    </row>
    <row r="34" spans="1:21">
      <c r="A34" t="s">
        <v>30</v>
      </c>
      <c r="B34">
        <v>-1.1472715E-2</v>
      </c>
      <c r="C34">
        <v>-1.1016161E-2</v>
      </c>
      <c r="D34">
        <v>-1.0106313E-2</v>
      </c>
      <c r="E34">
        <v>-9.3739246999999994E-3</v>
      </c>
      <c r="F34">
        <v>-9.7898989999999995E-3</v>
      </c>
      <c r="G34">
        <v>-9.4271870000000001E-3</v>
      </c>
      <c r="H34">
        <v>-9.6456519999999994E-3</v>
      </c>
      <c r="I34">
        <v>-9.8145352999999998E-3</v>
      </c>
      <c r="J34">
        <v>-9.5980884999999991E-3</v>
      </c>
      <c r="K34">
        <v>-9.6525932000000002E-3</v>
      </c>
      <c r="L34">
        <v>-9.2037357E-3</v>
      </c>
      <c r="M34">
        <v>-9.6949739000000007E-3</v>
      </c>
      <c r="N34">
        <v>-9.8363663999999993E-3</v>
      </c>
      <c r="O34">
        <v>-9.6551720000000001E-3</v>
      </c>
      <c r="P34">
        <v>-9.5303374999999996E-3</v>
      </c>
      <c r="Q34">
        <v>-9.8995770999999993E-3</v>
      </c>
      <c r="R34">
        <v>-1.0015074000000001E-2</v>
      </c>
      <c r="S34">
        <v>-9.5594786000000008E-3</v>
      </c>
      <c r="T34">
        <v>-1.0150078999999999E-2</v>
      </c>
      <c r="U34">
        <v>-1.0150078999999999E-2</v>
      </c>
    </row>
    <row r="35" spans="1:21">
      <c r="A35" t="s">
        <v>31</v>
      </c>
      <c r="B35">
        <v>-1.0339215000000001E-2</v>
      </c>
      <c r="C35">
        <v>-1.0364563E-2</v>
      </c>
      <c r="D35">
        <v>-1.0238961E-2</v>
      </c>
      <c r="E35">
        <v>-9.9146142999999992E-3</v>
      </c>
      <c r="F35">
        <v>-9.8608593000000001E-3</v>
      </c>
      <c r="G35">
        <v>-9.3029662999999999E-3</v>
      </c>
      <c r="H35">
        <v>-9.3118055000000009E-3</v>
      </c>
      <c r="I35">
        <v>-9.1554513000000007E-3</v>
      </c>
      <c r="J35">
        <v>-8.9662001000000002E-3</v>
      </c>
      <c r="K35">
        <v>-8.3551927999999994E-3</v>
      </c>
      <c r="L35">
        <v>-8.7468670999999998E-3</v>
      </c>
      <c r="M35">
        <v>-8.7061207999999998E-3</v>
      </c>
      <c r="N35">
        <v>-8.3420621000000004E-3</v>
      </c>
      <c r="O35">
        <v>-8.1113874999999992E-3</v>
      </c>
      <c r="P35">
        <v>-7.9193757999999996E-3</v>
      </c>
      <c r="Q35">
        <v>-7.8903510999999999E-3</v>
      </c>
      <c r="R35">
        <v>-7.7311615E-3</v>
      </c>
      <c r="S35">
        <v>-7.7692559E-3</v>
      </c>
      <c r="T35">
        <v>-7.7281683000000002E-3</v>
      </c>
      <c r="U35">
        <v>-7.5907498000000002E-3</v>
      </c>
    </row>
    <row r="36" spans="1:21">
      <c r="A36" t="s">
        <v>32</v>
      </c>
      <c r="B36">
        <v>-1.1378785000000001E-2</v>
      </c>
      <c r="C36">
        <v>-1.1702786E-2</v>
      </c>
      <c r="D36">
        <v>-1.1755478E-2</v>
      </c>
      <c r="E36">
        <v>-1.1415783000000001E-2</v>
      </c>
      <c r="F36">
        <v>-1.1538138E-2</v>
      </c>
      <c r="G36">
        <v>-1.0998131E-2</v>
      </c>
      <c r="H36">
        <v>-1.1111627000000001E-2</v>
      </c>
      <c r="I36">
        <v>-1.0841735E-2</v>
      </c>
      <c r="J36">
        <v>-1.0632279999999999E-2</v>
      </c>
      <c r="K36">
        <v>-1.0278433999999999E-2</v>
      </c>
      <c r="L36">
        <v>-1.0383026E-2</v>
      </c>
      <c r="M36">
        <v>-1.0522244E-2</v>
      </c>
      <c r="N36">
        <v>-1.0437851E-2</v>
      </c>
      <c r="O36">
        <v>-1.0329372E-2</v>
      </c>
      <c r="P36">
        <v>-1.0085369E-2</v>
      </c>
      <c r="Q36">
        <v>-1.0138724999999999E-2</v>
      </c>
      <c r="R36">
        <v>-1.0053067000000001E-2</v>
      </c>
      <c r="S36">
        <v>-1.0076989E-2</v>
      </c>
      <c r="T36">
        <v>-9.9701359999999992E-3</v>
      </c>
      <c r="U36">
        <v>-9.9913356999999994E-3</v>
      </c>
    </row>
    <row r="37" spans="1:21">
      <c r="A37" t="s">
        <v>33</v>
      </c>
      <c r="B37">
        <v>-1.1336165E-2</v>
      </c>
      <c r="C37">
        <v>-1.1463605999999999E-2</v>
      </c>
      <c r="D37">
        <v>-1.1250519E-2</v>
      </c>
      <c r="E37">
        <v>-1.0903546E-2</v>
      </c>
      <c r="F37">
        <v>-1.1120065E-2</v>
      </c>
      <c r="G37">
        <v>-1.087699E-2</v>
      </c>
      <c r="H37">
        <v>-1.1491335E-2</v>
      </c>
      <c r="I37">
        <v>-1.1575112E-2</v>
      </c>
      <c r="J37">
        <v>-1.1832456E-2</v>
      </c>
      <c r="K37">
        <v>-1.1908037999999999E-2</v>
      </c>
      <c r="L37">
        <v>-1.2016865E-2</v>
      </c>
      <c r="M37">
        <v>-1.2266304E-2</v>
      </c>
      <c r="N37">
        <v>-1.2649839E-2</v>
      </c>
      <c r="O37">
        <v>-1.2663755E-2</v>
      </c>
      <c r="P37">
        <v>-1.2423831E-2</v>
      </c>
      <c r="Q37">
        <v>-1.2589144E-2</v>
      </c>
      <c r="R37">
        <v>-1.2428982999999999E-2</v>
      </c>
      <c r="S37">
        <v>-1.2661767000000001E-2</v>
      </c>
      <c r="T37">
        <v>-1.2872031000000001E-2</v>
      </c>
      <c r="U37">
        <v>-1.2961395000000001E-2</v>
      </c>
    </row>
  </sheetData>
  <phoneticPr fontId="0" type="noConversion"/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81"/>
  <dimension ref="A1:S36"/>
  <sheetViews>
    <sheetView zoomScaleNormal="100"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317.31889999999999</v>
      </c>
      <c r="D2">
        <v>91.206980000000001</v>
      </c>
      <c r="E2">
        <v>1.2251700000000001</v>
      </c>
      <c r="F2">
        <v>1.343285E-2</v>
      </c>
      <c r="G2">
        <v>226.11199999999999</v>
      </c>
      <c r="H2">
        <v>-2.44041</v>
      </c>
      <c r="I2">
        <v>-1.0792925E-2</v>
      </c>
      <c r="J2">
        <v>-1.2152400000000001</v>
      </c>
      <c r="K2">
        <v>-3.8297137E-3</v>
      </c>
      <c r="L2">
        <v>258.29750000000001</v>
      </c>
      <c r="M2">
        <v>2.6957115E-2</v>
      </c>
      <c r="N2">
        <v>6.4591411999999999E-3</v>
      </c>
      <c r="O2">
        <v>59.022030000000001</v>
      </c>
      <c r="P2">
        <v>-1.4487316E-2</v>
      </c>
      <c r="Q2">
        <v>-3.5188096000000001E-3</v>
      </c>
      <c r="R2">
        <v>-0.85507069999999996</v>
      </c>
      <c r="S2">
        <v>6.9629539999999999</v>
      </c>
    </row>
    <row r="3" spans="1:19">
      <c r="A3" t="s">
        <v>1</v>
      </c>
      <c r="B3">
        <v>1248</v>
      </c>
      <c r="C3">
        <v>371.53859999999997</v>
      </c>
      <c r="D3">
        <v>95.518979999999999</v>
      </c>
      <c r="E3">
        <v>1.35463</v>
      </c>
      <c r="F3">
        <v>1.4181790999999999E-2</v>
      </c>
      <c r="G3">
        <v>276.01920000000001</v>
      </c>
      <c r="H3">
        <v>-2.941182</v>
      </c>
      <c r="I3">
        <v>-1.0655715E-2</v>
      </c>
      <c r="J3">
        <v>-1.586552</v>
      </c>
      <c r="K3">
        <v>-4.2702197000000002E-3</v>
      </c>
      <c r="L3">
        <v>287.98680000000002</v>
      </c>
      <c r="M3">
        <v>2.5307626E-2</v>
      </c>
      <c r="N3">
        <v>6.0584056000000004E-3</v>
      </c>
      <c r="O3">
        <v>83.552030000000002</v>
      </c>
      <c r="P3">
        <v>-1.0717539999999999E-2</v>
      </c>
      <c r="Q3">
        <v>-2.6031170999999999E-3</v>
      </c>
      <c r="R3">
        <v>-0.8954723</v>
      </c>
      <c r="S3">
        <v>7.2882619999999996</v>
      </c>
    </row>
    <row r="4" spans="1:19">
      <c r="A4" t="s">
        <v>2</v>
      </c>
      <c r="B4">
        <v>2468</v>
      </c>
      <c r="C4">
        <v>673.32119999999998</v>
      </c>
      <c r="D4">
        <v>171.71809999999999</v>
      </c>
      <c r="E4">
        <v>2.722607</v>
      </c>
      <c r="F4">
        <v>1.5855101999999999E-2</v>
      </c>
      <c r="G4">
        <v>501.60390000000001</v>
      </c>
      <c r="H4">
        <v>-6.132142</v>
      </c>
      <c r="I4">
        <v>-1.2225066E-2</v>
      </c>
      <c r="J4">
        <v>-3.4095339999999998</v>
      </c>
      <c r="K4">
        <v>-5.0637564000000001E-3</v>
      </c>
      <c r="L4">
        <v>624.69349999999997</v>
      </c>
      <c r="M4">
        <v>2.5830280000000001E-2</v>
      </c>
      <c r="N4">
        <v>6.2133259999999999E-3</v>
      </c>
      <c r="O4">
        <v>48.628039999999999</v>
      </c>
      <c r="P4">
        <v>-1.4108229E-2</v>
      </c>
      <c r="Q4">
        <v>-3.4302780000000001E-3</v>
      </c>
      <c r="R4">
        <v>-0.68605559999999999</v>
      </c>
      <c r="S4">
        <v>16.136009999999999</v>
      </c>
    </row>
    <row r="5" spans="1:19">
      <c r="A5" t="s">
        <v>3</v>
      </c>
      <c r="B5">
        <v>993</v>
      </c>
      <c r="C5">
        <v>180.5104</v>
      </c>
      <c r="D5">
        <v>80.595979999999997</v>
      </c>
      <c r="E5">
        <v>0.56989449999999997</v>
      </c>
      <c r="F5">
        <v>7.0710041999999997E-3</v>
      </c>
      <c r="G5">
        <v>99.914940000000001</v>
      </c>
      <c r="H5">
        <v>-1.1270180000000001</v>
      </c>
      <c r="I5">
        <v>-1.1279776E-2</v>
      </c>
      <c r="J5">
        <v>-0.55712360000000005</v>
      </c>
      <c r="K5">
        <v>-3.0863797E-3</v>
      </c>
      <c r="L5">
        <v>164.7056</v>
      </c>
      <c r="M5">
        <v>1.7604046000000002E-2</v>
      </c>
      <c r="N5">
        <v>4.2082504000000003E-3</v>
      </c>
      <c r="O5">
        <v>15.805</v>
      </c>
      <c r="P5">
        <v>-1.2572491999999999E-2</v>
      </c>
      <c r="Q5">
        <v>-3.0107312000000001E-3</v>
      </c>
      <c r="R5">
        <v>-0.1987083</v>
      </c>
      <c r="S5">
        <v>2.8994849999999999</v>
      </c>
    </row>
    <row r="6" spans="1:19">
      <c r="A6" t="s">
        <v>4</v>
      </c>
      <c r="B6">
        <v>994</v>
      </c>
      <c r="C6">
        <v>179.73859999999999</v>
      </c>
      <c r="D6">
        <v>66.900999999999996</v>
      </c>
      <c r="E6">
        <v>0.59271779999999996</v>
      </c>
      <c r="F6">
        <v>8.8596251000000008E-3</v>
      </c>
      <c r="G6">
        <v>112.8378</v>
      </c>
      <c r="H6">
        <v>-1.182053</v>
      </c>
      <c r="I6">
        <v>-1.0475683E-2</v>
      </c>
      <c r="J6">
        <v>-0.58933539999999995</v>
      </c>
      <c r="K6">
        <v>-3.2788482000000001E-3</v>
      </c>
      <c r="L6">
        <v>167.5377</v>
      </c>
      <c r="M6">
        <v>1.8285893000000001E-2</v>
      </c>
      <c r="N6">
        <v>4.3702936000000001E-3</v>
      </c>
      <c r="O6">
        <v>12.201000000000001</v>
      </c>
      <c r="P6">
        <v>-1.1900216999999999E-2</v>
      </c>
      <c r="Q6">
        <v>-2.8469518000000002E-3</v>
      </c>
      <c r="R6">
        <v>-0.1451945</v>
      </c>
      <c r="S6">
        <v>3.0635759999999999</v>
      </c>
    </row>
    <row r="7" spans="1:19">
      <c r="A7" t="s">
        <v>5</v>
      </c>
      <c r="B7">
        <v>1001</v>
      </c>
      <c r="C7">
        <v>186.01669999999999</v>
      </c>
      <c r="D7">
        <v>83.986949999999993</v>
      </c>
      <c r="E7">
        <v>0.51661809999999997</v>
      </c>
      <c r="F7">
        <v>6.1511713999999997E-3</v>
      </c>
      <c r="G7">
        <v>102.0299</v>
      </c>
      <c r="H7">
        <v>-1.22279</v>
      </c>
      <c r="I7">
        <v>-1.1984628000000001E-2</v>
      </c>
      <c r="J7">
        <v>-0.70617180000000002</v>
      </c>
      <c r="K7">
        <v>-3.7962821999999998E-3</v>
      </c>
      <c r="L7">
        <v>174.30170000000001</v>
      </c>
      <c r="M7">
        <v>1.7455499999999999E-2</v>
      </c>
      <c r="N7">
        <v>4.1792909999999999E-3</v>
      </c>
      <c r="O7">
        <v>11.715</v>
      </c>
      <c r="P7">
        <v>-1.3627765999999999E-2</v>
      </c>
      <c r="Q7">
        <v>-3.2581487E-3</v>
      </c>
      <c r="R7">
        <v>-0.15964929999999999</v>
      </c>
      <c r="S7">
        <v>3.0425239999999998</v>
      </c>
    </row>
    <row r="8" spans="1:19">
      <c r="A8" t="s">
        <v>6</v>
      </c>
      <c r="B8">
        <v>1001</v>
      </c>
      <c r="C8">
        <v>179.66560000000001</v>
      </c>
      <c r="D8">
        <v>79.634910000000005</v>
      </c>
      <c r="E8">
        <v>0.59596559999999998</v>
      </c>
      <c r="F8">
        <v>7.4837230999999999E-3</v>
      </c>
      <c r="G8">
        <v>100.0309</v>
      </c>
      <c r="H8">
        <v>-1.181983</v>
      </c>
      <c r="I8">
        <v>-1.1816182999999999E-2</v>
      </c>
      <c r="J8">
        <v>-0.58601729999999996</v>
      </c>
      <c r="K8">
        <v>-3.2617102999999998E-3</v>
      </c>
      <c r="L8">
        <v>167.94370000000001</v>
      </c>
      <c r="M8">
        <v>1.7836596999999999E-2</v>
      </c>
      <c r="N8">
        <v>4.2671575000000003E-3</v>
      </c>
      <c r="O8">
        <v>11.722</v>
      </c>
      <c r="P8">
        <v>-1.2210202999999999E-2</v>
      </c>
      <c r="Q8">
        <v>-2.9209791999999998E-3</v>
      </c>
      <c r="R8">
        <v>-0.14312800000000001</v>
      </c>
      <c r="S8">
        <v>2.9955440000000002</v>
      </c>
    </row>
    <row r="9" spans="1:19">
      <c r="A9" t="s">
        <v>7</v>
      </c>
      <c r="B9">
        <v>1305</v>
      </c>
      <c r="C9">
        <v>209.1754</v>
      </c>
      <c r="D9">
        <v>76.334990000000005</v>
      </c>
      <c r="E9">
        <v>0.91186449999999997</v>
      </c>
      <c r="F9">
        <v>1.1945562999999999E-2</v>
      </c>
      <c r="G9">
        <v>132.8407</v>
      </c>
      <c r="H9">
        <v>-1.528302</v>
      </c>
      <c r="I9">
        <v>-1.1504774000000001E-2</v>
      </c>
      <c r="J9">
        <v>-0.61643729999999997</v>
      </c>
      <c r="K9">
        <v>-2.9469867999999998E-3</v>
      </c>
      <c r="L9">
        <v>190.1285</v>
      </c>
      <c r="M9">
        <v>2.1689955E-2</v>
      </c>
      <c r="N9">
        <v>5.1872697999999998E-3</v>
      </c>
      <c r="O9">
        <v>19.047000000000001</v>
      </c>
      <c r="P9">
        <v>-1.0649809E-2</v>
      </c>
      <c r="Q9">
        <v>-2.5676828999999998E-3</v>
      </c>
      <c r="R9">
        <v>-0.2028469</v>
      </c>
      <c r="S9">
        <v>4.1238789999999996</v>
      </c>
    </row>
    <row r="10" spans="1:19">
      <c r="A10" t="s">
        <v>8</v>
      </c>
      <c r="B10">
        <v>1309</v>
      </c>
      <c r="C10">
        <v>219.89779999999999</v>
      </c>
      <c r="D10">
        <v>77.956980000000001</v>
      </c>
      <c r="E10">
        <v>1.0194350000000001</v>
      </c>
      <c r="F10">
        <v>1.3076895999999999E-2</v>
      </c>
      <c r="G10">
        <v>141.94069999999999</v>
      </c>
      <c r="H10">
        <v>-1.7473860000000001</v>
      </c>
      <c r="I10">
        <v>-1.2310676E-2</v>
      </c>
      <c r="J10">
        <v>-0.72795030000000005</v>
      </c>
      <c r="K10">
        <v>-3.3104037999999998E-3</v>
      </c>
      <c r="L10">
        <v>200.6217</v>
      </c>
      <c r="M10">
        <v>2.1709142000000001E-2</v>
      </c>
      <c r="N10">
        <v>5.1972846999999997E-3</v>
      </c>
      <c r="O10">
        <v>19.276</v>
      </c>
      <c r="P10">
        <v>-1.1686129E-2</v>
      </c>
      <c r="Q10">
        <v>-2.8157732000000002E-3</v>
      </c>
      <c r="R10">
        <v>-0.22526189999999999</v>
      </c>
      <c r="S10">
        <v>4.3553249999999997</v>
      </c>
    </row>
    <row r="11" spans="1:19">
      <c r="A11" t="s">
        <v>9</v>
      </c>
      <c r="B11">
        <v>951</v>
      </c>
      <c r="C11">
        <v>180.06379999999999</v>
      </c>
      <c r="D11">
        <v>47.142029999999998</v>
      </c>
      <c r="E11">
        <v>0.46946700000000002</v>
      </c>
      <c r="F11">
        <v>9.9585661999999995E-3</v>
      </c>
      <c r="G11">
        <v>132.92169999999999</v>
      </c>
      <c r="H11">
        <v>-1.546894</v>
      </c>
      <c r="I11">
        <v>-1.1637633E-2</v>
      </c>
      <c r="J11">
        <v>-1.0774269999999999</v>
      </c>
      <c r="K11">
        <v>-5.9835859999999999E-3</v>
      </c>
      <c r="L11">
        <v>165.48769999999999</v>
      </c>
      <c r="M11">
        <v>1.8009919999999999E-2</v>
      </c>
      <c r="N11">
        <v>4.3131992999999999E-3</v>
      </c>
      <c r="O11">
        <v>14.576000000000001</v>
      </c>
      <c r="P11">
        <v>-7.2838323999999998E-3</v>
      </c>
      <c r="Q11">
        <v>-1.7404775E-3</v>
      </c>
      <c r="R11">
        <v>-0.1061691</v>
      </c>
      <c r="S11">
        <v>2.9804210000000002</v>
      </c>
    </row>
    <row r="12" spans="1:19">
      <c r="A12" t="s">
        <v>10</v>
      </c>
      <c r="B12">
        <v>956</v>
      </c>
      <c r="C12">
        <v>183.01580000000001</v>
      </c>
      <c r="D12">
        <v>46.36101</v>
      </c>
      <c r="E12">
        <v>0.46405390000000002</v>
      </c>
      <c r="F12">
        <v>1.0009572E-2</v>
      </c>
      <c r="G12">
        <v>136.65479999999999</v>
      </c>
      <c r="H12">
        <v>-1.5470809999999999</v>
      </c>
      <c r="I12">
        <v>-1.1321092E-2</v>
      </c>
      <c r="J12">
        <v>-1.083027</v>
      </c>
      <c r="K12">
        <v>-5.9176725000000003E-3</v>
      </c>
      <c r="L12">
        <v>167.9597</v>
      </c>
      <c r="M12">
        <v>1.7876646999999999E-2</v>
      </c>
      <c r="N12">
        <v>4.2771459999999999E-3</v>
      </c>
      <c r="O12">
        <v>15.055999999999999</v>
      </c>
      <c r="P12">
        <v>-7.5649204999999999E-3</v>
      </c>
      <c r="Q12">
        <v>-1.8078956000000001E-3</v>
      </c>
      <c r="R12">
        <v>-0.1138974</v>
      </c>
      <c r="S12">
        <v>3.0025569999999999</v>
      </c>
    </row>
    <row r="13" spans="1:19">
      <c r="A13" t="s">
        <v>11</v>
      </c>
      <c r="B13">
        <v>957</v>
      </c>
      <c r="C13">
        <v>185.30250000000001</v>
      </c>
      <c r="D13">
        <v>58.757980000000003</v>
      </c>
      <c r="E13">
        <v>0.75319159999999996</v>
      </c>
      <c r="F13">
        <v>1.2818540999999999E-2</v>
      </c>
      <c r="G13">
        <v>126.54470000000001</v>
      </c>
      <c r="H13">
        <v>-1.437649</v>
      </c>
      <c r="I13">
        <v>-1.1360802999999999E-2</v>
      </c>
      <c r="J13">
        <v>-0.68445769999999995</v>
      </c>
      <c r="K13">
        <v>-3.693731E-3</v>
      </c>
      <c r="L13">
        <v>173.3415</v>
      </c>
      <c r="M13">
        <v>1.8415838E-2</v>
      </c>
      <c r="N13">
        <v>4.4091553000000002E-3</v>
      </c>
      <c r="O13">
        <v>11.961</v>
      </c>
      <c r="P13">
        <v>-7.7382246999999999E-3</v>
      </c>
      <c r="Q13">
        <v>-1.8511377999999999E-3</v>
      </c>
      <c r="R13">
        <v>-9.2556894000000001E-2</v>
      </c>
      <c r="S13">
        <v>3.1922290000000002</v>
      </c>
    </row>
    <row r="14" spans="1:19">
      <c r="A14" t="s">
        <v>12</v>
      </c>
      <c r="B14">
        <v>1894</v>
      </c>
      <c r="C14">
        <v>623.91380000000004</v>
      </c>
      <c r="D14">
        <v>220.43819999999999</v>
      </c>
      <c r="E14">
        <v>2.065674</v>
      </c>
      <c r="F14">
        <v>9.370761E-3</v>
      </c>
      <c r="G14">
        <v>403.47410000000002</v>
      </c>
      <c r="H14">
        <v>-3.536708</v>
      </c>
      <c r="I14">
        <v>-8.7656396999999994E-3</v>
      </c>
      <c r="J14">
        <v>-1.471034</v>
      </c>
      <c r="K14">
        <v>-2.3577523E-3</v>
      </c>
      <c r="L14">
        <v>567.08690000000001</v>
      </c>
      <c r="M14">
        <v>1.7012909E-2</v>
      </c>
      <c r="N14">
        <v>4.0949899999999997E-3</v>
      </c>
      <c r="O14">
        <v>56.826039999999999</v>
      </c>
      <c r="P14">
        <v>-8.0439728000000002E-3</v>
      </c>
      <c r="Q14">
        <v>-1.9368944999999999E-3</v>
      </c>
      <c r="R14">
        <v>-0.45710709999999999</v>
      </c>
      <c r="S14">
        <v>9.6477970000000006</v>
      </c>
    </row>
    <row r="15" spans="1:19">
      <c r="A15" t="s">
        <v>13</v>
      </c>
      <c r="B15">
        <v>2192</v>
      </c>
      <c r="C15">
        <v>385.77</v>
      </c>
      <c r="D15">
        <v>97.971810000000005</v>
      </c>
      <c r="E15">
        <v>1.6466959999999999</v>
      </c>
      <c r="F15">
        <v>1.6807860000000001E-2</v>
      </c>
      <c r="G15">
        <v>287.79790000000003</v>
      </c>
      <c r="H15">
        <v>-3.2103709999999999</v>
      </c>
      <c r="I15">
        <v>-1.1154951E-2</v>
      </c>
      <c r="J15">
        <v>-1.5636749999999999</v>
      </c>
      <c r="K15">
        <v>-4.0533873E-3</v>
      </c>
      <c r="L15">
        <v>356.74</v>
      </c>
      <c r="M15">
        <v>2.3097065999999999E-2</v>
      </c>
      <c r="N15">
        <v>5.5262554E-3</v>
      </c>
      <c r="O15">
        <v>29.03</v>
      </c>
      <c r="P15">
        <v>-1.0596912E-2</v>
      </c>
      <c r="Q15">
        <v>-2.5423833000000002E-3</v>
      </c>
      <c r="R15">
        <v>-0.30762840000000002</v>
      </c>
      <c r="S15">
        <v>8.2396469999999997</v>
      </c>
    </row>
    <row r="16" spans="1:19">
      <c r="A16" t="s">
        <v>14</v>
      </c>
      <c r="B16">
        <v>2192</v>
      </c>
      <c r="C16">
        <v>389.81310000000002</v>
      </c>
      <c r="D16">
        <v>91.668869999999998</v>
      </c>
      <c r="E16">
        <v>1.5643579999999999</v>
      </c>
      <c r="F16">
        <v>1.7065311E-2</v>
      </c>
      <c r="G16">
        <v>298.14460000000003</v>
      </c>
      <c r="H16">
        <v>-3.2985259999999998</v>
      </c>
      <c r="I16">
        <v>-1.1063511E-2</v>
      </c>
      <c r="J16">
        <v>-1.7341679999999999</v>
      </c>
      <c r="K16">
        <v>-4.4487169999999996E-3</v>
      </c>
      <c r="L16">
        <v>358.17140000000001</v>
      </c>
      <c r="M16">
        <v>2.2982538E-2</v>
      </c>
      <c r="N16">
        <v>5.4951180000000002E-3</v>
      </c>
      <c r="O16">
        <v>31.642009999999999</v>
      </c>
      <c r="P16">
        <v>-1.0364424000000001E-2</v>
      </c>
      <c r="Q16">
        <v>-2.4844789999999999E-3</v>
      </c>
      <c r="R16">
        <v>-0.3279512</v>
      </c>
      <c r="S16">
        <v>8.2316870000000009</v>
      </c>
    </row>
    <row r="17" spans="1:19">
      <c r="A17" t="s">
        <v>15</v>
      </c>
      <c r="B17">
        <v>2201</v>
      </c>
      <c r="C17">
        <v>393.42700000000002</v>
      </c>
      <c r="D17">
        <v>119.33669999999999</v>
      </c>
      <c r="E17">
        <v>1.759152</v>
      </c>
      <c r="F17">
        <v>1.4741081E-2</v>
      </c>
      <c r="G17">
        <v>274.09059999999999</v>
      </c>
      <c r="H17">
        <v>-3.066821</v>
      </c>
      <c r="I17">
        <v>-1.1189075E-2</v>
      </c>
      <c r="J17">
        <v>-1.3076680000000001</v>
      </c>
      <c r="K17">
        <v>-3.3237890000000002E-3</v>
      </c>
      <c r="L17">
        <v>355.93180000000001</v>
      </c>
      <c r="M17">
        <v>2.3538119999999999E-2</v>
      </c>
      <c r="N17">
        <v>5.6303530000000003E-3</v>
      </c>
      <c r="O17">
        <v>37.494999999999997</v>
      </c>
      <c r="P17">
        <v>-1.1936652000000001E-2</v>
      </c>
      <c r="Q17">
        <v>-2.8690051E-3</v>
      </c>
      <c r="R17">
        <v>-0.44756479999999998</v>
      </c>
      <c r="S17">
        <v>8.3779649999999997</v>
      </c>
    </row>
    <row r="18" spans="1:19">
      <c r="A18" t="s">
        <v>16</v>
      </c>
      <c r="B18">
        <v>4326</v>
      </c>
      <c r="C18">
        <v>1027.1790000000001</v>
      </c>
      <c r="D18">
        <v>248.43559999999999</v>
      </c>
      <c r="E18">
        <v>3.6717230000000001</v>
      </c>
      <c r="F18">
        <v>1.4779374E-2</v>
      </c>
      <c r="G18">
        <v>778.74350000000004</v>
      </c>
      <c r="H18">
        <v>-6.2858400000000003</v>
      </c>
      <c r="I18">
        <v>-8.0717718000000004E-3</v>
      </c>
      <c r="J18">
        <v>-2.6141160000000001</v>
      </c>
      <c r="K18">
        <v>-2.5449464999999999E-3</v>
      </c>
      <c r="L18">
        <v>962.67309999999998</v>
      </c>
      <c r="M18">
        <v>2.2014957000000002E-2</v>
      </c>
      <c r="N18">
        <v>5.3235888E-3</v>
      </c>
      <c r="O18">
        <v>64.50703</v>
      </c>
      <c r="P18">
        <v>-9.8251784000000005E-3</v>
      </c>
      <c r="Q18">
        <v>-2.3826808000000001E-3</v>
      </c>
      <c r="R18">
        <v>-0.6337931</v>
      </c>
      <c r="S18">
        <v>21.193210000000001</v>
      </c>
    </row>
    <row r="19" spans="1:19">
      <c r="A19" t="s">
        <v>17</v>
      </c>
      <c r="B19">
        <v>4366</v>
      </c>
      <c r="C19">
        <v>1011.49</v>
      </c>
      <c r="D19">
        <v>252.691</v>
      </c>
      <c r="E19">
        <v>3.9013390000000001</v>
      </c>
      <c r="F19">
        <v>1.5439164999999999E-2</v>
      </c>
      <c r="G19">
        <v>758.80089999999996</v>
      </c>
      <c r="H19">
        <v>-6.1650530000000003</v>
      </c>
      <c r="I19">
        <v>-8.1247314999999994E-3</v>
      </c>
      <c r="J19">
        <v>-2.2637149999999999</v>
      </c>
      <c r="K19">
        <v>-2.2379993000000002E-3</v>
      </c>
      <c r="L19">
        <v>961.05650000000003</v>
      </c>
      <c r="M19">
        <v>2.1882469000000002E-2</v>
      </c>
      <c r="N19">
        <v>5.2893078000000003E-3</v>
      </c>
      <c r="O19">
        <v>50.434010000000001</v>
      </c>
      <c r="P19">
        <v>-9.8907687000000001E-3</v>
      </c>
      <c r="Q19">
        <v>-2.3982269000000001E-3</v>
      </c>
      <c r="R19">
        <v>-0.49883119999999997</v>
      </c>
      <c r="S19">
        <v>21.030290000000001</v>
      </c>
    </row>
    <row r="20" spans="1:19">
      <c r="A20" t="s">
        <v>18</v>
      </c>
      <c r="B20">
        <v>4368</v>
      </c>
      <c r="C20">
        <v>1007.421</v>
      </c>
      <c r="D20">
        <v>249.3058</v>
      </c>
      <c r="E20">
        <v>3.8292480000000002</v>
      </c>
      <c r="F20">
        <v>1.5359644E-2</v>
      </c>
      <c r="G20">
        <v>758.11540000000002</v>
      </c>
      <c r="H20">
        <v>-6.1892569999999996</v>
      </c>
      <c r="I20">
        <v>-8.1640043999999991E-3</v>
      </c>
      <c r="J20">
        <v>-2.3600089999999998</v>
      </c>
      <c r="K20">
        <v>-2.3426248E-3</v>
      </c>
      <c r="L20">
        <v>957.53179999999998</v>
      </c>
      <c r="M20">
        <v>2.1870364E-2</v>
      </c>
      <c r="N20">
        <v>5.2882750000000003E-3</v>
      </c>
      <c r="O20">
        <v>49.889020000000002</v>
      </c>
      <c r="P20">
        <v>-1.0166542000000001E-2</v>
      </c>
      <c r="Q20">
        <v>-2.4621299999999999E-3</v>
      </c>
      <c r="R20">
        <v>-0.50719879999999995</v>
      </c>
      <c r="S20">
        <v>20.941569999999999</v>
      </c>
    </row>
    <row r="21" spans="1:19">
      <c r="A21" t="s">
        <v>19</v>
      </c>
      <c r="B21">
        <v>4368</v>
      </c>
      <c r="C21">
        <v>1028.845</v>
      </c>
      <c r="D21">
        <v>245.3528</v>
      </c>
      <c r="E21">
        <v>3.4190640000000001</v>
      </c>
      <c r="F21">
        <v>1.3935296999999999E-2</v>
      </c>
      <c r="G21">
        <v>783.49270000000001</v>
      </c>
      <c r="H21">
        <v>-6.4325029999999996</v>
      </c>
      <c r="I21">
        <v>-8.2100349999999992E-3</v>
      </c>
      <c r="J21">
        <v>-3.013439</v>
      </c>
      <c r="K21">
        <v>-2.9289517999999998E-3</v>
      </c>
      <c r="L21">
        <v>978.04610000000002</v>
      </c>
      <c r="M21">
        <v>2.1700185E-2</v>
      </c>
      <c r="N21">
        <v>5.2534113999999996E-3</v>
      </c>
      <c r="O21">
        <v>50.799010000000003</v>
      </c>
      <c r="P21">
        <v>-9.6369507000000007E-3</v>
      </c>
      <c r="Q21">
        <v>-2.3423328999999998E-3</v>
      </c>
      <c r="R21">
        <v>-0.48954760000000003</v>
      </c>
      <c r="S21">
        <v>21.223780000000001</v>
      </c>
    </row>
    <row r="22" spans="1:19">
      <c r="A22" t="s">
        <v>20</v>
      </c>
      <c r="B22">
        <v>4376</v>
      </c>
      <c r="C22">
        <v>1010.104</v>
      </c>
      <c r="D22">
        <v>248.9906</v>
      </c>
      <c r="E22">
        <v>3.8642020000000001</v>
      </c>
      <c r="F22">
        <v>1.5519468E-2</v>
      </c>
      <c r="G22">
        <v>761.11310000000003</v>
      </c>
      <c r="H22">
        <v>-6.2238309999999997</v>
      </c>
      <c r="I22">
        <v>-8.1772748000000003E-3</v>
      </c>
      <c r="J22">
        <v>-2.3596279999999998</v>
      </c>
      <c r="K22">
        <v>-2.3360240999999999E-3</v>
      </c>
      <c r="L22">
        <v>960.13599999999997</v>
      </c>
      <c r="M22">
        <v>2.194689E-2</v>
      </c>
      <c r="N22">
        <v>5.3051356000000001E-3</v>
      </c>
      <c r="O22">
        <v>49.96801</v>
      </c>
      <c r="P22">
        <v>-1.0054721000000001E-2</v>
      </c>
      <c r="Q22">
        <v>-2.4389049999999999E-3</v>
      </c>
      <c r="R22">
        <v>-0.50241440000000004</v>
      </c>
      <c r="S22">
        <v>21.071999999999999</v>
      </c>
    </row>
    <row r="23" spans="1:19">
      <c r="A23" t="s">
        <v>21</v>
      </c>
      <c r="B23">
        <v>4382</v>
      </c>
      <c r="C23">
        <v>1017.7809999999999</v>
      </c>
      <c r="D23">
        <v>238.88800000000001</v>
      </c>
      <c r="E23">
        <v>3.4443000000000001</v>
      </c>
      <c r="F23">
        <v>1.4418057E-2</v>
      </c>
      <c r="G23">
        <v>778.89409999999998</v>
      </c>
      <c r="H23">
        <v>-5.9894670000000003</v>
      </c>
      <c r="I23">
        <v>-7.6897060000000001E-3</v>
      </c>
      <c r="J23">
        <v>-2.545166</v>
      </c>
      <c r="K23">
        <v>-2.5007002999999999E-3</v>
      </c>
      <c r="L23">
        <v>961.36109999999996</v>
      </c>
      <c r="M23">
        <v>2.1710991999999998E-2</v>
      </c>
      <c r="N23">
        <v>5.2548092999999997E-3</v>
      </c>
      <c r="O23">
        <v>56.420029999999997</v>
      </c>
      <c r="P23">
        <v>-9.2897136000000009E-3</v>
      </c>
      <c r="Q23">
        <v>-2.2591633999999999E-3</v>
      </c>
      <c r="R23">
        <v>-0.52412590000000003</v>
      </c>
      <c r="S23">
        <v>20.8721</v>
      </c>
    </row>
    <row r="24" spans="1:19">
      <c r="A24" t="s">
        <v>34</v>
      </c>
      <c r="B24">
        <v>4382</v>
      </c>
      <c r="C24">
        <v>1011.285</v>
      </c>
      <c r="D24">
        <v>250.75059999999999</v>
      </c>
      <c r="E24">
        <v>3.817399</v>
      </c>
      <c r="F24">
        <v>1.5223884E-2</v>
      </c>
      <c r="G24">
        <v>760.53489999999999</v>
      </c>
      <c r="H24">
        <v>-6.1674660000000001</v>
      </c>
      <c r="I24">
        <v>-8.1093795999999992E-3</v>
      </c>
      <c r="J24">
        <v>-2.3500670000000001</v>
      </c>
      <c r="K24">
        <v>-2.3238424000000001E-3</v>
      </c>
      <c r="L24">
        <v>955.36479999999995</v>
      </c>
      <c r="M24">
        <v>2.2076551E-2</v>
      </c>
      <c r="N24">
        <v>5.3327838000000001E-3</v>
      </c>
      <c r="O24">
        <v>55.921030000000002</v>
      </c>
      <c r="P24">
        <v>-9.6532450999999991E-3</v>
      </c>
      <c r="Q24">
        <v>-2.3368807000000002E-3</v>
      </c>
      <c r="R24">
        <v>-0.53981939999999995</v>
      </c>
      <c r="S24">
        <v>21.091159999999999</v>
      </c>
    </row>
    <row r="25" spans="1:19">
      <c r="A25" t="s">
        <v>22</v>
      </c>
      <c r="B25">
        <v>4384</v>
      </c>
      <c r="C25">
        <v>587.53610000000003</v>
      </c>
      <c r="D25">
        <v>171.3278</v>
      </c>
      <c r="E25">
        <v>3.2611279999999998</v>
      </c>
      <c r="F25">
        <v>1.9034432E-2</v>
      </c>
      <c r="G25">
        <v>416.20890000000003</v>
      </c>
      <c r="H25">
        <v>-4.6230630000000001</v>
      </c>
      <c r="I25">
        <v>-1.1107554E-2</v>
      </c>
      <c r="J25">
        <v>-1.3619349999999999</v>
      </c>
      <c r="K25">
        <v>-2.3180442000000001E-3</v>
      </c>
      <c r="L25">
        <v>557.56740000000002</v>
      </c>
      <c r="M25">
        <v>2.3462378999999998E-2</v>
      </c>
      <c r="N25">
        <v>5.6169419999999998E-3</v>
      </c>
      <c r="O25">
        <v>29.969000000000001</v>
      </c>
      <c r="P25">
        <v>-1.1189773E-2</v>
      </c>
      <c r="Q25">
        <v>-2.6827705999999999E-3</v>
      </c>
      <c r="R25">
        <v>-0.33534629999999999</v>
      </c>
      <c r="S25">
        <v>13.081860000000001</v>
      </c>
    </row>
    <row r="26" spans="1:19">
      <c r="A26" t="s">
        <v>23</v>
      </c>
      <c r="B26">
        <v>4386</v>
      </c>
      <c r="C26">
        <v>1011.587</v>
      </c>
      <c r="D26">
        <v>232.68770000000001</v>
      </c>
      <c r="E26">
        <v>3.301183</v>
      </c>
      <c r="F26">
        <v>1.4187182E-2</v>
      </c>
      <c r="G26">
        <v>778.89940000000001</v>
      </c>
      <c r="H26">
        <v>-6.4927229999999998</v>
      </c>
      <c r="I26">
        <v>-8.3357654999999999E-3</v>
      </c>
      <c r="J26">
        <v>-3.1915399999999998</v>
      </c>
      <c r="K26">
        <v>-3.1549844000000001E-3</v>
      </c>
      <c r="L26">
        <v>954.49419999999998</v>
      </c>
      <c r="M26">
        <v>2.1844125999999998E-2</v>
      </c>
      <c r="N26">
        <v>5.2798408999999999E-3</v>
      </c>
      <c r="O26">
        <v>57.092059999999996</v>
      </c>
      <c r="P26">
        <v>-1.0765393E-2</v>
      </c>
      <c r="Q26">
        <v>-2.6153978E-3</v>
      </c>
      <c r="R26">
        <v>-0.61461849999999996</v>
      </c>
      <c r="S26">
        <v>20.850090000000002</v>
      </c>
    </row>
    <row r="27" spans="1:19">
      <c r="A27" t="s">
        <v>24</v>
      </c>
      <c r="B27">
        <v>4386</v>
      </c>
      <c r="C27">
        <v>1018.172</v>
      </c>
      <c r="D27">
        <v>246.506</v>
      </c>
      <c r="E27">
        <v>3.699678</v>
      </c>
      <c r="F27">
        <v>1.5008469999999999E-2</v>
      </c>
      <c r="G27">
        <v>771.66790000000003</v>
      </c>
      <c r="H27">
        <v>-5.9826280000000001</v>
      </c>
      <c r="I27">
        <v>-7.7528533999999998E-3</v>
      </c>
      <c r="J27">
        <v>-2.28295</v>
      </c>
      <c r="K27">
        <v>-2.2422042999999999E-3</v>
      </c>
      <c r="L27">
        <v>961.98829999999998</v>
      </c>
      <c r="M27">
        <v>2.1776145E-2</v>
      </c>
      <c r="N27">
        <v>5.2673872999999998E-3</v>
      </c>
      <c r="O27">
        <v>56.184040000000003</v>
      </c>
      <c r="P27">
        <v>-1.0401545E-2</v>
      </c>
      <c r="Q27">
        <v>-2.5298737E-3</v>
      </c>
      <c r="R27">
        <v>-0.58440080000000005</v>
      </c>
      <c r="S27">
        <v>20.948399999999999</v>
      </c>
    </row>
    <row r="28" spans="1:19">
      <c r="A28" t="s">
        <v>25</v>
      </c>
      <c r="B28">
        <v>4396</v>
      </c>
      <c r="C28">
        <v>1163.192</v>
      </c>
      <c r="D28">
        <v>267.53370000000001</v>
      </c>
      <c r="E28">
        <v>3.7812860000000001</v>
      </c>
      <c r="F28">
        <v>1.4133866E-2</v>
      </c>
      <c r="G28">
        <v>895.65599999999995</v>
      </c>
      <c r="H28">
        <v>-6.7910570000000003</v>
      </c>
      <c r="I28">
        <v>-7.5822156E-3</v>
      </c>
      <c r="J28">
        <v>-3.0097710000000002</v>
      </c>
      <c r="K28">
        <v>-2.5875111999999999E-3</v>
      </c>
      <c r="L28">
        <v>1095.116</v>
      </c>
      <c r="M28">
        <v>2.1113256E-2</v>
      </c>
      <c r="N28">
        <v>5.1165014E-3</v>
      </c>
      <c r="O28">
        <v>68.073120000000003</v>
      </c>
      <c r="P28">
        <v>-1.4200452000000001E-2</v>
      </c>
      <c r="Q28">
        <v>-3.4401035000000001E-3</v>
      </c>
      <c r="R28">
        <v>-0.96666909999999995</v>
      </c>
      <c r="S28">
        <v>23.121469999999999</v>
      </c>
    </row>
    <row r="29" spans="1:19">
      <c r="A29" t="s">
        <v>26</v>
      </c>
      <c r="B29">
        <v>4496</v>
      </c>
      <c r="C29">
        <v>889.84720000000004</v>
      </c>
      <c r="D29">
        <v>138.929</v>
      </c>
      <c r="E29">
        <v>1.6859310000000001</v>
      </c>
      <c r="F29">
        <v>1.2135197E-2</v>
      </c>
      <c r="G29">
        <v>750.92079999999999</v>
      </c>
      <c r="H29">
        <v>-7.390314</v>
      </c>
      <c r="I29">
        <v>-9.8416683999999997E-3</v>
      </c>
      <c r="J29">
        <v>-5.7043819999999998</v>
      </c>
      <c r="K29">
        <v>-6.4105191000000004E-3</v>
      </c>
      <c r="L29">
        <v>849.03089999999997</v>
      </c>
      <c r="M29">
        <v>2.6524058999999999E-2</v>
      </c>
      <c r="N29">
        <v>6.3994726999999996E-3</v>
      </c>
      <c r="O29">
        <v>40.816020000000002</v>
      </c>
      <c r="P29">
        <v>-7.5909584000000002E-3</v>
      </c>
      <c r="Q29">
        <v>-1.8442426E-3</v>
      </c>
      <c r="R29">
        <v>-0.30983280000000002</v>
      </c>
      <c r="S29">
        <v>22.519739999999999</v>
      </c>
    </row>
    <row r="30" spans="1:19">
      <c r="A30" t="s">
        <v>27</v>
      </c>
      <c r="B30">
        <v>4616</v>
      </c>
      <c r="C30">
        <v>880.08489999999995</v>
      </c>
      <c r="D30">
        <v>172.7182</v>
      </c>
      <c r="E30">
        <v>3.1096309999999998</v>
      </c>
      <c r="F30">
        <v>1.8004071E-2</v>
      </c>
      <c r="G30">
        <v>707.36760000000004</v>
      </c>
      <c r="H30">
        <v>-7.5169509999999997</v>
      </c>
      <c r="I30">
        <v>-1.0626653E-2</v>
      </c>
      <c r="J30">
        <v>-4.4073200000000003</v>
      </c>
      <c r="K30">
        <v>-5.0078351E-3</v>
      </c>
      <c r="L30">
        <v>744.67010000000005</v>
      </c>
      <c r="M30">
        <v>2.614758E-2</v>
      </c>
      <c r="N30">
        <v>6.3034385000000004E-3</v>
      </c>
      <c r="O30">
        <v>135.41480000000001</v>
      </c>
      <c r="P30">
        <v>-1.2523128E-2</v>
      </c>
      <c r="Q30">
        <v>-3.0336615000000002E-3</v>
      </c>
      <c r="R30">
        <v>-1.6958169999999999</v>
      </c>
      <c r="S30">
        <v>19.471319999999999</v>
      </c>
    </row>
    <row r="31" spans="1:19">
      <c r="A31" t="s">
        <v>28</v>
      </c>
      <c r="B31">
        <v>4599</v>
      </c>
      <c r="C31">
        <v>546.08699999999999</v>
      </c>
      <c r="D31">
        <v>135.1396</v>
      </c>
      <c r="E31">
        <v>2.7665709999999999</v>
      </c>
      <c r="F31">
        <v>2.0471942E-2</v>
      </c>
      <c r="G31">
        <v>410.947</v>
      </c>
      <c r="H31">
        <v>-6.7652190000000001</v>
      </c>
      <c r="I31">
        <v>-1.6462509E-2</v>
      </c>
      <c r="J31">
        <v>-3.9986480000000002</v>
      </c>
      <c r="K31">
        <v>-7.322365E-3</v>
      </c>
      <c r="L31">
        <v>525.38279999999997</v>
      </c>
      <c r="M31">
        <v>2.8844076999999999E-2</v>
      </c>
      <c r="N31">
        <v>6.9008105999999996E-3</v>
      </c>
      <c r="O31">
        <v>20.704000000000001</v>
      </c>
      <c r="P31">
        <v>-8.0481571999999994E-3</v>
      </c>
      <c r="Q31">
        <v>-1.9375473000000001E-3</v>
      </c>
      <c r="R31">
        <v>-0.1666291</v>
      </c>
      <c r="S31">
        <v>15.15418</v>
      </c>
    </row>
    <row r="32" spans="1:19">
      <c r="A32" t="s">
        <v>29</v>
      </c>
      <c r="B32">
        <v>4600</v>
      </c>
      <c r="C32">
        <v>527.51319999999998</v>
      </c>
      <c r="D32">
        <v>118.1066</v>
      </c>
      <c r="E32">
        <v>2.6843759999999999</v>
      </c>
      <c r="F32">
        <v>2.2728412999999999E-2</v>
      </c>
      <c r="G32">
        <v>409.40660000000003</v>
      </c>
      <c r="H32">
        <v>-6.7156419999999999</v>
      </c>
      <c r="I32">
        <v>-1.6403357E-2</v>
      </c>
      <c r="J32">
        <v>-4.0312659999999996</v>
      </c>
      <c r="K32">
        <v>-7.6420194999999996E-3</v>
      </c>
      <c r="L32">
        <v>506.0095</v>
      </c>
      <c r="M32">
        <v>2.9532867000000001E-2</v>
      </c>
      <c r="N32">
        <v>7.0690205000000002E-3</v>
      </c>
      <c r="O32">
        <v>21.504010000000001</v>
      </c>
      <c r="P32">
        <v>-9.6522979000000005E-3</v>
      </c>
      <c r="Q32">
        <v>-2.3321692999999999E-3</v>
      </c>
      <c r="R32">
        <v>-0.2075631</v>
      </c>
      <c r="S32">
        <v>14.943910000000001</v>
      </c>
    </row>
    <row r="33" spans="1:19">
      <c r="A33" t="s">
        <v>30</v>
      </c>
      <c r="B33">
        <v>4599</v>
      </c>
      <c r="C33">
        <v>529.35630000000003</v>
      </c>
      <c r="D33">
        <v>120.2056</v>
      </c>
      <c r="E33">
        <v>2.6842109999999999</v>
      </c>
      <c r="F33">
        <v>2.2330158999999999E-2</v>
      </c>
      <c r="G33">
        <v>409.15050000000002</v>
      </c>
      <c r="H33">
        <v>-6.7242610000000003</v>
      </c>
      <c r="I33">
        <v>-1.6434687999999999E-2</v>
      </c>
      <c r="J33">
        <v>-4.0400510000000001</v>
      </c>
      <c r="K33">
        <v>-7.6320064000000003E-3</v>
      </c>
      <c r="L33">
        <v>508.1035</v>
      </c>
      <c r="M33">
        <v>2.9453764E-2</v>
      </c>
      <c r="N33">
        <v>7.0525733999999996E-3</v>
      </c>
      <c r="O33">
        <v>21.253</v>
      </c>
      <c r="P33">
        <v>-9.6456519999999994E-3</v>
      </c>
      <c r="Q33">
        <v>-2.3295350999999998E-3</v>
      </c>
      <c r="R33">
        <v>-0.20499909999999999</v>
      </c>
      <c r="S33">
        <v>14.96556</v>
      </c>
    </row>
    <row r="34" spans="1:19">
      <c r="A34" t="s">
        <v>31</v>
      </c>
      <c r="B34">
        <v>10032</v>
      </c>
      <c r="C34">
        <v>2320.5439999999999</v>
      </c>
      <c r="D34">
        <v>710.45839999999998</v>
      </c>
      <c r="E34">
        <v>6.6517270000000002</v>
      </c>
      <c r="F34">
        <v>9.3625849000000001E-3</v>
      </c>
      <c r="G34">
        <v>1610.078</v>
      </c>
      <c r="H34">
        <v>-15.35042</v>
      </c>
      <c r="I34">
        <v>-9.5339594E-3</v>
      </c>
      <c r="J34">
        <v>-8.6986910000000002</v>
      </c>
      <c r="K34">
        <v>-3.7485575000000002E-3</v>
      </c>
      <c r="L34">
        <v>1978.8030000000001</v>
      </c>
      <c r="M34">
        <v>1.9769894E-2</v>
      </c>
      <c r="N34">
        <v>4.7505437000000001E-3</v>
      </c>
      <c r="O34">
        <v>341.74669999999998</v>
      </c>
      <c r="P34">
        <v>-9.3118055000000009E-3</v>
      </c>
      <c r="Q34">
        <v>-2.2633559999999998E-3</v>
      </c>
      <c r="R34">
        <v>-3.1822789999999999</v>
      </c>
      <c r="S34">
        <v>39.120730000000002</v>
      </c>
    </row>
    <row r="35" spans="1:19">
      <c r="A35" t="s">
        <v>32</v>
      </c>
      <c r="B35">
        <v>10214</v>
      </c>
      <c r="C35">
        <v>2454.8710000000001</v>
      </c>
      <c r="D35">
        <v>699.0163</v>
      </c>
      <c r="E35">
        <v>7.693676</v>
      </c>
      <c r="F35">
        <v>1.1006432999999999E-2</v>
      </c>
      <c r="G35">
        <v>1755.8530000000001</v>
      </c>
      <c r="H35">
        <v>-16.951619999999998</v>
      </c>
      <c r="I35">
        <v>-9.6543487000000008E-3</v>
      </c>
      <c r="J35">
        <v>-9.2579419999999999</v>
      </c>
      <c r="K35">
        <v>-3.7712535999999998E-3</v>
      </c>
      <c r="L35">
        <v>2080.7510000000002</v>
      </c>
      <c r="M35">
        <v>1.9883919999999999E-2</v>
      </c>
      <c r="N35">
        <v>4.7891530999999996E-3</v>
      </c>
      <c r="O35">
        <v>374.13490000000002</v>
      </c>
      <c r="P35">
        <v>-1.1111627000000001E-2</v>
      </c>
      <c r="Q35">
        <v>-2.6942631000000002E-3</v>
      </c>
      <c r="R35">
        <v>-4.1572480000000001</v>
      </c>
      <c r="S35">
        <v>41.373489999999997</v>
      </c>
    </row>
    <row r="36" spans="1:19">
      <c r="A36" t="s">
        <v>33</v>
      </c>
      <c r="B36">
        <v>10355</v>
      </c>
      <c r="C36">
        <v>2701.5050000000001</v>
      </c>
      <c r="D36">
        <v>957.19069999999999</v>
      </c>
      <c r="E36">
        <v>10.41771</v>
      </c>
      <c r="F36">
        <v>1.0883634E-2</v>
      </c>
      <c r="G36">
        <v>1744.3050000000001</v>
      </c>
      <c r="H36">
        <v>-15.44666</v>
      </c>
      <c r="I36">
        <v>-8.8554826000000007E-3</v>
      </c>
      <c r="J36">
        <v>-5.0289460000000004</v>
      </c>
      <c r="K36">
        <v>-1.8615347E-3</v>
      </c>
      <c r="L36">
        <v>2248.9279999999999</v>
      </c>
      <c r="M36">
        <v>1.8737679E-2</v>
      </c>
      <c r="N36">
        <v>4.4929831999999999E-3</v>
      </c>
      <c r="O36">
        <v>452.59120000000001</v>
      </c>
      <c r="P36">
        <v>-1.1491335E-2</v>
      </c>
      <c r="Q36">
        <v>-2.7901702999999999E-3</v>
      </c>
      <c r="R36">
        <v>-5.2008770000000002</v>
      </c>
      <c r="S36">
        <v>42.139690000000002</v>
      </c>
    </row>
  </sheetData>
  <phoneticPr fontId="0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82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273.1164</v>
      </c>
      <c r="D2">
        <v>81.315960000000004</v>
      </c>
      <c r="E2">
        <v>1.0901369999999999</v>
      </c>
      <c r="F2">
        <v>1.3406184E-2</v>
      </c>
      <c r="G2">
        <v>191.80070000000001</v>
      </c>
      <c r="H2">
        <v>-2.1214189999999999</v>
      </c>
      <c r="I2">
        <v>-1.1060538E-2</v>
      </c>
      <c r="J2">
        <v>-1.031282</v>
      </c>
      <c r="K2">
        <v>-3.7759815E-3</v>
      </c>
      <c r="L2">
        <v>225.82149999999999</v>
      </c>
      <c r="M2">
        <v>2.7215151E-2</v>
      </c>
      <c r="N2">
        <v>6.4828754000000001E-3</v>
      </c>
      <c r="O2">
        <v>47.295020000000001</v>
      </c>
      <c r="P2">
        <v>-1.4313387E-2</v>
      </c>
      <c r="Q2">
        <v>-3.4538361000000001E-3</v>
      </c>
      <c r="R2">
        <v>-0.67695190000000005</v>
      </c>
      <c r="S2">
        <v>6.1457660000000001</v>
      </c>
    </row>
    <row r="3" spans="1:19">
      <c r="A3" t="s">
        <v>1</v>
      </c>
      <c r="B3">
        <v>1248</v>
      </c>
      <c r="C3">
        <v>316.91570000000002</v>
      </c>
      <c r="D3">
        <v>82.324010000000001</v>
      </c>
      <c r="E3">
        <v>1.207989</v>
      </c>
      <c r="F3">
        <v>1.4673596000000001E-2</v>
      </c>
      <c r="G3">
        <v>234.59180000000001</v>
      </c>
      <c r="H3">
        <v>-2.4729130000000001</v>
      </c>
      <c r="I3">
        <v>-1.0541343E-2</v>
      </c>
      <c r="J3">
        <v>-1.264923</v>
      </c>
      <c r="K3">
        <v>-3.9913561000000002E-3</v>
      </c>
      <c r="L3">
        <v>242.74639999999999</v>
      </c>
      <c r="M3">
        <v>2.5920762E-2</v>
      </c>
      <c r="N3">
        <v>6.1687953E-3</v>
      </c>
      <c r="O3">
        <v>74.169110000000003</v>
      </c>
      <c r="P3">
        <v>-1.0827883E-2</v>
      </c>
      <c r="Q3">
        <v>-2.6159426000000002E-3</v>
      </c>
      <c r="R3">
        <v>-0.80309439999999999</v>
      </c>
      <c r="S3">
        <v>6.2921709999999997</v>
      </c>
    </row>
    <row r="4" spans="1:19">
      <c r="A4" t="s">
        <v>2</v>
      </c>
      <c r="B4">
        <v>2468</v>
      </c>
      <c r="C4">
        <v>574.56920000000002</v>
      </c>
      <c r="D4">
        <v>152.02080000000001</v>
      </c>
      <c r="E4">
        <v>2.4775269999999998</v>
      </c>
      <c r="F4">
        <v>1.6297292000000001E-2</v>
      </c>
      <c r="G4">
        <v>422.54950000000002</v>
      </c>
      <c r="H4">
        <v>-5.2534660000000004</v>
      </c>
      <c r="I4">
        <v>-1.2432782999999999E-2</v>
      </c>
      <c r="J4">
        <v>-2.7759390000000002</v>
      </c>
      <c r="K4">
        <v>-4.8313402E-3</v>
      </c>
      <c r="L4">
        <v>536.84640000000002</v>
      </c>
      <c r="M4">
        <v>2.6118286000000001E-2</v>
      </c>
      <c r="N4">
        <v>6.2456600999999997E-3</v>
      </c>
      <c r="O4">
        <v>37.722999999999999</v>
      </c>
      <c r="P4">
        <v>-1.4644337E-2</v>
      </c>
      <c r="Q4">
        <v>-3.5412071999999998E-3</v>
      </c>
      <c r="R4">
        <v>-0.55242829999999998</v>
      </c>
      <c r="S4">
        <v>14.021509999999999</v>
      </c>
    </row>
    <row r="5" spans="1:19">
      <c r="A5" t="s">
        <v>3</v>
      </c>
      <c r="B5">
        <v>993</v>
      </c>
      <c r="C5">
        <v>152.03309999999999</v>
      </c>
      <c r="D5">
        <v>68.989000000000004</v>
      </c>
      <c r="E5">
        <v>0.50417820000000002</v>
      </c>
      <c r="F5">
        <v>7.3080951999999998E-3</v>
      </c>
      <c r="G5">
        <v>83.044049999999999</v>
      </c>
      <c r="H5">
        <v>-0.94133500000000003</v>
      </c>
      <c r="I5">
        <v>-1.1335369E-2</v>
      </c>
      <c r="J5">
        <v>-0.43715690000000001</v>
      </c>
      <c r="K5">
        <v>-2.8754053999999999E-3</v>
      </c>
      <c r="L5">
        <v>139.39109999999999</v>
      </c>
      <c r="M5">
        <v>1.7313697999999999E-2</v>
      </c>
      <c r="N5">
        <v>4.1183881000000002E-3</v>
      </c>
      <c r="O5">
        <v>12.641999999999999</v>
      </c>
      <c r="P5">
        <v>-1.2293757000000001E-2</v>
      </c>
      <c r="Q5">
        <v>-2.9324087999999999E-3</v>
      </c>
      <c r="R5">
        <v>-0.15541769999999999</v>
      </c>
      <c r="S5">
        <v>2.4133749999999998</v>
      </c>
    </row>
    <row r="6" spans="1:19">
      <c r="A6" t="s">
        <v>4</v>
      </c>
      <c r="B6">
        <v>994</v>
      </c>
      <c r="C6">
        <v>153.54589999999999</v>
      </c>
      <c r="D6">
        <v>58.211010000000002</v>
      </c>
      <c r="E6">
        <v>0.54029210000000005</v>
      </c>
      <c r="F6">
        <v>9.2816148000000008E-3</v>
      </c>
      <c r="G6">
        <v>95.33502</v>
      </c>
      <c r="H6">
        <v>-1.0039549999999999</v>
      </c>
      <c r="I6">
        <v>-1.0530809E-2</v>
      </c>
      <c r="J6">
        <v>-0.46366269999999998</v>
      </c>
      <c r="K6">
        <v>-3.0197012000000001E-3</v>
      </c>
      <c r="L6">
        <v>144.017</v>
      </c>
      <c r="M6">
        <v>1.8310350999999999E-2</v>
      </c>
      <c r="N6">
        <v>4.3514874000000004E-3</v>
      </c>
      <c r="O6">
        <v>9.5289990000000007</v>
      </c>
      <c r="P6">
        <v>-1.159896E-2</v>
      </c>
      <c r="Q6">
        <v>-2.7631619E-3</v>
      </c>
      <c r="R6">
        <v>-0.1105265</v>
      </c>
      <c r="S6">
        <v>2.6370010000000002</v>
      </c>
    </row>
    <row r="7" spans="1:19">
      <c r="A7" t="s">
        <v>5</v>
      </c>
      <c r="B7">
        <v>1001</v>
      </c>
      <c r="C7">
        <v>156.6662</v>
      </c>
      <c r="D7">
        <v>72.588999999999999</v>
      </c>
      <c r="E7">
        <v>0.43734299999999998</v>
      </c>
      <c r="F7">
        <v>6.0249212999999996E-3</v>
      </c>
      <c r="G7">
        <v>84.076980000000006</v>
      </c>
      <c r="H7">
        <v>-1.0172669999999999</v>
      </c>
      <c r="I7">
        <v>-1.2099235999999999E-2</v>
      </c>
      <c r="J7">
        <v>-0.5799242</v>
      </c>
      <c r="K7">
        <v>-3.7016554E-3</v>
      </c>
      <c r="L7">
        <v>147.6431</v>
      </c>
      <c r="M7">
        <v>1.6983811000000001E-2</v>
      </c>
      <c r="N7">
        <v>4.0444247000000003E-3</v>
      </c>
      <c r="O7">
        <v>9.0229999999999997</v>
      </c>
      <c r="P7">
        <v>-1.3056376E-2</v>
      </c>
      <c r="Q7">
        <v>-3.1002021999999999E-3</v>
      </c>
      <c r="R7">
        <v>-0.1178077</v>
      </c>
      <c r="S7">
        <v>2.5075430000000001</v>
      </c>
    </row>
    <row r="8" spans="1:19">
      <c r="A8" t="s">
        <v>6</v>
      </c>
      <c r="B8">
        <v>1001</v>
      </c>
      <c r="C8">
        <v>155.65799999999999</v>
      </c>
      <c r="D8">
        <v>69.270030000000006</v>
      </c>
      <c r="E8">
        <v>0.5331245</v>
      </c>
      <c r="F8">
        <v>7.6963231000000002E-3</v>
      </c>
      <c r="G8">
        <v>86.387990000000002</v>
      </c>
      <c r="H8">
        <v>-1.007406</v>
      </c>
      <c r="I8">
        <v>-1.1661418E-2</v>
      </c>
      <c r="J8">
        <v>-0.47428199999999998</v>
      </c>
      <c r="K8">
        <v>-3.0469485E-3</v>
      </c>
      <c r="L8">
        <v>146.13210000000001</v>
      </c>
      <c r="M8">
        <v>1.7526501999999999E-2</v>
      </c>
      <c r="N8">
        <v>4.1713095000000004E-3</v>
      </c>
      <c r="O8">
        <v>9.5259999999999998</v>
      </c>
      <c r="P8">
        <v>-1.2051133E-2</v>
      </c>
      <c r="Q8">
        <v>-2.8699772000000002E-3</v>
      </c>
      <c r="R8">
        <v>-0.1147991</v>
      </c>
      <c r="S8">
        <v>2.5611839999999999</v>
      </c>
    </row>
    <row r="9" spans="1:19">
      <c r="A9" t="s">
        <v>7</v>
      </c>
      <c r="B9">
        <v>1305</v>
      </c>
      <c r="C9">
        <v>178.43770000000001</v>
      </c>
      <c r="D9">
        <v>66.895979999999994</v>
      </c>
      <c r="E9">
        <v>0.81748849999999995</v>
      </c>
      <c r="F9">
        <v>1.2220293E-2</v>
      </c>
      <c r="G9">
        <v>111.542</v>
      </c>
      <c r="H9">
        <v>-1.260753</v>
      </c>
      <c r="I9">
        <v>-1.1302952E-2</v>
      </c>
      <c r="J9">
        <v>-0.44326480000000001</v>
      </c>
      <c r="K9">
        <v>-2.4841429999999999E-3</v>
      </c>
      <c r="L9">
        <v>163.3416</v>
      </c>
      <c r="M9">
        <v>2.1409187E-2</v>
      </c>
      <c r="N9">
        <v>5.0902645999999999E-3</v>
      </c>
      <c r="O9">
        <v>15.096</v>
      </c>
      <c r="P9">
        <v>-1.0483605999999999E-2</v>
      </c>
      <c r="Q9">
        <v>-2.5120708000000002E-3</v>
      </c>
      <c r="R9">
        <v>-0.1582605</v>
      </c>
      <c r="S9">
        <v>3.4970119999999998</v>
      </c>
    </row>
    <row r="10" spans="1:19">
      <c r="A10" t="s">
        <v>8</v>
      </c>
      <c r="B10">
        <v>1309</v>
      </c>
      <c r="C10">
        <v>187.87569999999999</v>
      </c>
      <c r="D10">
        <v>69.637990000000002</v>
      </c>
      <c r="E10">
        <v>0.93096239999999997</v>
      </c>
      <c r="F10">
        <v>1.3368601000000001E-2</v>
      </c>
      <c r="G10">
        <v>118.238</v>
      </c>
      <c r="H10">
        <v>-1.4311799999999999</v>
      </c>
      <c r="I10">
        <v>-1.2104233000000001E-2</v>
      </c>
      <c r="J10">
        <v>-0.50021789999999999</v>
      </c>
      <c r="K10">
        <v>-2.6624938E-3</v>
      </c>
      <c r="L10">
        <v>173.7817</v>
      </c>
      <c r="M10">
        <v>2.1199802E-2</v>
      </c>
      <c r="N10">
        <v>5.0467630000000001E-3</v>
      </c>
      <c r="O10">
        <v>14.093999999999999</v>
      </c>
      <c r="P10">
        <v>-1.1514391000000001E-2</v>
      </c>
      <c r="Q10">
        <v>-2.7505727E-3</v>
      </c>
      <c r="R10">
        <v>-0.16228380000000001</v>
      </c>
      <c r="S10">
        <v>3.6841370000000002</v>
      </c>
    </row>
    <row r="11" spans="1:19">
      <c r="A11" t="s">
        <v>9</v>
      </c>
      <c r="B11">
        <v>951</v>
      </c>
      <c r="C11">
        <v>153.73769999999999</v>
      </c>
      <c r="D11">
        <v>39.692019999999999</v>
      </c>
      <c r="E11">
        <v>0.41008430000000001</v>
      </c>
      <c r="F11">
        <v>1.0331656999999999E-2</v>
      </c>
      <c r="G11">
        <v>114.04600000000001</v>
      </c>
      <c r="H11">
        <v>-1.3085340000000001</v>
      </c>
      <c r="I11">
        <v>-1.1473741000000001E-2</v>
      </c>
      <c r="J11">
        <v>-0.89844950000000001</v>
      </c>
      <c r="K11">
        <v>-5.8440402999999997E-3</v>
      </c>
      <c r="L11">
        <v>140.92179999999999</v>
      </c>
      <c r="M11">
        <v>1.7845903999999999E-2</v>
      </c>
      <c r="N11">
        <v>4.2481044999999997E-3</v>
      </c>
      <c r="O11">
        <v>12.816000000000001</v>
      </c>
      <c r="P11">
        <v>-7.3905988000000002E-3</v>
      </c>
      <c r="Q11">
        <v>-1.7540351E-3</v>
      </c>
      <c r="R11">
        <v>-9.4717896999999995E-2</v>
      </c>
      <c r="S11">
        <v>2.5148779999999999</v>
      </c>
    </row>
    <row r="12" spans="1:19">
      <c r="A12" t="s">
        <v>10</v>
      </c>
      <c r="B12">
        <v>956</v>
      </c>
      <c r="C12">
        <v>155.5797</v>
      </c>
      <c r="D12">
        <v>39.920009999999998</v>
      </c>
      <c r="E12">
        <v>0.41447149999999999</v>
      </c>
      <c r="F12">
        <v>1.0382550000000001E-2</v>
      </c>
      <c r="G12">
        <v>115.66</v>
      </c>
      <c r="H12">
        <v>-1.3161849999999999</v>
      </c>
      <c r="I12">
        <v>-1.1379777000000001E-2</v>
      </c>
      <c r="J12">
        <v>-0.90171299999999999</v>
      </c>
      <c r="K12">
        <v>-5.7958276000000001E-3</v>
      </c>
      <c r="L12">
        <v>142.9888</v>
      </c>
      <c r="M12">
        <v>1.7629005E-2</v>
      </c>
      <c r="N12">
        <v>4.1942591999999997E-3</v>
      </c>
      <c r="O12">
        <v>12.590999999999999</v>
      </c>
      <c r="P12">
        <v>-7.3909316999999997E-3</v>
      </c>
      <c r="Q12">
        <v>-1.7558342E-3</v>
      </c>
      <c r="R12">
        <v>-9.3059212000000002E-2</v>
      </c>
      <c r="S12">
        <v>2.52075</v>
      </c>
    </row>
    <row r="13" spans="1:19">
      <c r="A13" t="s">
        <v>11</v>
      </c>
      <c r="B13">
        <v>957</v>
      </c>
      <c r="C13">
        <v>155.1678</v>
      </c>
      <c r="D13">
        <v>49.898989999999998</v>
      </c>
      <c r="E13">
        <v>0.66261490000000001</v>
      </c>
      <c r="F13">
        <v>1.3279126E-2</v>
      </c>
      <c r="G13">
        <v>105.26900000000001</v>
      </c>
      <c r="H13">
        <v>-1.2210460000000001</v>
      </c>
      <c r="I13">
        <v>-1.1599292000000001E-2</v>
      </c>
      <c r="J13">
        <v>-0.55843089999999995</v>
      </c>
      <c r="K13">
        <v>-3.5988834999999999E-3</v>
      </c>
      <c r="L13">
        <v>145.18389999999999</v>
      </c>
      <c r="M13">
        <v>1.8375991000000001E-2</v>
      </c>
      <c r="N13">
        <v>4.3736039999999997E-3</v>
      </c>
      <c r="O13">
        <v>9.9840009999999992</v>
      </c>
      <c r="P13">
        <v>-7.4949869999999998E-3</v>
      </c>
      <c r="Q13">
        <v>-1.7816657E-3</v>
      </c>
      <c r="R13">
        <v>-7.4829958000000002E-2</v>
      </c>
      <c r="S13">
        <v>2.6678980000000001</v>
      </c>
    </row>
    <row r="14" spans="1:19">
      <c r="A14" t="s">
        <v>12</v>
      </c>
      <c r="B14">
        <v>1894</v>
      </c>
      <c r="C14">
        <v>540.34379999999999</v>
      </c>
      <c r="D14">
        <v>193.38229999999999</v>
      </c>
      <c r="E14">
        <v>1.797939</v>
      </c>
      <c r="F14">
        <v>9.297329E-3</v>
      </c>
      <c r="G14">
        <v>346.96190000000001</v>
      </c>
      <c r="H14">
        <v>-3.0615570000000001</v>
      </c>
      <c r="I14">
        <v>-8.8238976999999996E-3</v>
      </c>
      <c r="J14">
        <v>-1.2636179999999999</v>
      </c>
      <c r="K14">
        <v>-2.3385440000000001E-3</v>
      </c>
      <c r="L14">
        <v>491.26159999999999</v>
      </c>
      <c r="M14">
        <v>1.7028056E-2</v>
      </c>
      <c r="N14">
        <v>4.0766224000000004E-3</v>
      </c>
      <c r="O14">
        <v>49.081989999999998</v>
      </c>
      <c r="P14">
        <v>-7.9220273000000004E-3</v>
      </c>
      <c r="Q14">
        <v>-1.8967261999999999E-3</v>
      </c>
      <c r="R14">
        <v>-0.38882889999999998</v>
      </c>
      <c r="S14">
        <v>8.3652300000000004</v>
      </c>
    </row>
    <row r="15" spans="1:19">
      <c r="A15" t="s">
        <v>13</v>
      </c>
      <c r="B15">
        <v>2192</v>
      </c>
      <c r="C15">
        <v>329.26350000000002</v>
      </c>
      <c r="D15">
        <v>84.545929999999998</v>
      </c>
      <c r="E15">
        <v>1.4742090000000001</v>
      </c>
      <c r="F15">
        <v>1.7436785999999999E-2</v>
      </c>
      <c r="G15">
        <v>244.71799999999999</v>
      </c>
      <c r="H15">
        <v>-2.755328</v>
      </c>
      <c r="I15">
        <v>-1.1259195E-2</v>
      </c>
      <c r="J15">
        <v>-1.281118</v>
      </c>
      <c r="K15">
        <v>-3.8908608000000002E-3</v>
      </c>
      <c r="L15">
        <v>305.38650000000001</v>
      </c>
      <c r="M15">
        <v>2.3150260999999998E-2</v>
      </c>
      <c r="N15">
        <v>5.5060567999999999E-3</v>
      </c>
      <c r="O15">
        <v>23.877009999999999</v>
      </c>
      <c r="P15">
        <v>-1.022264E-2</v>
      </c>
      <c r="Q15">
        <v>-2.4408606999999998E-3</v>
      </c>
      <c r="R15">
        <v>-0.2440861</v>
      </c>
      <c r="S15">
        <v>7.0697770000000002</v>
      </c>
    </row>
    <row r="16" spans="1:19">
      <c r="A16" t="s">
        <v>14</v>
      </c>
      <c r="B16">
        <v>2192</v>
      </c>
      <c r="C16">
        <v>333.46870000000001</v>
      </c>
      <c r="D16">
        <v>80.97193</v>
      </c>
      <c r="E16">
        <v>1.394601</v>
      </c>
      <c r="F16">
        <v>1.7223268999999999E-2</v>
      </c>
      <c r="G16">
        <v>252.49680000000001</v>
      </c>
      <c r="H16">
        <v>-2.7837100000000001</v>
      </c>
      <c r="I16">
        <v>-1.1024735000000001E-2</v>
      </c>
      <c r="J16">
        <v>-1.3891089999999999</v>
      </c>
      <c r="K16">
        <v>-4.1656354000000001E-3</v>
      </c>
      <c r="L16">
        <v>306.97359999999998</v>
      </c>
      <c r="M16">
        <v>2.3080328000000001E-2</v>
      </c>
      <c r="N16">
        <v>5.4880338999999997E-3</v>
      </c>
      <c r="O16">
        <v>26.495000000000001</v>
      </c>
      <c r="P16">
        <v>-1.0450233999999999E-2</v>
      </c>
      <c r="Q16">
        <v>-2.4944053E-3</v>
      </c>
      <c r="R16">
        <v>-0.27687899999999999</v>
      </c>
      <c r="S16">
        <v>7.0850520000000001</v>
      </c>
    </row>
    <row r="17" spans="1:19">
      <c r="A17" t="s">
        <v>15</v>
      </c>
      <c r="B17">
        <v>2201</v>
      </c>
      <c r="C17">
        <v>337.6354</v>
      </c>
      <c r="D17">
        <v>102.2159</v>
      </c>
      <c r="E17">
        <v>1.500847</v>
      </c>
      <c r="F17">
        <v>1.4683099E-2</v>
      </c>
      <c r="G17">
        <v>235.4195</v>
      </c>
      <c r="H17">
        <v>-2.6524700000000001</v>
      </c>
      <c r="I17">
        <v>-1.1266995E-2</v>
      </c>
      <c r="J17">
        <v>-1.1516230000000001</v>
      </c>
      <c r="K17">
        <v>-3.4108490000000001E-3</v>
      </c>
      <c r="L17">
        <v>307.78039999999999</v>
      </c>
      <c r="M17">
        <v>2.3647681E-2</v>
      </c>
      <c r="N17">
        <v>5.6246459E-3</v>
      </c>
      <c r="O17">
        <v>29.855</v>
      </c>
      <c r="P17">
        <v>-1.2041398E-2</v>
      </c>
      <c r="Q17">
        <v>-2.8759672000000002E-3</v>
      </c>
      <c r="R17">
        <v>-0.35949589999999998</v>
      </c>
      <c r="S17">
        <v>7.2782920000000004</v>
      </c>
    </row>
    <row r="18" spans="1:19">
      <c r="A18" t="s">
        <v>16</v>
      </c>
      <c r="B18">
        <v>4326</v>
      </c>
      <c r="C18">
        <v>865.40459999999996</v>
      </c>
      <c r="D18">
        <v>212.53530000000001</v>
      </c>
      <c r="E18">
        <v>3.170277</v>
      </c>
      <c r="F18">
        <v>1.4916471000000001E-2</v>
      </c>
      <c r="G18">
        <v>652.86659999999995</v>
      </c>
      <c r="H18">
        <v>-5.3141280000000002</v>
      </c>
      <c r="I18">
        <v>-8.1396847999999997E-3</v>
      </c>
      <c r="J18">
        <v>-2.1438510000000002</v>
      </c>
      <c r="K18">
        <v>-2.4772819999999999E-3</v>
      </c>
      <c r="L18">
        <v>812.62559999999996</v>
      </c>
      <c r="M18">
        <v>2.2028128000000001E-2</v>
      </c>
      <c r="N18">
        <v>5.2944751999999999E-3</v>
      </c>
      <c r="O18">
        <v>52.778039999999997</v>
      </c>
      <c r="P18">
        <v>-9.3169398999999996E-3</v>
      </c>
      <c r="Q18">
        <v>-2.2453419E-3</v>
      </c>
      <c r="R18">
        <v>-0.4917299</v>
      </c>
      <c r="S18">
        <v>17.90062</v>
      </c>
    </row>
    <row r="19" spans="1:19">
      <c r="A19" t="s">
        <v>17</v>
      </c>
      <c r="B19">
        <v>4366</v>
      </c>
      <c r="C19">
        <v>852.3374</v>
      </c>
      <c r="D19">
        <v>218.79169999999999</v>
      </c>
      <c r="E19">
        <v>3.4391449999999999</v>
      </c>
      <c r="F19">
        <v>1.5718807000000001E-2</v>
      </c>
      <c r="G19">
        <v>633.54110000000003</v>
      </c>
      <c r="H19">
        <v>-5.1580199999999996</v>
      </c>
      <c r="I19">
        <v>-8.1415716999999992E-3</v>
      </c>
      <c r="J19">
        <v>-1.7188749999999999</v>
      </c>
      <c r="K19">
        <v>-2.0166597999999999E-3</v>
      </c>
      <c r="L19">
        <v>810.93010000000004</v>
      </c>
      <c r="M19">
        <v>2.1887481E-2</v>
      </c>
      <c r="N19">
        <v>5.2621452999999999E-3</v>
      </c>
      <c r="O19">
        <v>41.407020000000003</v>
      </c>
      <c r="P19">
        <v>-9.8533639999999999E-3</v>
      </c>
      <c r="Q19">
        <v>-2.372084E-3</v>
      </c>
      <c r="R19">
        <v>-0.40799839999999998</v>
      </c>
      <c r="S19">
        <v>17.749220000000001</v>
      </c>
    </row>
    <row r="20" spans="1:19">
      <c r="A20" t="s">
        <v>18</v>
      </c>
      <c r="B20">
        <v>4368</v>
      </c>
      <c r="C20">
        <v>852.7876</v>
      </c>
      <c r="D20">
        <v>214.7868</v>
      </c>
      <c r="E20">
        <v>3.3509669999999998</v>
      </c>
      <c r="F20">
        <v>1.5601367999999999E-2</v>
      </c>
      <c r="G20">
        <v>637.99580000000003</v>
      </c>
      <c r="H20">
        <v>-5.1735239999999996</v>
      </c>
      <c r="I20">
        <v>-8.1090247000000001E-3</v>
      </c>
      <c r="J20">
        <v>-1.822557</v>
      </c>
      <c r="K20">
        <v>-2.1371755E-3</v>
      </c>
      <c r="L20">
        <v>810.92439999999999</v>
      </c>
      <c r="M20">
        <v>2.1803093999999999E-2</v>
      </c>
      <c r="N20">
        <v>5.2449302999999997E-3</v>
      </c>
      <c r="O20">
        <v>41.863030000000002</v>
      </c>
      <c r="P20">
        <v>-9.7381072000000003E-3</v>
      </c>
      <c r="Q20">
        <v>-2.3429118999999999E-3</v>
      </c>
      <c r="R20">
        <v>-0.40766669999999999</v>
      </c>
      <c r="S20">
        <v>17.68066</v>
      </c>
    </row>
    <row r="21" spans="1:19">
      <c r="A21" t="s">
        <v>19</v>
      </c>
      <c r="B21">
        <v>4368</v>
      </c>
      <c r="C21">
        <v>863.22709999999995</v>
      </c>
      <c r="D21">
        <v>209.07939999999999</v>
      </c>
      <c r="E21">
        <v>2.935333</v>
      </c>
      <c r="F21">
        <v>1.4039326E-2</v>
      </c>
      <c r="G21">
        <v>654.14509999999996</v>
      </c>
      <c r="H21">
        <v>-5.3807720000000003</v>
      </c>
      <c r="I21">
        <v>-8.2256542999999994E-3</v>
      </c>
      <c r="J21">
        <v>-2.4454379999999998</v>
      </c>
      <c r="K21">
        <v>-2.8329027999999998E-3</v>
      </c>
      <c r="L21">
        <v>823.13900000000001</v>
      </c>
      <c r="M21">
        <v>2.1811863000000001E-2</v>
      </c>
      <c r="N21">
        <v>5.2482300000000004E-3</v>
      </c>
      <c r="O21">
        <v>40.088030000000003</v>
      </c>
      <c r="P21">
        <v>-9.4608738999999997E-3</v>
      </c>
      <c r="Q21">
        <v>-2.2847457000000002E-3</v>
      </c>
      <c r="R21">
        <v>-0.37926779999999999</v>
      </c>
      <c r="S21">
        <v>17.9542</v>
      </c>
    </row>
    <row r="22" spans="1:19">
      <c r="A22" t="s">
        <v>20</v>
      </c>
      <c r="B22">
        <v>4376</v>
      </c>
      <c r="C22">
        <v>856.55629999999996</v>
      </c>
      <c r="D22">
        <v>214.84200000000001</v>
      </c>
      <c r="E22">
        <v>3.400461</v>
      </c>
      <c r="F22">
        <v>1.5827727999999999E-2</v>
      </c>
      <c r="G22">
        <v>641.7106</v>
      </c>
      <c r="H22">
        <v>-5.2809929999999996</v>
      </c>
      <c r="I22">
        <v>-8.2295556000000006E-3</v>
      </c>
      <c r="J22">
        <v>-1.880531</v>
      </c>
      <c r="K22">
        <v>-2.1954556E-3</v>
      </c>
      <c r="L22">
        <v>817.31269999999995</v>
      </c>
      <c r="M22">
        <v>2.2124623999999999E-2</v>
      </c>
      <c r="N22">
        <v>5.3200163E-3</v>
      </c>
      <c r="O22">
        <v>39.243020000000001</v>
      </c>
      <c r="P22">
        <v>-9.7413919999999998E-3</v>
      </c>
      <c r="Q22">
        <v>-2.3452860999999998E-3</v>
      </c>
      <c r="R22">
        <v>-0.3822816</v>
      </c>
      <c r="S22">
        <v>18.082740000000001</v>
      </c>
    </row>
    <row r="23" spans="1:19">
      <c r="A23" t="s">
        <v>21</v>
      </c>
      <c r="B23">
        <v>4382</v>
      </c>
      <c r="C23">
        <v>861.74260000000004</v>
      </c>
      <c r="D23">
        <v>211.13</v>
      </c>
      <c r="E23">
        <v>3.1099969999999999</v>
      </c>
      <c r="F23">
        <v>1.4730247E-2</v>
      </c>
      <c r="G23">
        <v>650.6087</v>
      </c>
      <c r="H23">
        <v>-4.9976649999999996</v>
      </c>
      <c r="I23">
        <v>-7.6815225000000003E-3</v>
      </c>
      <c r="J23">
        <v>-1.8876679999999999</v>
      </c>
      <c r="K23">
        <v>-2.1905244999999999E-3</v>
      </c>
      <c r="L23">
        <v>816.04060000000004</v>
      </c>
      <c r="M23">
        <v>2.1745774999999998E-2</v>
      </c>
      <c r="N23">
        <v>5.2330982999999999E-3</v>
      </c>
      <c r="O23">
        <v>45.701030000000003</v>
      </c>
      <c r="P23">
        <v>-9.4471591999999993E-3</v>
      </c>
      <c r="Q23">
        <v>-2.2843647999999999E-3</v>
      </c>
      <c r="R23">
        <v>-0.43174489999999999</v>
      </c>
      <c r="S23">
        <v>17.745439999999999</v>
      </c>
    </row>
    <row r="24" spans="1:19">
      <c r="A24" t="s">
        <v>34</v>
      </c>
      <c r="B24">
        <v>4382</v>
      </c>
      <c r="C24">
        <v>853.62630000000001</v>
      </c>
      <c r="D24">
        <v>214.36500000000001</v>
      </c>
      <c r="E24">
        <v>3.312897</v>
      </c>
      <c r="F24">
        <v>1.5454466E-2</v>
      </c>
      <c r="G24">
        <v>639.25900000000001</v>
      </c>
      <c r="H24">
        <v>-5.2393530000000004</v>
      </c>
      <c r="I24">
        <v>-8.1959777000000008E-3</v>
      </c>
      <c r="J24">
        <v>-1.9264559999999999</v>
      </c>
      <c r="K24">
        <v>-2.2567909000000001E-3</v>
      </c>
      <c r="L24">
        <v>807.95389999999998</v>
      </c>
      <c r="M24">
        <v>2.2170855E-2</v>
      </c>
      <c r="N24">
        <v>5.3280871E-3</v>
      </c>
      <c r="O24">
        <v>45.672029999999999</v>
      </c>
      <c r="P24">
        <v>-9.4562927000000005E-3</v>
      </c>
      <c r="Q24">
        <v>-2.2730951000000002E-3</v>
      </c>
      <c r="R24">
        <v>-0.43188799999999999</v>
      </c>
      <c r="S24">
        <v>17.913029999999999</v>
      </c>
    </row>
    <row r="25" spans="1:19">
      <c r="A25" t="s">
        <v>22</v>
      </c>
      <c r="B25">
        <v>4384</v>
      </c>
      <c r="C25">
        <v>486.25119999999998</v>
      </c>
      <c r="D25">
        <v>146.19069999999999</v>
      </c>
      <c r="E25">
        <v>2.8140879999999999</v>
      </c>
      <c r="F25">
        <v>1.9249432E-2</v>
      </c>
      <c r="G25">
        <v>340.06180000000001</v>
      </c>
      <c r="H25">
        <v>-3.8025190000000002</v>
      </c>
      <c r="I25">
        <v>-1.1181846E-2</v>
      </c>
      <c r="J25">
        <v>-0.9884307</v>
      </c>
      <c r="K25">
        <v>-2.0327574999999998E-3</v>
      </c>
      <c r="L25">
        <v>465.03739999999999</v>
      </c>
      <c r="M25">
        <v>2.3457542000000001E-2</v>
      </c>
      <c r="N25">
        <v>5.5827200000000002E-3</v>
      </c>
      <c r="O25">
        <v>21.213999999999999</v>
      </c>
      <c r="P25">
        <v>-1.0544754E-2</v>
      </c>
      <c r="Q25">
        <v>-2.5134429000000002E-3</v>
      </c>
      <c r="R25">
        <v>-0.22369639999999999</v>
      </c>
      <c r="S25">
        <v>10.90864</v>
      </c>
    </row>
    <row r="26" spans="1:19">
      <c r="A26" t="s">
        <v>23</v>
      </c>
      <c r="B26">
        <v>4386</v>
      </c>
      <c r="C26">
        <v>849.30579999999998</v>
      </c>
      <c r="D26">
        <v>198.7473</v>
      </c>
      <c r="E26">
        <v>2.8337180000000002</v>
      </c>
      <c r="F26">
        <v>1.4257896000000001E-2</v>
      </c>
      <c r="G26">
        <v>650.5548</v>
      </c>
      <c r="H26">
        <v>-5.4222900000000003</v>
      </c>
      <c r="I26">
        <v>-8.3348704999999992E-3</v>
      </c>
      <c r="J26">
        <v>-2.5885720000000001</v>
      </c>
      <c r="K26">
        <v>-3.0478681000000001E-3</v>
      </c>
      <c r="L26">
        <v>804.13900000000001</v>
      </c>
      <c r="M26">
        <v>2.1843234E-2</v>
      </c>
      <c r="N26">
        <v>5.2495505999999997E-3</v>
      </c>
      <c r="O26">
        <v>45.16601</v>
      </c>
      <c r="P26">
        <v>-1.0415914E-2</v>
      </c>
      <c r="Q26">
        <v>-2.5157501999999998E-3</v>
      </c>
      <c r="R26">
        <v>-0.47044530000000001</v>
      </c>
      <c r="S26">
        <v>17.565000000000001</v>
      </c>
    </row>
    <row r="27" spans="1:19">
      <c r="A27" t="s">
        <v>24</v>
      </c>
      <c r="B27">
        <v>4386</v>
      </c>
      <c r="C27">
        <v>862.80849999999998</v>
      </c>
      <c r="D27">
        <v>213.72890000000001</v>
      </c>
      <c r="E27">
        <v>3.200628</v>
      </c>
      <c r="F27">
        <v>1.4975172E-2</v>
      </c>
      <c r="G27">
        <v>649.07479999999998</v>
      </c>
      <c r="H27">
        <v>-4.955921</v>
      </c>
      <c r="I27">
        <v>-7.6353610000000002E-3</v>
      </c>
      <c r="J27">
        <v>-1.755293</v>
      </c>
      <c r="K27">
        <v>-2.0343944999999999E-3</v>
      </c>
      <c r="L27">
        <v>817.34889999999996</v>
      </c>
      <c r="M27">
        <v>2.1641657000000002E-2</v>
      </c>
      <c r="N27">
        <v>5.2041146000000003E-3</v>
      </c>
      <c r="O27">
        <v>45.459020000000002</v>
      </c>
      <c r="P27">
        <v>-1.0474529999999999E-2</v>
      </c>
      <c r="Q27">
        <v>-2.532776E-3</v>
      </c>
      <c r="R27">
        <v>-0.47616190000000003</v>
      </c>
      <c r="S27">
        <v>17.688790000000001</v>
      </c>
    </row>
    <row r="28" spans="1:19">
      <c r="A28" t="s">
        <v>25</v>
      </c>
      <c r="B28">
        <v>4396</v>
      </c>
      <c r="C28">
        <v>972.92989999999998</v>
      </c>
      <c r="D28">
        <v>226.87299999999999</v>
      </c>
      <c r="E28">
        <v>3.1982059999999999</v>
      </c>
      <c r="F28">
        <v>1.4096902E-2</v>
      </c>
      <c r="G28">
        <v>746.05020000000002</v>
      </c>
      <c r="H28">
        <v>-5.5766590000000003</v>
      </c>
      <c r="I28">
        <v>-7.4749109000000003E-3</v>
      </c>
      <c r="J28">
        <v>-2.3784529999999999</v>
      </c>
      <c r="K28">
        <v>-2.4446292999999999E-3</v>
      </c>
      <c r="L28">
        <v>921.88019999999995</v>
      </c>
      <c r="M28">
        <v>2.0835685E-2</v>
      </c>
      <c r="N28">
        <v>5.0230142999999998E-3</v>
      </c>
      <c r="O28">
        <v>51.048009999999998</v>
      </c>
      <c r="P28">
        <v>-1.4722528E-2</v>
      </c>
      <c r="Q28">
        <v>-3.5450744999999998E-3</v>
      </c>
      <c r="R28">
        <v>-0.7515558</v>
      </c>
      <c r="S28">
        <v>19.208010000000002</v>
      </c>
    </row>
    <row r="29" spans="1:19">
      <c r="A29" t="s">
        <v>26</v>
      </c>
      <c r="B29">
        <v>4496</v>
      </c>
      <c r="C29">
        <v>738.33010000000002</v>
      </c>
      <c r="D29">
        <v>113.4909</v>
      </c>
      <c r="E29">
        <v>1.4192640000000001</v>
      </c>
      <c r="F29">
        <v>1.2505529E-2</v>
      </c>
      <c r="G29">
        <v>624.83619999999996</v>
      </c>
      <c r="H29">
        <v>-6.1720600000000001</v>
      </c>
      <c r="I29">
        <v>-9.8778848000000002E-3</v>
      </c>
      <c r="J29">
        <v>-4.752796</v>
      </c>
      <c r="K29">
        <v>-6.4372238999999996E-3</v>
      </c>
      <c r="L29">
        <v>707.64170000000001</v>
      </c>
      <c r="M29">
        <v>2.7111264E-2</v>
      </c>
      <c r="N29">
        <v>6.5034102000000003E-3</v>
      </c>
      <c r="O29">
        <v>30.687989999999999</v>
      </c>
      <c r="P29">
        <v>-7.5452859000000004E-3</v>
      </c>
      <c r="Q29">
        <v>-1.8232255999999999E-3</v>
      </c>
      <c r="R29">
        <v>-0.2315497</v>
      </c>
      <c r="S29">
        <v>19.18506</v>
      </c>
    </row>
    <row r="30" spans="1:19">
      <c r="A30" t="s">
        <v>27</v>
      </c>
      <c r="B30">
        <v>4616</v>
      </c>
      <c r="C30">
        <v>727.17349999999999</v>
      </c>
      <c r="D30">
        <v>146.81290000000001</v>
      </c>
      <c r="E30">
        <v>2.7317330000000002</v>
      </c>
      <c r="F30">
        <v>1.8606903000000001E-2</v>
      </c>
      <c r="G30">
        <v>580.35810000000004</v>
      </c>
      <c r="H30">
        <v>-6.1999880000000003</v>
      </c>
      <c r="I30">
        <v>-1.0683038000000001E-2</v>
      </c>
      <c r="J30">
        <v>-3.4682550000000001</v>
      </c>
      <c r="K30">
        <v>-4.7695016999999996E-3</v>
      </c>
      <c r="L30">
        <v>614.13229999999999</v>
      </c>
      <c r="M30">
        <v>2.6560355000000001E-2</v>
      </c>
      <c r="N30">
        <v>6.3642491999999998E-3</v>
      </c>
      <c r="O30">
        <v>113.0391</v>
      </c>
      <c r="P30">
        <v>-1.2407639999999999E-2</v>
      </c>
      <c r="Q30">
        <v>-2.9905092000000002E-3</v>
      </c>
      <c r="R30">
        <v>-1.402549</v>
      </c>
      <c r="S30">
        <v>16.31157</v>
      </c>
    </row>
    <row r="31" spans="1:19">
      <c r="A31" t="s">
        <v>28</v>
      </c>
      <c r="B31">
        <v>4599</v>
      </c>
      <c r="C31">
        <v>440.1345</v>
      </c>
      <c r="D31">
        <v>114.6099</v>
      </c>
      <c r="E31">
        <v>2.3826960000000001</v>
      </c>
      <c r="F31">
        <v>2.0789623E-2</v>
      </c>
      <c r="G31">
        <v>325.52420000000001</v>
      </c>
      <c r="H31">
        <v>-5.5138749999999996</v>
      </c>
      <c r="I31">
        <v>-1.6938450000000001E-2</v>
      </c>
      <c r="J31">
        <v>-3.1311779999999998</v>
      </c>
      <c r="K31">
        <v>-7.1141403000000002E-3</v>
      </c>
      <c r="L31">
        <v>425.28859999999997</v>
      </c>
      <c r="M31">
        <v>2.9600459999999999E-2</v>
      </c>
      <c r="N31">
        <v>7.0446212999999997E-3</v>
      </c>
      <c r="O31">
        <v>14.846</v>
      </c>
      <c r="P31">
        <v>-7.7863209999999997E-3</v>
      </c>
      <c r="Q31">
        <v>-1.8644467999999999E-3</v>
      </c>
      <c r="R31">
        <v>-0.1155957</v>
      </c>
      <c r="S31">
        <v>12.58874</v>
      </c>
    </row>
    <row r="32" spans="1:19">
      <c r="A32" t="s">
        <v>29</v>
      </c>
      <c r="B32">
        <v>4600</v>
      </c>
      <c r="C32">
        <v>428.90429999999998</v>
      </c>
      <c r="D32">
        <v>101.10290000000001</v>
      </c>
      <c r="E32">
        <v>2.3329270000000002</v>
      </c>
      <c r="F32">
        <v>2.307478E-2</v>
      </c>
      <c r="G32">
        <v>327.80110000000002</v>
      </c>
      <c r="H32">
        <v>-5.5145249999999999</v>
      </c>
      <c r="I32">
        <v>-1.6822778E-2</v>
      </c>
      <c r="J32">
        <v>-3.1815980000000001</v>
      </c>
      <c r="K32">
        <v>-7.4179670999999997E-3</v>
      </c>
      <c r="L32">
        <v>414.96210000000002</v>
      </c>
      <c r="M32">
        <v>3.0073717E-2</v>
      </c>
      <c r="N32">
        <v>7.1597555999999996E-3</v>
      </c>
      <c r="O32">
        <v>13.942</v>
      </c>
      <c r="P32">
        <v>-9.4185788000000006E-3</v>
      </c>
      <c r="Q32">
        <v>-2.2640310000000001E-3</v>
      </c>
      <c r="R32">
        <v>-0.13131380000000001</v>
      </c>
      <c r="S32">
        <v>12.47945</v>
      </c>
    </row>
    <row r="33" spans="1:19">
      <c r="A33" t="s">
        <v>30</v>
      </c>
      <c r="B33">
        <v>4599</v>
      </c>
      <c r="C33">
        <v>431.86369999999999</v>
      </c>
      <c r="D33">
        <v>98.484960000000001</v>
      </c>
      <c r="E33">
        <v>2.272189</v>
      </c>
      <c r="F33">
        <v>2.3071431E-2</v>
      </c>
      <c r="G33">
        <v>333.37920000000003</v>
      </c>
      <c r="H33">
        <v>-5.6186850000000002</v>
      </c>
      <c r="I33">
        <v>-1.6853735000000002E-2</v>
      </c>
      <c r="J33">
        <v>-3.3464960000000001</v>
      </c>
      <c r="K33">
        <v>-7.7489632999999999E-3</v>
      </c>
      <c r="L33">
        <v>417.69760000000002</v>
      </c>
      <c r="M33">
        <v>3.0455703000000001E-2</v>
      </c>
      <c r="N33">
        <v>7.2527225000000002E-3</v>
      </c>
      <c r="O33">
        <v>14.166</v>
      </c>
      <c r="P33">
        <v>-9.8145352999999998E-3</v>
      </c>
      <c r="Q33">
        <v>-2.3564865999999999E-3</v>
      </c>
      <c r="R33">
        <v>-0.13903270000000001</v>
      </c>
      <c r="S33">
        <v>12.72128</v>
      </c>
    </row>
    <row r="34" spans="1:19">
      <c r="A34" t="s">
        <v>31</v>
      </c>
      <c r="B34">
        <v>10032</v>
      </c>
      <c r="C34">
        <v>1901.287</v>
      </c>
      <c r="D34">
        <v>601.90899999999999</v>
      </c>
      <c r="E34">
        <v>5.6005330000000004</v>
      </c>
      <c r="F34">
        <v>9.3046174999999991E-3</v>
      </c>
      <c r="G34">
        <v>1299.3879999999999</v>
      </c>
      <c r="H34">
        <v>-12.548489999999999</v>
      </c>
      <c r="I34">
        <v>-9.6572349000000005E-3</v>
      </c>
      <c r="J34">
        <v>-6.9479579999999999</v>
      </c>
      <c r="K34">
        <v>-3.6543442E-3</v>
      </c>
      <c r="L34">
        <v>1631.904</v>
      </c>
      <c r="M34">
        <v>1.9715310999999999E-2</v>
      </c>
      <c r="N34">
        <v>4.7106127999999997E-3</v>
      </c>
      <c r="O34">
        <v>269.38760000000002</v>
      </c>
      <c r="P34">
        <v>-9.1554513000000007E-3</v>
      </c>
      <c r="Q34">
        <v>-2.2119866000000002E-3</v>
      </c>
      <c r="R34">
        <v>-2.4663650000000001</v>
      </c>
      <c r="S34">
        <v>32.173479999999998</v>
      </c>
    </row>
    <row r="35" spans="1:19">
      <c r="A35" t="s">
        <v>32</v>
      </c>
      <c r="B35">
        <v>10214</v>
      </c>
      <c r="C35">
        <v>2017.194</v>
      </c>
      <c r="D35">
        <v>590.53970000000004</v>
      </c>
      <c r="E35">
        <v>6.5723779999999996</v>
      </c>
      <c r="F35">
        <v>1.1129442999999999E-2</v>
      </c>
      <c r="G35">
        <v>1426.665</v>
      </c>
      <c r="H35">
        <v>-13.90555</v>
      </c>
      <c r="I35">
        <v>-9.7468876999999999E-3</v>
      </c>
      <c r="J35">
        <v>-7.3331689999999998</v>
      </c>
      <c r="K35">
        <v>-3.6353310999999999E-3</v>
      </c>
      <c r="L35">
        <v>1717.6120000000001</v>
      </c>
      <c r="M35">
        <v>2.0030163E-2</v>
      </c>
      <c r="N35">
        <v>4.7969952999999997E-3</v>
      </c>
      <c r="O35">
        <v>299.59210000000002</v>
      </c>
      <c r="P35">
        <v>-1.0841735E-2</v>
      </c>
      <c r="Q35">
        <v>-2.6131116000000002E-3</v>
      </c>
      <c r="R35">
        <v>-3.2480980000000002</v>
      </c>
      <c r="S35">
        <v>34.404049999999998</v>
      </c>
    </row>
    <row r="36" spans="1:19">
      <c r="A36" t="s">
        <v>33</v>
      </c>
      <c r="B36">
        <v>10355</v>
      </c>
      <c r="C36">
        <v>2258.6179999999999</v>
      </c>
      <c r="D36">
        <v>815.77970000000005</v>
      </c>
      <c r="E36">
        <v>8.9425570000000008</v>
      </c>
      <c r="F36">
        <v>1.0961976E-2</v>
      </c>
      <c r="G36">
        <v>1442.8489999999999</v>
      </c>
      <c r="H36">
        <v>-12.81317</v>
      </c>
      <c r="I36">
        <v>-8.8804606000000008E-3</v>
      </c>
      <c r="J36">
        <v>-3.8706109999999998</v>
      </c>
      <c r="K36">
        <v>-1.713708E-3</v>
      </c>
      <c r="L36">
        <v>1877.3969999999999</v>
      </c>
      <c r="M36">
        <v>1.8646412000000001E-2</v>
      </c>
      <c r="N36">
        <v>4.4436053999999999E-3</v>
      </c>
      <c r="O36">
        <v>381.22669999999999</v>
      </c>
      <c r="P36">
        <v>-1.1575112E-2</v>
      </c>
      <c r="Q36">
        <v>-2.7928740999999999E-3</v>
      </c>
      <c r="R36">
        <v>-4.4127409999999996</v>
      </c>
      <c r="S36">
        <v>35.006729999999997</v>
      </c>
    </row>
  </sheetData>
  <phoneticPr fontId="0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83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240.4939</v>
      </c>
      <c r="D2">
        <v>73.493930000000006</v>
      </c>
      <c r="E2">
        <v>0.97165040000000003</v>
      </c>
      <c r="F2">
        <v>1.3220824000000001E-2</v>
      </c>
      <c r="G2">
        <v>167.0001</v>
      </c>
      <c r="H2">
        <v>-1.831936</v>
      </c>
      <c r="I2">
        <v>-1.0969669E-2</v>
      </c>
      <c r="J2">
        <v>-0.86028570000000004</v>
      </c>
      <c r="K2">
        <v>-3.5771615999999999E-3</v>
      </c>
      <c r="L2">
        <v>200.136</v>
      </c>
      <c r="M2">
        <v>2.7218800000000001E-2</v>
      </c>
      <c r="N2">
        <v>6.4619960999999998E-3</v>
      </c>
      <c r="O2">
        <v>40.357979999999998</v>
      </c>
      <c r="P2">
        <v>-1.4335123999999999E-2</v>
      </c>
      <c r="Q2">
        <v>-3.4436705E-3</v>
      </c>
      <c r="R2">
        <v>-0.57853659999999996</v>
      </c>
      <c r="S2">
        <v>5.4474629999999999</v>
      </c>
    </row>
    <row r="3" spans="1:19">
      <c r="A3" t="s">
        <v>1</v>
      </c>
      <c r="B3">
        <v>1248</v>
      </c>
      <c r="C3">
        <v>275.02789999999999</v>
      </c>
      <c r="D3">
        <v>69.658990000000003</v>
      </c>
      <c r="E3">
        <v>1.0607089999999999</v>
      </c>
      <c r="F3">
        <v>1.5227166E-2</v>
      </c>
      <c r="G3">
        <v>205.36920000000001</v>
      </c>
      <c r="H3">
        <v>-2.1819449999999998</v>
      </c>
      <c r="I3">
        <v>-1.0624497E-2</v>
      </c>
      <c r="J3">
        <v>-1.1212359999999999</v>
      </c>
      <c r="K3">
        <v>-4.0768072999999997E-3</v>
      </c>
      <c r="L3">
        <v>209.54220000000001</v>
      </c>
      <c r="M3">
        <v>2.6464615E-2</v>
      </c>
      <c r="N3">
        <v>6.2731378999999997E-3</v>
      </c>
      <c r="O3">
        <v>65.485979999999998</v>
      </c>
      <c r="P3">
        <v>-1.069995E-2</v>
      </c>
      <c r="Q3">
        <v>-2.5760911E-3</v>
      </c>
      <c r="R3">
        <v>-0.70069680000000001</v>
      </c>
      <c r="S3">
        <v>5.5454540000000003</v>
      </c>
    </row>
    <row r="4" spans="1:19">
      <c r="A4" t="s">
        <v>2</v>
      </c>
      <c r="B4">
        <v>2468</v>
      </c>
      <c r="C4">
        <v>506.9846</v>
      </c>
      <c r="D4">
        <v>135.6771</v>
      </c>
      <c r="E4">
        <v>2.222261</v>
      </c>
      <c r="F4">
        <v>1.6379044999999998E-2</v>
      </c>
      <c r="G4">
        <v>371.30810000000002</v>
      </c>
      <c r="H4">
        <v>-4.6832000000000003</v>
      </c>
      <c r="I4">
        <v>-1.2612707000000001E-2</v>
      </c>
      <c r="J4">
        <v>-2.4609399999999999</v>
      </c>
      <c r="K4">
        <v>-4.8540713999999999E-3</v>
      </c>
      <c r="L4">
        <v>475.4357</v>
      </c>
      <c r="M4">
        <v>2.6432659000000001E-2</v>
      </c>
      <c r="N4">
        <v>6.2929546000000001E-3</v>
      </c>
      <c r="O4">
        <v>31.549009999999999</v>
      </c>
      <c r="P4">
        <v>-1.483924E-2</v>
      </c>
      <c r="Q4">
        <v>-3.5737659999999999E-3</v>
      </c>
      <c r="R4">
        <v>-0.4681633</v>
      </c>
      <c r="S4">
        <v>12.567030000000001</v>
      </c>
    </row>
    <row r="5" spans="1:19">
      <c r="A5" t="s">
        <v>3</v>
      </c>
      <c r="B5">
        <v>993</v>
      </c>
      <c r="C5">
        <v>132.64009999999999</v>
      </c>
      <c r="D5">
        <v>61.564030000000002</v>
      </c>
      <c r="E5">
        <v>0.44538280000000002</v>
      </c>
      <c r="F5">
        <v>7.2344643999999996E-3</v>
      </c>
      <c r="G5">
        <v>71.076070000000001</v>
      </c>
      <c r="H5">
        <v>-0.82815899999999998</v>
      </c>
      <c r="I5">
        <v>-1.1651727000000001E-2</v>
      </c>
      <c r="J5">
        <v>-0.38277620000000001</v>
      </c>
      <c r="K5">
        <v>-2.8858263999999999E-3</v>
      </c>
      <c r="L5">
        <v>122.1862</v>
      </c>
      <c r="M5">
        <v>1.7885655E-2</v>
      </c>
      <c r="N5">
        <v>4.2352318000000002E-3</v>
      </c>
      <c r="O5">
        <v>10.454000000000001</v>
      </c>
      <c r="P5">
        <v>-1.2581510000000001E-2</v>
      </c>
      <c r="Q5">
        <v>-2.9892527999999998E-3</v>
      </c>
      <c r="R5">
        <v>-0.13152710000000001</v>
      </c>
      <c r="S5">
        <v>2.1853799999999999</v>
      </c>
    </row>
    <row r="6" spans="1:19">
      <c r="A6" t="s">
        <v>4</v>
      </c>
      <c r="B6">
        <v>994</v>
      </c>
      <c r="C6">
        <v>136.31209999999999</v>
      </c>
      <c r="D6">
        <v>51.326039999999999</v>
      </c>
      <c r="E6">
        <v>0.48871360000000003</v>
      </c>
      <c r="F6">
        <v>9.5217470000000005E-3</v>
      </c>
      <c r="G6">
        <v>84.986040000000003</v>
      </c>
      <c r="H6">
        <v>-0.89964390000000005</v>
      </c>
      <c r="I6">
        <v>-1.0585785E-2</v>
      </c>
      <c r="J6">
        <v>-0.41093030000000003</v>
      </c>
      <c r="K6">
        <v>-3.0146283000000002E-3</v>
      </c>
      <c r="L6">
        <v>128.01609999999999</v>
      </c>
      <c r="M6">
        <v>1.8924481999999999E-2</v>
      </c>
      <c r="N6">
        <v>4.4780751000000002E-3</v>
      </c>
      <c r="O6">
        <v>8.2959999999999994</v>
      </c>
      <c r="P6">
        <v>-1.1664612E-2</v>
      </c>
      <c r="Q6">
        <v>-2.7648462000000001E-3</v>
      </c>
      <c r="R6">
        <v>-9.6769616000000003E-2</v>
      </c>
      <c r="S6">
        <v>2.4226390000000002</v>
      </c>
    </row>
    <row r="7" spans="1:19">
      <c r="A7" t="s">
        <v>5</v>
      </c>
      <c r="B7">
        <v>1001</v>
      </c>
      <c r="C7">
        <v>139.16800000000001</v>
      </c>
      <c r="D7">
        <v>64.96002</v>
      </c>
      <c r="E7">
        <v>0.390963</v>
      </c>
      <c r="F7">
        <v>6.0185174999999999E-3</v>
      </c>
      <c r="G7">
        <v>74.20805</v>
      </c>
      <c r="H7">
        <v>-0.89634190000000002</v>
      </c>
      <c r="I7">
        <v>-1.2078768E-2</v>
      </c>
      <c r="J7">
        <v>-0.50537880000000002</v>
      </c>
      <c r="K7">
        <v>-3.6314307E-3</v>
      </c>
      <c r="L7">
        <v>131.84809999999999</v>
      </c>
      <c r="M7">
        <v>1.7375168999999999E-2</v>
      </c>
      <c r="N7">
        <v>4.1202931000000002E-3</v>
      </c>
      <c r="O7">
        <v>7.32</v>
      </c>
      <c r="P7">
        <v>-1.3408778999999999E-2</v>
      </c>
      <c r="Q7">
        <v>-3.1662019999999999E-3</v>
      </c>
      <c r="R7">
        <v>-9.8152265000000002E-2</v>
      </c>
      <c r="S7">
        <v>2.290883</v>
      </c>
    </row>
    <row r="8" spans="1:19">
      <c r="A8" t="s">
        <v>6</v>
      </c>
      <c r="B8">
        <v>1001</v>
      </c>
      <c r="C8">
        <v>136.494</v>
      </c>
      <c r="D8">
        <v>61.185029999999998</v>
      </c>
      <c r="E8">
        <v>0.47134239999999999</v>
      </c>
      <c r="F8">
        <v>7.7035571000000002E-3</v>
      </c>
      <c r="G8">
        <v>75.309060000000002</v>
      </c>
      <c r="H8">
        <v>-0.86147399999999996</v>
      </c>
      <c r="I8">
        <v>-1.1439182000000001E-2</v>
      </c>
      <c r="J8">
        <v>-0.39013170000000003</v>
      </c>
      <c r="K8">
        <v>-2.8582326999999999E-3</v>
      </c>
      <c r="L8">
        <v>128.20509999999999</v>
      </c>
      <c r="M8">
        <v>1.7952789E-2</v>
      </c>
      <c r="N8">
        <v>4.2544165999999998E-3</v>
      </c>
      <c r="O8">
        <v>8.2890010000000007</v>
      </c>
      <c r="P8">
        <v>-1.2352645000000001E-2</v>
      </c>
      <c r="Q8">
        <v>-2.9254595000000002E-3</v>
      </c>
      <c r="R8">
        <v>-0.1023911</v>
      </c>
      <c r="S8">
        <v>2.3016390000000002</v>
      </c>
    </row>
    <row r="9" spans="1:19">
      <c r="A9" t="s">
        <v>7</v>
      </c>
      <c r="B9">
        <v>1305</v>
      </c>
      <c r="C9">
        <v>156.786</v>
      </c>
      <c r="D9">
        <v>60.206040000000002</v>
      </c>
      <c r="E9">
        <v>0.73244359999999997</v>
      </c>
      <c r="F9">
        <v>1.2165617E-2</v>
      </c>
      <c r="G9">
        <v>96.580070000000006</v>
      </c>
      <c r="H9">
        <v>-1.1140479999999999</v>
      </c>
      <c r="I9">
        <v>-1.153497E-2</v>
      </c>
      <c r="J9">
        <v>-0.38160470000000002</v>
      </c>
      <c r="K9">
        <v>-2.4339209999999999E-3</v>
      </c>
      <c r="L9">
        <v>144.374</v>
      </c>
      <c r="M9">
        <v>2.1875863999999998E-2</v>
      </c>
      <c r="N9">
        <v>5.1775522999999999E-3</v>
      </c>
      <c r="O9">
        <v>12.412000000000001</v>
      </c>
      <c r="P9">
        <v>-1.0677598E-2</v>
      </c>
      <c r="Q9">
        <v>-2.5486610999999998E-3</v>
      </c>
      <c r="R9">
        <v>-0.13253039999999999</v>
      </c>
      <c r="S9">
        <v>3.1583070000000002</v>
      </c>
    </row>
    <row r="10" spans="1:19">
      <c r="A10" t="s">
        <v>8</v>
      </c>
      <c r="B10">
        <v>1309</v>
      </c>
      <c r="C10">
        <v>161.39009999999999</v>
      </c>
      <c r="D10">
        <v>60.545990000000003</v>
      </c>
      <c r="E10">
        <v>0.81047460000000004</v>
      </c>
      <c r="F10">
        <v>1.33861E-2</v>
      </c>
      <c r="G10">
        <v>100.8441</v>
      </c>
      <c r="H10">
        <v>-1.244734</v>
      </c>
      <c r="I10">
        <v>-1.2343151E-2</v>
      </c>
      <c r="J10">
        <v>-0.43425930000000001</v>
      </c>
      <c r="K10">
        <v>-2.6907433999999999E-3</v>
      </c>
      <c r="L10">
        <v>150.71510000000001</v>
      </c>
      <c r="M10">
        <v>2.1366596000000002E-2</v>
      </c>
      <c r="N10">
        <v>5.0633168000000003E-3</v>
      </c>
      <c r="O10">
        <v>10.675000000000001</v>
      </c>
      <c r="P10">
        <v>-1.155952E-2</v>
      </c>
      <c r="Q10">
        <v>-2.7421749999999999E-3</v>
      </c>
      <c r="R10">
        <v>-0.1233979</v>
      </c>
      <c r="S10">
        <v>3.220269</v>
      </c>
    </row>
    <row r="11" spans="1:19">
      <c r="A11" t="s">
        <v>9</v>
      </c>
      <c r="B11">
        <v>951</v>
      </c>
      <c r="C11">
        <v>132.8441</v>
      </c>
      <c r="D11">
        <v>33.084009999999999</v>
      </c>
      <c r="E11">
        <v>0.3445627</v>
      </c>
      <c r="F11">
        <v>1.0414781E-2</v>
      </c>
      <c r="G11">
        <v>99.760120000000001</v>
      </c>
      <c r="H11">
        <v>-1.137764</v>
      </c>
      <c r="I11">
        <v>-1.1404997E-2</v>
      </c>
      <c r="J11">
        <v>-0.79320120000000005</v>
      </c>
      <c r="K11">
        <v>-5.9709152999999999E-3</v>
      </c>
      <c r="L11">
        <v>121.2651</v>
      </c>
      <c r="M11">
        <v>1.8086531999999999E-2</v>
      </c>
      <c r="N11">
        <v>4.2837216000000001E-3</v>
      </c>
      <c r="O11">
        <v>11.579000000000001</v>
      </c>
      <c r="P11">
        <v>-7.4550611999999999E-3</v>
      </c>
      <c r="Q11">
        <v>-1.7616769999999999E-3</v>
      </c>
      <c r="R11">
        <v>-8.6322173000000002E-2</v>
      </c>
      <c r="S11">
        <v>2.1932649999999998</v>
      </c>
    </row>
    <row r="12" spans="1:19">
      <c r="A12" t="s">
        <v>10</v>
      </c>
      <c r="B12">
        <v>956</v>
      </c>
      <c r="C12">
        <v>133.64510000000001</v>
      </c>
      <c r="D12">
        <v>34.071019999999997</v>
      </c>
      <c r="E12">
        <v>0.34502480000000002</v>
      </c>
      <c r="F12">
        <v>1.0126635E-2</v>
      </c>
      <c r="G12">
        <v>99.574100000000001</v>
      </c>
      <c r="H12">
        <v>-1.135618</v>
      </c>
      <c r="I12">
        <v>-1.1404753E-2</v>
      </c>
      <c r="J12">
        <v>-0.7905932</v>
      </c>
      <c r="K12">
        <v>-5.9156156999999997E-3</v>
      </c>
      <c r="L12">
        <v>122.99809999999999</v>
      </c>
      <c r="M12">
        <v>1.7698934E-2</v>
      </c>
      <c r="N12">
        <v>4.1944807999999998E-3</v>
      </c>
      <c r="O12">
        <v>10.647</v>
      </c>
      <c r="P12">
        <v>-7.4918064999999999E-3</v>
      </c>
      <c r="Q12">
        <v>-1.7725617E-3</v>
      </c>
      <c r="R12">
        <v>-7.9765274999999997E-2</v>
      </c>
      <c r="S12">
        <v>2.176936</v>
      </c>
    </row>
    <row r="13" spans="1:19">
      <c r="A13" t="s">
        <v>11</v>
      </c>
      <c r="B13">
        <v>957</v>
      </c>
      <c r="C13">
        <v>135.79900000000001</v>
      </c>
      <c r="D13">
        <v>43.329030000000003</v>
      </c>
      <c r="E13">
        <v>0.59454050000000003</v>
      </c>
      <c r="F13">
        <v>1.3721529E-2</v>
      </c>
      <c r="G13">
        <v>92.470089999999999</v>
      </c>
      <c r="H13">
        <v>-1.0512600000000001</v>
      </c>
      <c r="I13">
        <v>-1.1368648E-2</v>
      </c>
      <c r="J13">
        <v>-0.4567194</v>
      </c>
      <c r="K13">
        <v>-3.3632012000000002E-3</v>
      </c>
      <c r="L13">
        <v>127.0441</v>
      </c>
      <c r="M13">
        <v>1.8431408E-2</v>
      </c>
      <c r="N13">
        <v>4.3686599999999999E-3</v>
      </c>
      <c r="O13">
        <v>8.7550000000000008</v>
      </c>
      <c r="P13">
        <v>-7.6238848000000003E-3</v>
      </c>
      <c r="Q13">
        <v>-1.8039760000000001E-3</v>
      </c>
      <c r="R13">
        <v>-6.6747113999999996E-2</v>
      </c>
      <c r="S13">
        <v>2.341602</v>
      </c>
    </row>
    <row r="14" spans="1:19">
      <c r="A14" t="s">
        <v>12</v>
      </c>
      <c r="B14">
        <v>1894</v>
      </c>
      <c r="C14">
        <v>469.40940000000001</v>
      </c>
      <c r="D14">
        <v>170.81630000000001</v>
      </c>
      <c r="E14">
        <v>1.5929139999999999</v>
      </c>
      <c r="F14">
        <v>9.3253069000000001E-3</v>
      </c>
      <c r="G14">
        <v>298.59249999999997</v>
      </c>
      <c r="H14">
        <v>-2.645483</v>
      </c>
      <c r="I14">
        <v>-8.8598449000000003E-3</v>
      </c>
      <c r="J14">
        <v>-1.0525690000000001</v>
      </c>
      <c r="K14">
        <v>-2.2423258000000001E-3</v>
      </c>
      <c r="L14">
        <v>428.41120000000001</v>
      </c>
      <c r="M14">
        <v>1.7162838999999999E-2</v>
      </c>
      <c r="N14">
        <v>4.0894062000000004E-3</v>
      </c>
      <c r="O14">
        <v>40.998010000000001</v>
      </c>
      <c r="P14">
        <v>-7.9683028000000003E-3</v>
      </c>
      <c r="Q14">
        <v>-1.8993288999999999E-3</v>
      </c>
      <c r="R14">
        <v>-0.32668459999999999</v>
      </c>
      <c r="S14">
        <v>7.3527519999999997</v>
      </c>
    </row>
    <row r="15" spans="1:19">
      <c r="A15" t="s">
        <v>13</v>
      </c>
      <c r="B15">
        <v>2192</v>
      </c>
      <c r="C15">
        <v>290.18169999999998</v>
      </c>
      <c r="D15">
        <v>75.645020000000002</v>
      </c>
      <c r="E15">
        <v>1.347763</v>
      </c>
      <c r="F15">
        <v>1.7816941999999999E-2</v>
      </c>
      <c r="G15">
        <v>214.53739999999999</v>
      </c>
      <c r="H15">
        <v>-2.443759</v>
      </c>
      <c r="I15">
        <v>-1.1390832E-2</v>
      </c>
      <c r="J15">
        <v>-1.095996</v>
      </c>
      <c r="K15">
        <v>-3.7769297999999999E-3</v>
      </c>
      <c r="L15">
        <v>269.2842</v>
      </c>
      <c r="M15">
        <v>2.3473503E-2</v>
      </c>
      <c r="N15">
        <v>5.5594043999999997E-3</v>
      </c>
      <c r="O15">
        <v>20.89799</v>
      </c>
      <c r="P15">
        <v>-1.0229967E-2</v>
      </c>
      <c r="Q15">
        <v>-2.4293840000000001E-3</v>
      </c>
      <c r="R15">
        <v>-0.2137858</v>
      </c>
      <c r="S15">
        <v>6.3210430000000004</v>
      </c>
    </row>
    <row r="16" spans="1:19">
      <c r="A16" t="s">
        <v>14</v>
      </c>
      <c r="B16">
        <v>2192</v>
      </c>
      <c r="C16">
        <v>285.69349999999997</v>
      </c>
      <c r="D16">
        <v>69.763009999999994</v>
      </c>
      <c r="E16">
        <v>1.2099120000000001</v>
      </c>
      <c r="F16">
        <v>1.7343174999999999E-2</v>
      </c>
      <c r="G16">
        <v>215.93100000000001</v>
      </c>
      <c r="H16">
        <v>-2.3944830000000001</v>
      </c>
      <c r="I16">
        <v>-1.1089114000000001E-2</v>
      </c>
      <c r="J16">
        <v>-1.184571</v>
      </c>
      <c r="K16">
        <v>-4.1463007000000001E-3</v>
      </c>
      <c r="L16">
        <v>264.75200000000001</v>
      </c>
      <c r="M16">
        <v>2.3515388000000002E-2</v>
      </c>
      <c r="N16">
        <v>5.5686453999999998E-3</v>
      </c>
      <c r="O16">
        <v>20.942</v>
      </c>
      <c r="P16">
        <v>-1.0487431E-2</v>
      </c>
      <c r="Q16">
        <v>-2.4957695999999999E-3</v>
      </c>
      <c r="R16">
        <v>-0.21962770000000001</v>
      </c>
      <c r="S16">
        <v>6.225746</v>
      </c>
    </row>
    <row r="17" spans="1:19">
      <c r="A17" t="s">
        <v>15</v>
      </c>
      <c r="B17">
        <v>2201</v>
      </c>
      <c r="C17">
        <v>291.38979999999998</v>
      </c>
      <c r="D17">
        <v>90.875060000000005</v>
      </c>
      <c r="E17">
        <v>1.3096000000000001</v>
      </c>
      <c r="F17">
        <v>1.4410997E-2</v>
      </c>
      <c r="G17">
        <v>200.51519999999999</v>
      </c>
      <c r="H17">
        <v>-2.2949540000000002</v>
      </c>
      <c r="I17">
        <v>-1.1445284999999999E-2</v>
      </c>
      <c r="J17">
        <v>-0.98535379999999995</v>
      </c>
      <c r="K17">
        <v>-3.3815664E-3</v>
      </c>
      <c r="L17">
        <v>264.05020000000002</v>
      </c>
      <c r="M17">
        <v>2.4113565999999999E-2</v>
      </c>
      <c r="N17">
        <v>5.7104853999999997E-3</v>
      </c>
      <c r="O17">
        <v>27.340009999999999</v>
      </c>
      <c r="P17">
        <v>-1.2223734999999999E-2</v>
      </c>
      <c r="Q17">
        <v>-2.9060608000000001E-3</v>
      </c>
      <c r="R17">
        <v>-0.33419700000000002</v>
      </c>
      <c r="S17">
        <v>6.367191</v>
      </c>
    </row>
    <row r="18" spans="1:19">
      <c r="A18" t="s">
        <v>16</v>
      </c>
      <c r="B18">
        <v>4326</v>
      </c>
      <c r="C18">
        <v>747.2953</v>
      </c>
      <c r="D18">
        <v>184.89099999999999</v>
      </c>
      <c r="E18">
        <v>2.7610890000000001</v>
      </c>
      <c r="F18">
        <v>1.4933604E-2</v>
      </c>
      <c r="G18">
        <v>562.40729999999996</v>
      </c>
      <c r="H18">
        <v>-4.6024839999999996</v>
      </c>
      <c r="I18">
        <v>-8.1835416999999997E-3</v>
      </c>
      <c r="J18">
        <v>-1.8413949999999999</v>
      </c>
      <c r="K18">
        <v>-2.4640797999999999E-3</v>
      </c>
      <c r="L18">
        <v>704.89110000000005</v>
      </c>
      <c r="M18">
        <v>2.2304811000000001E-2</v>
      </c>
      <c r="N18">
        <v>5.3368844000000002E-3</v>
      </c>
      <c r="O18">
        <v>42.405990000000003</v>
      </c>
      <c r="P18">
        <v>-9.1819875000000006E-3</v>
      </c>
      <c r="Q18">
        <v>-2.1998376999999999E-3</v>
      </c>
      <c r="R18">
        <v>-0.38937129999999998</v>
      </c>
      <c r="S18">
        <v>15.72246</v>
      </c>
    </row>
    <row r="19" spans="1:19">
      <c r="A19" t="s">
        <v>17</v>
      </c>
      <c r="B19">
        <v>4366</v>
      </c>
      <c r="C19">
        <v>734.41079999999999</v>
      </c>
      <c r="D19">
        <v>192.0343</v>
      </c>
      <c r="E19">
        <v>3.0543619999999998</v>
      </c>
      <c r="F19">
        <v>1.5905290999999998E-2</v>
      </c>
      <c r="G19">
        <v>542.38120000000004</v>
      </c>
      <c r="H19">
        <v>-4.3839389999999998</v>
      </c>
      <c r="I19">
        <v>-8.0827633000000003E-3</v>
      </c>
      <c r="J19">
        <v>-1.329577</v>
      </c>
      <c r="K19">
        <v>-1.8104003000000001E-3</v>
      </c>
      <c r="L19">
        <v>701.06870000000004</v>
      </c>
      <c r="M19">
        <v>2.2137521E-2</v>
      </c>
      <c r="N19">
        <v>5.2987108999999998E-3</v>
      </c>
      <c r="O19">
        <v>33.34299</v>
      </c>
      <c r="P19">
        <v>-9.4079356999999999E-3</v>
      </c>
      <c r="Q19">
        <v>-2.2567533999999999E-3</v>
      </c>
      <c r="R19">
        <v>-0.31368869999999999</v>
      </c>
      <c r="S19">
        <v>15.519920000000001</v>
      </c>
    </row>
    <row r="20" spans="1:19">
      <c r="A20" t="s">
        <v>18</v>
      </c>
      <c r="B20">
        <v>4368</v>
      </c>
      <c r="C20">
        <v>739.55849999999998</v>
      </c>
      <c r="D20">
        <v>188.3391</v>
      </c>
      <c r="E20">
        <v>2.9507829999999999</v>
      </c>
      <c r="F20">
        <v>1.5667397999999999E-2</v>
      </c>
      <c r="G20">
        <v>551.22389999999996</v>
      </c>
      <c r="H20">
        <v>-4.4453370000000003</v>
      </c>
      <c r="I20">
        <v>-8.0644841999999994E-3</v>
      </c>
      <c r="J20">
        <v>-1.4945539999999999</v>
      </c>
      <c r="K20">
        <v>-2.0208730999999999E-3</v>
      </c>
      <c r="L20">
        <v>705.07569999999998</v>
      </c>
      <c r="M20">
        <v>2.2112054999999999E-2</v>
      </c>
      <c r="N20">
        <v>5.2975443999999997E-3</v>
      </c>
      <c r="O20">
        <v>34.482990000000001</v>
      </c>
      <c r="P20">
        <v>-9.7945640000000004E-3</v>
      </c>
      <c r="Q20">
        <v>-2.345457E-3</v>
      </c>
      <c r="R20">
        <v>-0.33774579999999998</v>
      </c>
      <c r="S20">
        <v>15.590669999999999</v>
      </c>
    </row>
    <row r="21" spans="1:19">
      <c r="A21" t="s">
        <v>19</v>
      </c>
      <c r="B21">
        <v>4368</v>
      </c>
      <c r="C21">
        <v>743.67409999999995</v>
      </c>
      <c r="D21">
        <v>183.54669999999999</v>
      </c>
      <c r="E21">
        <v>2.6078359999999998</v>
      </c>
      <c r="F21">
        <v>1.4208024E-2</v>
      </c>
      <c r="G21">
        <v>560.12869999999998</v>
      </c>
      <c r="H21">
        <v>-4.5324049999999998</v>
      </c>
      <c r="I21">
        <v>-8.0917197999999992E-3</v>
      </c>
      <c r="J21">
        <v>-1.924569</v>
      </c>
      <c r="K21">
        <v>-2.5879195999999999E-3</v>
      </c>
      <c r="L21">
        <v>711.96860000000004</v>
      </c>
      <c r="M21">
        <v>2.2019871999999999E-2</v>
      </c>
      <c r="N21">
        <v>5.275053E-3</v>
      </c>
      <c r="O21">
        <v>31.704989999999999</v>
      </c>
      <c r="P21">
        <v>-9.2913071E-3</v>
      </c>
      <c r="Q21">
        <v>-2.2316725999999999E-3</v>
      </c>
      <c r="R21">
        <v>-0.29458079999999998</v>
      </c>
      <c r="S21">
        <v>15.67746</v>
      </c>
    </row>
    <row r="22" spans="1:19">
      <c r="A22" t="s">
        <v>20</v>
      </c>
      <c r="B22">
        <v>4376</v>
      </c>
      <c r="C22">
        <v>739.50519999999995</v>
      </c>
      <c r="D22">
        <v>189.9641</v>
      </c>
      <c r="E22">
        <v>3.0406580000000001</v>
      </c>
      <c r="F22">
        <v>1.6006490000000002E-2</v>
      </c>
      <c r="G22">
        <v>549.5462</v>
      </c>
      <c r="H22">
        <v>-4.5026279999999996</v>
      </c>
      <c r="I22">
        <v>-8.1933560000000006E-3</v>
      </c>
      <c r="J22">
        <v>-1.46197</v>
      </c>
      <c r="K22">
        <v>-1.9769568E-3</v>
      </c>
      <c r="L22">
        <v>706.93020000000001</v>
      </c>
      <c r="M22">
        <v>2.2327290999999999E-2</v>
      </c>
      <c r="N22">
        <v>5.3450171999999997E-3</v>
      </c>
      <c r="O22">
        <v>32.575989999999997</v>
      </c>
      <c r="P22">
        <v>-9.5618768000000007E-3</v>
      </c>
      <c r="Q22">
        <v>-2.2903499E-3</v>
      </c>
      <c r="R22">
        <v>-0.31148759999999998</v>
      </c>
      <c r="S22">
        <v>15.78384</v>
      </c>
    </row>
    <row r="23" spans="1:19">
      <c r="A23" t="s">
        <v>21</v>
      </c>
      <c r="B23">
        <v>4382</v>
      </c>
      <c r="C23">
        <v>745.37940000000003</v>
      </c>
      <c r="D23">
        <v>182.28190000000001</v>
      </c>
      <c r="E23">
        <v>2.6971579999999999</v>
      </c>
      <c r="F23">
        <v>1.479663E-2</v>
      </c>
      <c r="G23">
        <v>563.1019</v>
      </c>
      <c r="H23">
        <v>-4.328665</v>
      </c>
      <c r="I23">
        <v>-7.6871780000000002E-3</v>
      </c>
      <c r="J23">
        <v>-1.631507</v>
      </c>
      <c r="K23">
        <v>-2.1888277999999998E-3</v>
      </c>
      <c r="L23">
        <v>708.35590000000002</v>
      </c>
      <c r="M23">
        <v>2.1971125000000001E-2</v>
      </c>
      <c r="N23">
        <v>5.2614519000000002E-3</v>
      </c>
      <c r="O23">
        <v>37.023980000000002</v>
      </c>
      <c r="P23">
        <v>-9.1001503000000001E-3</v>
      </c>
      <c r="Q23">
        <v>-2.1878168999999999E-3</v>
      </c>
      <c r="R23">
        <v>-0.3369238</v>
      </c>
      <c r="S23">
        <v>15.56338</v>
      </c>
    </row>
    <row r="24" spans="1:19">
      <c r="A24" t="s">
        <v>34</v>
      </c>
      <c r="B24">
        <v>4382</v>
      </c>
      <c r="C24">
        <v>739.49900000000002</v>
      </c>
      <c r="D24">
        <v>188.56219999999999</v>
      </c>
      <c r="E24">
        <v>2.9762369999999998</v>
      </c>
      <c r="F24">
        <v>1.5783848E-2</v>
      </c>
      <c r="G24">
        <v>550.94169999999997</v>
      </c>
      <c r="H24">
        <v>-4.454771</v>
      </c>
      <c r="I24">
        <v>-8.0857398E-3</v>
      </c>
      <c r="J24">
        <v>-1.478534</v>
      </c>
      <c r="K24">
        <v>-1.9993728E-3</v>
      </c>
      <c r="L24">
        <v>702.42809999999997</v>
      </c>
      <c r="M24">
        <v>2.2365268000000001E-2</v>
      </c>
      <c r="N24">
        <v>5.3508147000000004E-3</v>
      </c>
      <c r="O24">
        <v>37.07199</v>
      </c>
      <c r="P24">
        <v>-9.1527533000000001E-3</v>
      </c>
      <c r="Q24">
        <v>-2.1891017E-3</v>
      </c>
      <c r="R24">
        <v>-0.33931080000000002</v>
      </c>
      <c r="S24">
        <v>15.709989999999999</v>
      </c>
    </row>
    <row r="25" spans="1:19">
      <c r="A25" t="s">
        <v>22</v>
      </c>
      <c r="B25">
        <v>4384</v>
      </c>
      <c r="C25">
        <v>412.15789999999998</v>
      </c>
      <c r="D25">
        <v>129.72710000000001</v>
      </c>
      <c r="E25">
        <v>2.5290520000000001</v>
      </c>
      <c r="F25">
        <v>1.9495180000000001E-2</v>
      </c>
      <c r="G25">
        <v>282.43200000000002</v>
      </c>
      <c r="H25">
        <v>-3.120009</v>
      </c>
      <c r="I25">
        <v>-1.104694E-2</v>
      </c>
      <c r="J25">
        <v>-0.59095690000000001</v>
      </c>
      <c r="K25">
        <v>-1.4338121000000001E-3</v>
      </c>
      <c r="L25">
        <v>393.1832</v>
      </c>
      <c r="M25">
        <v>2.3841454000000002E-2</v>
      </c>
      <c r="N25">
        <v>5.6504277000000002E-3</v>
      </c>
      <c r="O25">
        <v>18.975000000000001</v>
      </c>
      <c r="P25">
        <v>-1.0557519E-2</v>
      </c>
      <c r="Q25">
        <v>-2.5041115E-3</v>
      </c>
      <c r="R25">
        <v>-0.2003289</v>
      </c>
      <c r="S25">
        <v>9.3740600000000001</v>
      </c>
    </row>
    <row r="26" spans="1:19">
      <c r="A26" t="s">
        <v>23</v>
      </c>
      <c r="B26">
        <v>4386</v>
      </c>
      <c r="C26">
        <v>741.64200000000005</v>
      </c>
      <c r="D26">
        <v>176.10069999999999</v>
      </c>
      <c r="E26">
        <v>2.4861369999999998</v>
      </c>
      <c r="F26">
        <v>1.4117704999999999E-2</v>
      </c>
      <c r="G26">
        <v>565.54369999999994</v>
      </c>
      <c r="H26">
        <v>-4.6406720000000004</v>
      </c>
      <c r="I26">
        <v>-8.2056830000000001E-3</v>
      </c>
      <c r="J26">
        <v>-2.1545350000000001</v>
      </c>
      <c r="K26">
        <v>-2.9050874999999999E-3</v>
      </c>
      <c r="L26">
        <v>700.9982</v>
      </c>
      <c r="M26">
        <v>2.2117568000000001E-2</v>
      </c>
      <c r="N26">
        <v>5.2934028000000003E-3</v>
      </c>
      <c r="O26">
        <v>40.64499</v>
      </c>
      <c r="P26">
        <v>-1.0224864E-2</v>
      </c>
      <c r="Q26">
        <v>-2.4591094999999999E-3</v>
      </c>
      <c r="R26">
        <v>-0.4155895</v>
      </c>
      <c r="S26">
        <v>15.504379999999999</v>
      </c>
    </row>
    <row r="27" spans="1:19">
      <c r="A27" t="s">
        <v>24</v>
      </c>
      <c r="B27">
        <v>4386</v>
      </c>
      <c r="C27">
        <v>752.91470000000004</v>
      </c>
      <c r="D27">
        <v>192.8339</v>
      </c>
      <c r="E27">
        <v>2.9098109999999999</v>
      </c>
      <c r="F27">
        <v>1.5089732E-2</v>
      </c>
      <c r="G27">
        <v>560.08500000000004</v>
      </c>
      <c r="H27">
        <v>-4.2675890000000001</v>
      </c>
      <c r="I27">
        <v>-7.6195378999999999E-3</v>
      </c>
      <c r="J27">
        <v>-1.3577779999999999</v>
      </c>
      <c r="K27">
        <v>-1.8033617999999999E-3</v>
      </c>
      <c r="L27">
        <v>713.49919999999997</v>
      </c>
      <c r="M27">
        <v>2.2034914999999999E-2</v>
      </c>
      <c r="N27">
        <v>5.2722651000000004E-3</v>
      </c>
      <c r="O27">
        <v>39.417000000000002</v>
      </c>
      <c r="P27">
        <v>-1.0292249999999999E-2</v>
      </c>
      <c r="Q27">
        <v>-2.4737172999999999E-3</v>
      </c>
      <c r="R27">
        <v>-0.40568959999999998</v>
      </c>
      <c r="S27">
        <v>15.72189</v>
      </c>
    </row>
    <row r="28" spans="1:19">
      <c r="A28" t="s">
        <v>25</v>
      </c>
      <c r="B28">
        <v>4396</v>
      </c>
      <c r="C28">
        <v>832.93520000000001</v>
      </c>
      <c r="D28">
        <v>196.00710000000001</v>
      </c>
      <c r="E28">
        <v>2.7869830000000002</v>
      </c>
      <c r="F28">
        <v>1.421879E-2</v>
      </c>
      <c r="G28">
        <v>636.93140000000005</v>
      </c>
      <c r="H28">
        <v>-4.7592639999999999</v>
      </c>
      <c r="I28">
        <v>-7.4721765999999998E-3</v>
      </c>
      <c r="J28">
        <v>-1.972281</v>
      </c>
      <c r="K28">
        <v>-2.3678681E-3</v>
      </c>
      <c r="L28">
        <v>791.66549999999995</v>
      </c>
      <c r="M28">
        <v>2.1122795E-2</v>
      </c>
      <c r="N28">
        <v>5.0688660999999996E-3</v>
      </c>
      <c r="O28">
        <v>41.271000000000001</v>
      </c>
      <c r="P28">
        <v>-1.497424E-2</v>
      </c>
      <c r="Q28">
        <v>-3.5930341000000002E-3</v>
      </c>
      <c r="R28">
        <v>-0.61800189999999999</v>
      </c>
      <c r="S28">
        <v>16.722190000000001</v>
      </c>
    </row>
    <row r="29" spans="1:19">
      <c r="A29" t="s">
        <v>26</v>
      </c>
      <c r="B29">
        <v>4496</v>
      </c>
      <c r="C29">
        <v>623.51800000000003</v>
      </c>
      <c r="D29">
        <v>97.262029999999996</v>
      </c>
      <c r="E29">
        <v>1.2030620000000001</v>
      </c>
      <c r="F29">
        <v>1.2369283999999999E-2</v>
      </c>
      <c r="G29">
        <v>526.25850000000003</v>
      </c>
      <c r="H29">
        <v>-5.2121259999999996</v>
      </c>
      <c r="I29">
        <v>-9.9041183000000005E-3</v>
      </c>
      <c r="J29">
        <v>-4.0090649999999997</v>
      </c>
      <c r="K29">
        <v>-6.4297495E-3</v>
      </c>
      <c r="L29">
        <v>597.7056</v>
      </c>
      <c r="M29">
        <v>2.7512683999999999E-2</v>
      </c>
      <c r="N29">
        <v>6.5725356999999998E-3</v>
      </c>
      <c r="O29">
        <v>25.812999999999999</v>
      </c>
      <c r="P29">
        <v>-7.3228403999999999E-3</v>
      </c>
      <c r="Q29">
        <v>-1.7665840000000001E-3</v>
      </c>
      <c r="R29">
        <v>-0.18902450000000001</v>
      </c>
      <c r="S29">
        <v>16.444479999999999</v>
      </c>
    </row>
    <row r="30" spans="1:19">
      <c r="A30" t="s">
        <v>27</v>
      </c>
      <c r="B30">
        <v>4616</v>
      </c>
      <c r="C30">
        <v>614.68269999999995</v>
      </c>
      <c r="D30">
        <v>126.0429</v>
      </c>
      <c r="E30">
        <v>2.373135</v>
      </c>
      <c r="F30">
        <v>1.8827993000000001E-2</v>
      </c>
      <c r="G30">
        <v>488.64249999999998</v>
      </c>
      <c r="H30">
        <v>-5.2221320000000002</v>
      </c>
      <c r="I30">
        <v>-1.0687018E-2</v>
      </c>
      <c r="J30">
        <v>-2.8489969999999998</v>
      </c>
      <c r="K30">
        <v>-4.6349065E-3</v>
      </c>
      <c r="L30">
        <v>519.44479999999999</v>
      </c>
      <c r="M30">
        <v>2.6673123E-2</v>
      </c>
      <c r="N30">
        <v>6.3614398000000003E-3</v>
      </c>
      <c r="O30">
        <v>95.240009999999998</v>
      </c>
      <c r="P30">
        <v>-1.2351365E-2</v>
      </c>
      <c r="Q30">
        <v>-2.9630835999999998E-3</v>
      </c>
      <c r="R30">
        <v>-1.1763440000000001</v>
      </c>
      <c r="S30">
        <v>13.855219999999999</v>
      </c>
    </row>
    <row r="31" spans="1:19">
      <c r="A31" t="s">
        <v>28</v>
      </c>
      <c r="B31">
        <v>4599</v>
      </c>
      <c r="C31">
        <v>365.85629999999998</v>
      </c>
      <c r="D31">
        <v>95.827029999999993</v>
      </c>
      <c r="E31">
        <v>2.024562</v>
      </c>
      <c r="F31">
        <v>2.1127251999999999E-2</v>
      </c>
      <c r="G31">
        <v>270.03019999999998</v>
      </c>
      <c r="H31">
        <v>-4.6874849999999997</v>
      </c>
      <c r="I31">
        <v>-1.7359115000000001E-2</v>
      </c>
      <c r="J31">
        <v>-2.6629239999999998</v>
      </c>
      <c r="K31">
        <v>-7.2786049E-3</v>
      </c>
      <c r="L31">
        <v>353.92660000000001</v>
      </c>
      <c r="M31">
        <v>3.0154297E-2</v>
      </c>
      <c r="N31">
        <v>7.1482975000000002E-3</v>
      </c>
      <c r="O31">
        <v>11.93</v>
      </c>
      <c r="P31">
        <v>-7.4069705000000003E-3</v>
      </c>
      <c r="Q31">
        <v>-1.7673032000000001E-3</v>
      </c>
      <c r="R31">
        <v>-8.8365159999999998E-2</v>
      </c>
      <c r="S31">
        <v>10.672409999999999</v>
      </c>
    </row>
    <row r="32" spans="1:19">
      <c r="A32" t="s">
        <v>29</v>
      </c>
      <c r="B32">
        <v>4600</v>
      </c>
      <c r="C32">
        <v>363.15809999999999</v>
      </c>
      <c r="D32">
        <v>88.035039999999995</v>
      </c>
      <c r="E32">
        <v>2.0419119999999999</v>
      </c>
      <c r="F32">
        <v>2.3194310999999999E-2</v>
      </c>
      <c r="G32">
        <v>275.12419999999997</v>
      </c>
      <c r="H32">
        <v>-4.7048800000000002</v>
      </c>
      <c r="I32">
        <v>-1.710093E-2</v>
      </c>
      <c r="J32">
        <v>-2.6629679999999998</v>
      </c>
      <c r="K32">
        <v>-7.3328051E-3</v>
      </c>
      <c r="L32">
        <v>352.42619999999999</v>
      </c>
      <c r="M32">
        <v>3.0765481000000001E-2</v>
      </c>
      <c r="N32">
        <v>7.2915688999999999E-3</v>
      </c>
      <c r="O32">
        <v>10.731999999999999</v>
      </c>
      <c r="P32">
        <v>-9.2220827999999998E-3</v>
      </c>
      <c r="Q32">
        <v>-2.1993641000000001E-3</v>
      </c>
      <c r="R32">
        <v>-9.8971389000000007E-2</v>
      </c>
      <c r="S32">
        <v>10.842560000000001</v>
      </c>
    </row>
    <row r="33" spans="1:19">
      <c r="A33" t="s">
        <v>30</v>
      </c>
      <c r="B33">
        <v>4599</v>
      </c>
      <c r="C33">
        <v>362.00920000000002</v>
      </c>
      <c r="D33">
        <v>84.426029999999997</v>
      </c>
      <c r="E33">
        <v>1.9786250000000001</v>
      </c>
      <c r="F33">
        <v>2.3436195999999999E-2</v>
      </c>
      <c r="G33">
        <v>277.58440000000002</v>
      </c>
      <c r="H33">
        <v>-4.749924</v>
      </c>
      <c r="I33">
        <v>-1.7111636999999999E-2</v>
      </c>
      <c r="J33">
        <v>-2.771299</v>
      </c>
      <c r="K33">
        <v>-7.6553267000000003E-3</v>
      </c>
      <c r="L33">
        <v>351.78030000000001</v>
      </c>
      <c r="M33">
        <v>3.1026416000000001E-2</v>
      </c>
      <c r="N33">
        <v>7.3547730999999998E-3</v>
      </c>
      <c r="O33">
        <v>10.228999999999999</v>
      </c>
      <c r="P33">
        <v>-9.5980884999999991E-3</v>
      </c>
      <c r="Q33">
        <v>-2.2832283000000001E-3</v>
      </c>
      <c r="R33">
        <v>-9.8178819000000001E-2</v>
      </c>
      <c r="S33">
        <v>10.914479999999999</v>
      </c>
    </row>
    <row r="34" spans="1:19">
      <c r="A34" t="s">
        <v>31</v>
      </c>
      <c r="B34">
        <v>10032</v>
      </c>
      <c r="C34">
        <v>1574.991</v>
      </c>
      <c r="D34">
        <v>515.49189999999999</v>
      </c>
      <c r="E34">
        <v>4.7726379999999997</v>
      </c>
      <c r="F34">
        <v>9.2584137000000007E-3</v>
      </c>
      <c r="G34">
        <v>1059.4939999999999</v>
      </c>
      <c r="H34">
        <v>-10.260719999999999</v>
      </c>
      <c r="I34">
        <v>-9.6845487000000001E-3</v>
      </c>
      <c r="J34">
        <v>-5.4880839999999997</v>
      </c>
      <c r="K34">
        <v>-3.4845182999999999E-3</v>
      </c>
      <c r="L34">
        <v>1358.057</v>
      </c>
      <c r="M34">
        <v>1.9827569E-2</v>
      </c>
      <c r="N34">
        <v>4.7157570000000001E-3</v>
      </c>
      <c r="O34">
        <v>216.93299999999999</v>
      </c>
      <c r="P34">
        <v>-8.9662001000000002E-3</v>
      </c>
      <c r="Q34">
        <v>-2.1587837999999999E-3</v>
      </c>
      <c r="R34">
        <v>-1.9450639999999999</v>
      </c>
      <c r="S34">
        <v>26.926970000000001</v>
      </c>
    </row>
    <row r="35" spans="1:19">
      <c r="A35" t="s">
        <v>32</v>
      </c>
      <c r="B35">
        <v>10214</v>
      </c>
      <c r="C35">
        <v>1701.4680000000001</v>
      </c>
      <c r="D35">
        <v>498.38990000000001</v>
      </c>
      <c r="E35">
        <v>5.5890339999999998</v>
      </c>
      <c r="F35">
        <v>1.1214178999999999E-2</v>
      </c>
      <c r="G35">
        <v>1203.0719999999999</v>
      </c>
      <c r="H35">
        <v>-11.84282</v>
      </c>
      <c r="I35">
        <v>-9.8438187999999992E-3</v>
      </c>
      <c r="J35">
        <v>-6.2537900000000004</v>
      </c>
      <c r="K35">
        <v>-3.6755269E-3</v>
      </c>
      <c r="L35">
        <v>1455.0329999999999</v>
      </c>
      <c r="M35">
        <v>2.0438927999999999E-2</v>
      </c>
      <c r="N35">
        <v>4.8736986000000003E-3</v>
      </c>
      <c r="O35">
        <v>246.4357</v>
      </c>
      <c r="P35">
        <v>-1.0632279999999999E-2</v>
      </c>
      <c r="Q35">
        <v>-2.5512887999999999E-3</v>
      </c>
      <c r="R35">
        <v>-2.620174</v>
      </c>
      <c r="S35">
        <v>29.73931</v>
      </c>
    </row>
    <row r="36" spans="1:19">
      <c r="A36" t="s">
        <v>33</v>
      </c>
      <c r="B36">
        <v>10355</v>
      </c>
      <c r="C36">
        <v>1914.1990000000001</v>
      </c>
      <c r="D36">
        <v>702.22119999999995</v>
      </c>
      <c r="E36">
        <v>7.660628</v>
      </c>
      <c r="F36">
        <v>1.0909138000000001E-2</v>
      </c>
      <c r="G36">
        <v>1211.973</v>
      </c>
      <c r="H36">
        <v>-10.827730000000001</v>
      </c>
      <c r="I36">
        <v>-8.9339688000000007E-3</v>
      </c>
      <c r="J36">
        <v>-3.1670970000000001</v>
      </c>
      <c r="K36">
        <v>-1.6545287E-3</v>
      </c>
      <c r="L36">
        <v>1594.136</v>
      </c>
      <c r="M36">
        <v>1.8795226000000002E-2</v>
      </c>
      <c r="N36">
        <v>4.4579891999999999E-3</v>
      </c>
      <c r="O36">
        <v>320.06029999999998</v>
      </c>
      <c r="P36">
        <v>-1.1832456E-2</v>
      </c>
      <c r="Q36">
        <v>-2.8410346999999999E-3</v>
      </c>
      <c r="R36">
        <v>-3.787099</v>
      </c>
      <c r="S36">
        <v>29.962140000000002</v>
      </c>
    </row>
  </sheetData>
  <phoneticPr fontId="0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84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213.76779999999999</v>
      </c>
      <c r="D2">
        <v>67.629959999999997</v>
      </c>
      <c r="E2">
        <v>0.8715444</v>
      </c>
      <c r="F2">
        <v>1.2886956999999999E-2</v>
      </c>
      <c r="G2">
        <v>146.13810000000001</v>
      </c>
      <c r="H2">
        <v>-1.5913060000000001</v>
      </c>
      <c r="I2">
        <v>-1.0889059E-2</v>
      </c>
      <c r="J2">
        <v>-0.71976169999999995</v>
      </c>
      <c r="K2">
        <v>-3.3670258999999999E-3</v>
      </c>
      <c r="L2">
        <v>177.61590000000001</v>
      </c>
      <c r="M2">
        <v>2.6834868000000001E-2</v>
      </c>
      <c r="N2">
        <v>6.3466047999999999E-3</v>
      </c>
      <c r="O2">
        <v>36.152009999999997</v>
      </c>
      <c r="P2">
        <v>-1.4173280999999999E-2</v>
      </c>
      <c r="Q2">
        <v>-3.3933282999999998E-3</v>
      </c>
      <c r="R2">
        <v>-0.51239259999999998</v>
      </c>
      <c r="S2">
        <v>4.7663000000000002</v>
      </c>
    </row>
    <row r="3" spans="1:19">
      <c r="A3" t="s">
        <v>1</v>
      </c>
      <c r="B3">
        <v>1248</v>
      </c>
      <c r="C3">
        <v>244.24270000000001</v>
      </c>
      <c r="D3">
        <v>61.488970000000002</v>
      </c>
      <c r="E3">
        <v>0.96030340000000003</v>
      </c>
      <c r="F3">
        <v>1.5617492E-2</v>
      </c>
      <c r="G3">
        <v>182.75399999999999</v>
      </c>
      <c r="H3">
        <v>-1.936628</v>
      </c>
      <c r="I3">
        <v>-1.0596908E-2</v>
      </c>
      <c r="J3">
        <v>-0.97632410000000003</v>
      </c>
      <c r="K3">
        <v>-3.9973515000000003E-3</v>
      </c>
      <c r="L3">
        <v>185.19309999999999</v>
      </c>
      <c r="M3">
        <v>2.6103068E-2</v>
      </c>
      <c r="N3">
        <v>6.1659538000000003E-3</v>
      </c>
      <c r="O3">
        <v>59.049959999999999</v>
      </c>
      <c r="P3">
        <v>-1.0583973999999999E-2</v>
      </c>
      <c r="Q3">
        <v>-2.5405826000000002E-3</v>
      </c>
      <c r="R3">
        <v>-0.62498330000000002</v>
      </c>
      <c r="S3">
        <v>4.8341079999999996</v>
      </c>
    </row>
    <row r="4" spans="1:19">
      <c r="A4" t="s">
        <v>2</v>
      </c>
      <c r="B4">
        <v>2468</v>
      </c>
      <c r="C4">
        <v>443.84179999999998</v>
      </c>
      <c r="D4">
        <v>121.729</v>
      </c>
      <c r="E4">
        <v>2.0384980000000001</v>
      </c>
      <c r="F4">
        <v>1.6746206E-2</v>
      </c>
      <c r="G4">
        <v>322.11279999999999</v>
      </c>
      <c r="H4">
        <v>-4.1247410000000002</v>
      </c>
      <c r="I4">
        <v>-1.2805268999999999E-2</v>
      </c>
      <c r="J4">
        <v>-2.0862430000000001</v>
      </c>
      <c r="K4">
        <v>-4.7004194999999997E-3</v>
      </c>
      <c r="L4">
        <v>415.952</v>
      </c>
      <c r="M4">
        <v>2.6171817999999999E-2</v>
      </c>
      <c r="N4">
        <v>6.2065106000000004E-3</v>
      </c>
      <c r="O4">
        <v>27.89002</v>
      </c>
      <c r="P4">
        <v>-1.4900962E-2</v>
      </c>
      <c r="Q4">
        <v>-3.5826565999999998E-3</v>
      </c>
      <c r="R4">
        <v>-0.41558820000000002</v>
      </c>
      <c r="S4">
        <v>10.88622</v>
      </c>
    </row>
    <row r="5" spans="1:19">
      <c r="A5" t="s">
        <v>3</v>
      </c>
      <c r="B5">
        <v>993</v>
      </c>
      <c r="C5">
        <v>117.9783</v>
      </c>
      <c r="D5">
        <v>55.661059999999999</v>
      </c>
      <c r="E5">
        <v>0.40321249999999997</v>
      </c>
      <c r="F5">
        <v>7.2440682000000003E-3</v>
      </c>
      <c r="G5">
        <v>62.317010000000003</v>
      </c>
      <c r="H5">
        <v>-0.72827039999999998</v>
      </c>
      <c r="I5">
        <v>-1.1686541999999999E-2</v>
      </c>
      <c r="J5">
        <v>-0.32505790000000001</v>
      </c>
      <c r="K5">
        <v>-2.7552338E-3</v>
      </c>
      <c r="L5">
        <v>108.9983</v>
      </c>
      <c r="M5">
        <v>1.767813E-2</v>
      </c>
      <c r="N5">
        <v>4.1707489E-3</v>
      </c>
      <c r="O5">
        <v>8.9799989999999994</v>
      </c>
      <c r="P5">
        <v>-1.2693991E-2</v>
      </c>
      <c r="Q5">
        <v>-2.99979E-3</v>
      </c>
      <c r="R5">
        <v>-0.113992</v>
      </c>
      <c r="S5">
        <v>1.9268860000000001</v>
      </c>
    </row>
    <row r="6" spans="1:19">
      <c r="A6" t="s">
        <v>4</v>
      </c>
      <c r="B6">
        <v>994</v>
      </c>
      <c r="C6">
        <v>120.0433</v>
      </c>
      <c r="D6">
        <v>44.535029999999999</v>
      </c>
      <c r="E6">
        <v>0.42140899999999998</v>
      </c>
      <c r="F6">
        <v>9.4624162000000005E-3</v>
      </c>
      <c r="G6">
        <v>75.508030000000005</v>
      </c>
      <c r="H6">
        <v>-0.8025622</v>
      </c>
      <c r="I6">
        <v>-1.0628832E-2</v>
      </c>
      <c r="J6">
        <v>-0.38115320000000003</v>
      </c>
      <c r="K6">
        <v>-3.1751320000000002E-3</v>
      </c>
      <c r="L6">
        <v>113.42619999999999</v>
      </c>
      <c r="M6">
        <v>1.8752326999999999E-2</v>
      </c>
      <c r="N6">
        <v>4.4220485999999998E-3</v>
      </c>
      <c r="O6">
        <v>6.617</v>
      </c>
      <c r="P6">
        <v>-1.0579402E-2</v>
      </c>
      <c r="Q6">
        <v>-2.5001393999999999E-3</v>
      </c>
      <c r="R6">
        <v>-7.0003904000000006E-2</v>
      </c>
      <c r="S6">
        <v>2.127005</v>
      </c>
    </row>
    <row r="7" spans="1:19">
      <c r="A7" t="s">
        <v>5</v>
      </c>
      <c r="B7">
        <v>1001</v>
      </c>
      <c r="C7">
        <v>120.2013</v>
      </c>
      <c r="D7">
        <v>57.371070000000003</v>
      </c>
      <c r="E7">
        <v>0.34279949999999998</v>
      </c>
      <c r="F7">
        <v>5.9751281999999998E-3</v>
      </c>
      <c r="G7">
        <v>62.830010000000001</v>
      </c>
      <c r="H7">
        <v>-0.77664129999999998</v>
      </c>
      <c r="I7">
        <v>-1.2360994E-2</v>
      </c>
      <c r="J7">
        <v>-0.4338418</v>
      </c>
      <c r="K7">
        <v>-3.6092948000000001E-3</v>
      </c>
      <c r="L7">
        <v>114.0872</v>
      </c>
      <c r="M7">
        <v>1.7559295999999999E-2</v>
      </c>
      <c r="N7">
        <v>4.1476013000000004E-3</v>
      </c>
      <c r="O7">
        <v>6.1139999999999999</v>
      </c>
      <c r="P7">
        <v>-1.3813593000000001E-2</v>
      </c>
      <c r="Q7">
        <v>-3.2483195000000001E-3</v>
      </c>
      <c r="R7">
        <v>-8.4456310000000007E-2</v>
      </c>
      <c r="S7">
        <v>2.0032909999999999</v>
      </c>
    </row>
    <row r="8" spans="1:19">
      <c r="A8" t="s">
        <v>6</v>
      </c>
      <c r="B8">
        <v>1001</v>
      </c>
      <c r="C8">
        <v>119.9512</v>
      </c>
      <c r="D8">
        <v>52.905059999999999</v>
      </c>
      <c r="E8">
        <v>0.40752500000000003</v>
      </c>
      <c r="F8">
        <v>7.7029495000000003E-3</v>
      </c>
      <c r="G8">
        <v>67.046030000000002</v>
      </c>
      <c r="H8">
        <v>-0.76050169999999995</v>
      </c>
      <c r="I8">
        <v>-1.1342980000000001E-2</v>
      </c>
      <c r="J8">
        <v>-0.35297669999999998</v>
      </c>
      <c r="K8">
        <v>-2.9426682999999999E-3</v>
      </c>
      <c r="L8">
        <v>112.8702</v>
      </c>
      <c r="M8">
        <v>1.7562069E-2</v>
      </c>
      <c r="N8">
        <v>4.146935E-3</v>
      </c>
      <c r="O8">
        <v>7.0809990000000003</v>
      </c>
      <c r="P8">
        <v>-1.1451563999999999E-2</v>
      </c>
      <c r="Q8">
        <v>-2.7029505000000001E-3</v>
      </c>
      <c r="R8">
        <v>-8.1088513000000001E-2</v>
      </c>
      <c r="S8">
        <v>1.982235</v>
      </c>
    </row>
    <row r="9" spans="1:19">
      <c r="A9" t="s">
        <v>7</v>
      </c>
      <c r="B9">
        <v>1305</v>
      </c>
      <c r="C9">
        <v>140.095</v>
      </c>
      <c r="D9">
        <v>54.273049999999998</v>
      </c>
      <c r="E9">
        <v>0.65890029999999999</v>
      </c>
      <c r="F9">
        <v>1.214047E-2</v>
      </c>
      <c r="G9">
        <v>85.822109999999995</v>
      </c>
      <c r="H9">
        <v>-0.98345260000000001</v>
      </c>
      <c r="I9">
        <v>-1.1459199999999999E-2</v>
      </c>
      <c r="J9">
        <v>-0.32455230000000002</v>
      </c>
      <c r="K9">
        <v>-2.3166585999999999E-3</v>
      </c>
      <c r="L9">
        <v>129.39320000000001</v>
      </c>
      <c r="M9">
        <v>2.1867365E-2</v>
      </c>
      <c r="N9">
        <v>5.1538963000000004E-3</v>
      </c>
      <c r="O9">
        <v>10.702</v>
      </c>
      <c r="P9">
        <v>-1.0009476999999999E-2</v>
      </c>
      <c r="Q9">
        <v>-2.3804758999999998E-3</v>
      </c>
      <c r="R9">
        <v>-0.10712140000000001</v>
      </c>
      <c r="S9">
        <v>2.8294890000000001</v>
      </c>
    </row>
    <row r="10" spans="1:19">
      <c r="A10" t="s">
        <v>8</v>
      </c>
      <c r="B10">
        <v>1309</v>
      </c>
      <c r="C10">
        <v>140.21600000000001</v>
      </c>
      <c r="D10">
        <v>54.878050000000002</v>
      </c>
      <c r="E10">
        <v>0.72714069999999997</v>
      </c>
      <c r="F10">
        <v>1.3250118E-2</v>
      </c>
      <c r="G10">
        <v>85.338099999999997</v>
      </c>
      <c r="H10">
        <v>-1.0431379999999999</v>
      </c>
      <c r="I10">
        <v>-1.2223588000000001E-2</v>
      </c>
      <c r="J10">
        <v>-0.31599709999999998</v>
      </c>
      <c r="K10">
        <v>-2.2536460000000002E-3</v>
      </c>
      <c r="L10">
        <v>131.00319999999999</v>
      </c>
      <c r="M10">
        <v>2.1004691999999998E-2</v>
      </c>
      <c r="N10">
        <v>4.9579847000000002E-3</v>
      </c>
      <c r="O10">
        <v>9.2130010000000002</v>
      </c>
      <c r="P10">
        <v>-1.1297570999999999E-2</v>
      </c>
      <c r="Q10">
        <v>-2.6688341000000002E-3</v>
      </c>
      <c r="R10">
        <v>-0.1040845</v>
      </c>
      <c r="S10">
        <v>2.7516820000000002</v>
      </c>
    </row>
    <row r="11" spans="1:19">
      <c r="A11" t="s">
        <v>9</v>
      </c>
      <c r="B11">
        <v>951</v>
      </c>
      <c r="C11">
        <v>122.0033</v>
      </c>
      <c r="D11">
        <v>31.072990000000001</v>
      </c>
      <c r="E11">
        <v>0.32048700000000002</v>
      </c>
      <c r="F11">
        <v>1.0314004999999999E-2</v>
      </c>
      <c r="G11">
        <v>90.930170000000004</v>
      </c>
      <c r="H11">
        <v>-1.0310029999999999</v>
      </c>
      <c r="I11">
        <v>-1.1338404E-2</v>
      </c>
      <c r="J11">
        <v>-0.71051600000000004</v>
      </c>
      <c r="K11">
        <v>-5.8237467999999997E-3</v>
      </c>
      <c r="L11">
        <v>111.4012</v>
      </c>
      <c r="M11">
        <v>1.7850807E-2</v>
      </c>
      <c r="N11">
        <v>4.2131384999999997E-3</v>
      </c>
      <c r="O11">
        <v>10.602</v>
      </c>
      <c r="P11">
        <v>-7.3411301999999996E-3</v>
      </c>
      <c r="Q11">
        <v>-1.7295703E-3</v>
      </c>
      <c r="R11">
        <v>-7.7830664999999993E-2</v>
      </c>
      <c r="S11">
        <v>1.9886010000000001</v>
      </c>
    </row>
    <row r="12" spans="1:19">
      <c r="A12" t="s">
        <v>10</v>
      </c>
      <c r="B12">
        <v>956</v>
      </c>
      <c r="C12">
        <v>117.60720000000001</v>
      </c>
      <c r="D12">
        <v>29.721979999999999</v>
      </c>
      <c r="E12">
        <v>0.30213679999999998</v>
      </c>
      <c r="F12">
        <v>1.0165432E-2</v>
      </c>
      <c r="G12">
        <v>87.885130000000004</v>
      </c>
      <c r="H12">
        <v>-1.023806</v>
      </c>
      <c r="I12">
        <v>-1.1649361E-2</v>
      </c>
      <c r="J12">
        <v>-0.7216688</v>
      </c>
      <c r="K12">
        <v>-6.1362646999999996E-3</v>
      </c>
      <c r="L12">
        <v>108.1721</v>
      </c>
      <c r="M12">
        <v>1.7596334000000002E-2</v>
      </c>
      <c r="N12">
        <v>4.1559678999999999E-3</v>
      </c>
      <c r="O12">
        <v>9.4350000000000005</v>
      </c>
      <c r="P12">
        <v>-7.1776434999999998E-3</v>
      </c>
      <c r="Q12">
        <v>-1.6930267000000001E-3</v>
      </c>
      <c r="R12">
        <v>-6.7721068999999995E-2</v>
      </c>
      <c r="S12">
        <v>1.9034329999999999</v>
      </c>
    </row>
    <row r="13" spans="1:19">
      <c r="A13" t="s">
        <v>11</v>
      </c>
      <c r="B13">
        <v>957</v>
      </c>
      <c r="C13">
        <v>119.8952</v>
      </c>
      <c r="D13">
        <v>37.96799</v>
      </c>
      <c r="E13">
        <v>0.51281279999999996</v>
      </c>
      <c r="F13">
        <v>1.3506449E-2</v>
      </c>
      <c r="G13">
        <v>81.927120000000002</v>
      </c>
      <c r="H13">
        <v>-0.93729079999999998</v>
      </c>
      <c r="I13">
        <v>-1.1440542999999999E-2</v>
      </c>
      <c r="J13">
        <v>-0.42447800000000002</v>
      </c>
      <c r="K13">
        <v>-3.540409E-3</v>
      </c>
      <c r="L13">
        <v>112.3532</v>
      </c>
      <c r="M13">
        <v>1.8095696000000001E-2</v>
      </c>
      <c r="N13">
        <v>4.2712367000000001E-3</v>
      </c>
      <c r="O13">
        <v>7.542001</v>
      </c>
      <c r="P13">
        <v>-7.5897196999999998E-3</v>
      </c>
      <c r="Q13">
        <v>-1.7888022E-3</v>
      </c>
      <c r="R13">
        <v>-5.7241671000000001E-2</v>
      </c>
      <c r="S13">
        <v>2.0331090000000001</v>
      </c>
    </row>
    <row r="14" spans="1:19">
      <c r="A14" t="s">
        <v>12</v>
      </c>
      <c r="B14">
        <v>1894</v>
      </c>
      <c r="C14">
        <v>418.50479999999999</v>
      </c>
      <c r="D14">
        <v>151.38489999999999</v>
      </c>
      <c r="E14">
        <v>1.4245969999999999</v>
      </c>
      <c r="F14">
        <v>9.4104315999999997E-3</v>
      </c>
      <c r="G14">
        <v>267.12009999999998</v>
      </c>
      <c r="H14">
        <v>-2.3531200000000001</v>
      </c>
      <c r="I14">
        <v>-8.8092190999999997E-3</v>
      </c>
      <c r="J14">
        <v>-0.92852310000000005</v>
      </c>
      <c r="K14">
        <v>-2.2186676999999999E-3</v>
      </c>
      <c r="L14">
        <v>380.00689999999997</v>
      </c>
      <c r="M14">
        <v>1.7039084999999999E-2</v>
      </c>
      <c r="N14">
        <v>4.0468559999999997E-3</v>
      </c>
      <c r="O14">
        <v>38.49803</v>
      </c>
      <c r="P14">
        <v>-7.7062831E-3</v>
      </c>
      <c r="Q14">
        <v>-1.8313375999999999E-3</v>
      </c>
      <c r="R14">
        <v>-0.29667670000000002</v>
      </c>
      <c r="S14">
        <v>6.4749699999999999</v>
      </c>
    </row>
    <row r="15" spans="1:19">
      <c r="A15" t="s">
        <v>13</v>
      </c>
      <c r="B15">
        <v>2192</v>
      </c>
      <c r="C15">
        <v>254.36519999999999</v>
      </c>
      <c r="D15">
        <v>67.067089999999993</v>
      </c>
      <c r="E15">
        <v>1.205775</v>
      </c>
      <c r="F15">
        <v>1.7978642E-2</v>
      </c>
      <c r="G15">
        <v>187.29920000000001</v>
      </c>
      <c r="H15">
        <v>-2.1024400000000001</v>
      </c>
      <c r="I15">
        <v>-1.1225034E-2</v>
      </c>
      <c r="J15">
        <v>-0.89666500000000005</v>
      </c>
      <c r="K15">
        <v>-3.5251089999999998E-3</v>
      </c>
      <c r="L15">
        <v>236.87139999999999</v>
      </c>
      <c r="M15">
        <v>2.2768974000000001E-2</v>
      </c>
      <c r="N15">
        <v>5.3718313999999998E-3</v>
      </c>
      <c r="O15">
        <v>17.494009999999999</v>
      </c>
      <c r="P15">
        <v>-1.0184906000000001E-2</v>
      </c>
      <c r="Q15">
        <v>-2.4077676000000001E-3</v>
      </c>
      <c r="R15">
        <v>-0.17817479999999999</v>
      </c>
      <c r="S15">
        <v>5.393319</v>
      </c>
    </row>
    <row r="16" spans="1:19">
      <c r="A16" t="s">
        <v>14</v>
      </c>
      <c r="B16">
        <v>2192</v>
      </c>
      <c r="C16">
        <v>257.73700000000002</v>
      </c>
      <c r="D16">
        <v>62.891069999999999</v>
      </c>
      <c r="E16">
        <v>1.103048</v>
      </c>
      <c r="F16">
        <v>1.7539032E-2</v>
      </c>
      <c r="G16">
        <v>194.84710000000001</v>
      </c>
      <c r="H16">
        <v>-2.1767150000000002</v>
      </c>
      <c r="I16">
        <v>-1.1171400999999999E-2</v>
      </c>
      <c r="J16">
        <v>-1.073666</v>
      </c>
      <c r="K16">
        <v>-4.1657439000000003E-3</v>
      </c>
      <c r="L16">
        <v>238.51820000000001</v>
      </c>
      <c r="M16">
        <v>2.3131102000000001E-2</v>
      </c>
      <c r="N16">
        <v>5.4571604999999997E-3</v>
      </c>
      <c r="O16">
        <v>19.219000000000001</v>
      </c>
      <c r="P16">
        <v>-1.0547663000000001E-2</v>
      </c>
      <c r="Q16">
        <v>-2.5026607000000001E-3</v>
      </c>
      <c r="R16">
        <v>-0.20271549999999999</v>
      </c>
      <c r="S16">
        <v>5.5171900000000003</v>
      </c>
    </row>
    <row r="17" spans="1:19">
      <c r="A17" t="s">
        <v>15</v>
      </c>
      <c r="B17">
        <v>2201</v>
      </c>
      <c r="C17">
        <v>261.73509999999999</v>
      </c>
      <c r="D17">
        <v>82.704160000000002</v>
      </c>
      <c r="E17">
        <v>1.1913260000000001</v>
      </c>
      <c r="F17">
        <v>1.4404671000000001E-2</v>
      </c>
      <c r="G17">
        <v>179.0324</v>
      </c>
      <c r="H17">
        <v>-2.0696659999999998</v>
      </c>
      <c r="I17">
        <v>-1.1560282999999999E-2</v>
      </c>
      <c r="J17">
        <v>-0.87833939999999999</v>
      </c>
      <c r="K17">
        <v>-3.3558337000000001E-3</v>
      </c>
      <c r="L17">
        <v>236.85640000000001</v>
      </c>
      <c r="M17">
        <v>2.3754384E-2</v>
      </c>
      <c r="N17">
        <v>5.603963E-3</v>
      </c>
      <c r="O17">
        <v>24.878990000000002</v>
      </c>
      <c r="P17">
        <v>-1.1831123000000001E-2</v>
      </c>
      <c r="Q17">
        <v>-2.8032996000000002E-3</v>
      </c>
      <c r="R17">
        <v>-0.29434650000000001</v>
      </c>
      <c r="S17">
        <v>5.626379</v>
      </c>
    </row>
    <row r="18" spans="1:19">
      <c r="A18" t="s">
        <v>16</v>
      </c>
      <c r="B18">
        <v>4326</v>
      </c>
      <c r="C18">
        <v>650.77639999999997</v>
      </c>
      <c r="D18">
        <v>161.71610000000001</v>
      </c>
      <c r="E18">
        <v>2.4156420000000001</v>
      </c>
      <c r="F18">
        <v>1.4937550000000001E-2</v>
      </c>
      <c r="G18">
        <v>489.06459999999998</v>
      </c>
      <c r="H18">
        <v>-3.9383780000000002</v>
      </c>
      <c r="I18">
        <v>-8.0528790000000006E-3</v>
      </c>
      <c r="J18">
        <v>-1.522737</v>
      </c>
      <c r="K18">
        <v>-2.3398767000000001E-3</v>
      </c>
      <c r="L18">
        <v>614.29020000000003</v>
      </c>
      <c r="M18">
        <v>2.1747579999999999E-2</v>
      </c>
      <c r="N18">
        <v>5.1840608999999998E-3</v>
      </c>
      <c r="O18">
        <v>36.487009999999998</v>
      </c>
      <c r="P18">
        <v>-8.7833144000000005E-3</v>
      </c>
      <c r="Q18">
        <v>-2.0946199000000001E-3</v>
      </c>
      <c r="R18">
        <v>-0.32047690000000001</v>
      </c>
      <c r="S18">
        <v>13.35933</v>
      </c>
    </row>
    <row r="19" spans="1:19">
      <c r="A19" t="s">
        <v>17</v>
      </c>
      <c r="B19">
        <v>4366</v>
      </c>
      <c r="C19">
        <v>650.2079</v>
      </c>
      <c r="D19">
        <v>172.2304</v>
      </c>
      <c r="E19">
        <v>2.7177470000000001</v>
      </c>
      <c r="F19">
        <v>1.5779710999999998E-2</v>
      </c>
      <c r="G19">
        <v>477.97859999999997</v>
      </c>
      <c r="H19">
        <v>-3.8883740000000002</v>
      </c>
      <c r="I19">
        <v>-8.1350384000000008E-3</v>
      </c>
      <c r="J19">
        <v>-1.1706270000000001</v>
      </c>
      <c r="K19">
        <v>-1.8003894E-3</v>
      </c>
      <c r="L19">
        <v>621.52319999999997</v>
      </c>
      <c r="M19">
        <v>2.1801437999999999E-2</v>
      </c>
      <c r="N19">
        <v>5.1995777000000002E-3</v>
      </c>
      <c r="O19">
        <v>28.685009999999998</v>
      </c>
      <c r="P19">
        <v>-9.0945269999999998E-3</v>
      </c>
      <c r="Q19">
        <v>-2.1739716E-3</v>
      </c>
      <c r="R19">
        <v>-0.26087660000000001</v>
      </c>
      <c r="S19">
        <v>13.5501</v>
      </c>
    </row>
    <row r="20" spans="1:19">
      <c r="A20" t="s">
        <v>18</v>
      </c>
      <c r="B20">
        <v>4368</v>
      </c>
      <c r="C20">
        <v>652.65329999999994</v>
      </c>
      <c r="D20">
        <v>168.73560000000001</v>
      </c>
      <c r="E20">
        <v>2.6708349999999998</v>
      </c>
      <c r="F20">
        <v>1.5828522000000001E-2</v>
      </c>
      <c r="G20">
        <v>483.91930000000002</v>
      </c>
      <c r="H20">
        <v>-3.8485140000000002</v>
      </c>
      <c r="I20">
        <v>-7.9528010000000007E-3</v>
      </c>
      <c r="J20">
        <v>-1.1776789999999999</v>
      </c>
      <c r="K20">
        <v>-1.8044476E-3</v>
      </c>
      <c r="L20">
        <v>621.83280000000002</v>
      </c>
      <c r="M20">
        <v>2.1599894000000001E-2</v>
      </c>
      <c r="N20">
        <v>5.1560546000000004E-3</v>
      </c>
      <c r="O20">
        <v>30.821020000000001</v>
      </c>
      <c r="P20">
        <v>-9.2137800999999991E-3</v>
      </c>
      <c r="Q20">
        <v>-2.2013807E-3</v>
      </c>
      <c r="R20">
        <v>-0.28397810000000001</v>
      </c>
      <c r="S20">
        <v>13.431520000000001</v>
      </c>
    </row>
    <row r="21" spans="1:19">
      <c r="A21" t="s">
        <v>19</v>
      </c>
      <c r="B21">
        <v>4368</v>
      </c>
      <c r="C21">
        <v>648.11670000000004</v>
      </c>
      <c r="D21">
        <v>161.16380000000001</v>
      </c>
      <c r="E21">
        <v>2.286816</v>
      </c>
      <c r="F21">
        <v>1.4189386E-2</v>
      </c>
      <c r="G21">
        <v>486.95479999999998</v>
      </c>
      <c r="H21">
        <v>-3.9084989999999999</v>
      </c>
      <c r="I21">
        <v>-8.0264107999999997E-3</v>
      </c>
      <c r="J21">
        <v>-1.6216839999999999</v>
      </c>
      <c r="K21">
        <v>-2.5021475999999999E-3</v>
      </c>
      <c r="L21">
        <v>620.1318</v>
      </c>
      <c r="M21">
        <v>2.1634666E-2</v>
      </c>
      <c r="N21">
        <v>5.1660938000000003E-3</v>
      </c>
      <c r="O21">
        <v>27.985019999999999</v>
      </c>
      <c r="P21">
        <v>-8.9567312999999996E-3</v>
      </c>
      <c r="Q21">
        <v>-2.1423445999999998E-3</v>
      </c>
      <c r="R21">
        <v>-0.2506543</v>
      </c>
      <c r="S21">
        <v>13.41635</v>
      </c>
    </row>
    <row r="22" spans="1:19">
      <c r="A22" t="s">
        <v>20</v>
      </c>
      <c r="B22">
        <v>4376</v>
      </c>
      <c r="C22">
        <v>649.24869999999999</v>
      </c>
      <c r="D22">
        <v>170.30459999999999</v>
      </c>
      <c r="E22">
        <v>2.6787830000000001</v>
      </c>
      <c r="F22">
        <v>1.5729370999999999E-2</v>
      </c>
      <c r="G22">
        <v>478.94510000000002</v>
      </c>
      <c r="H22">
        <v>-3.9047589999999999</v>
      </c>
      <c r="I22">
        <v>-8.1528322999999993E-3</v>
      </c>
      <c r="J22">
        <v>-1.225975</v>
      </c>
      <c r="K22">
        <v>-1.8882985E-3</v>
      </c>
      <c r="L22">
        <v>621.81489999999997</v>
      </c>
      <c r="M22">
        <v>2.1785615000000001E-2</v>
      </c>
      <c r="N22">
        <v>5.1962490999999996E-3</v>
      </c>
      <c r="O22">
        <v>27.434010000000001</v>
      </c>
      <c r="P22">
        <v>-9.1988081000000006E-3</v>
      </c>
      <c r="Q22">
        <v>-2.1944366999999999E-3</v>
      </c>
      <c r="R22">
        <v>-0.25236019999999998</v>
      </c>
      <c r="S22">
        <v>13.546620000000001</v>
      </c>
    </row>
    <row r="23" spans="1:19">
      <c r="A23" t="s">
        <v>21</v>
      </c>
      <c r="B23">
        <v>4382</v>
      </c>
      <c r="C23">
        <v>655.54039999999998</v>
      </c>
      <c r="D23">
        <v>162.5299</v>
      </c>
      <c r="E23">
        <v>2.382104</v>
      </c>
      <c r="F23">
        <v>1.4656404E-2</v>
      </c>
      <c r="G23">
        <v>493.01350000000002</v>
      </c>
      <c r="H23">
        <v>-3.7798799999999999</v>
      </c>
      <c r="I23">
        <v>-7.6668891000000001E-3</v>
      </c>
      <c r="J23">
        <v>-1.3977759999999999</v>
      </c>
      <c r="K23">
        <v>-2.1322502000000001E-3</v>
      </c>
      <c r="L23">
        <v>623.71190000000001</v>
      </c>
      <c r="M23">
        <v>2.1482002E-2</v>
      </c>
      <c r="N23">
        <v>5.1237395999999998E-3</v>
      </c>
      <c r="O23">
        <v>31.829029999999999</v>
      </c>
      <c r="P23">
        <v>-9.0403798999999993E-3</v>
      </c>
      <c r="Q23">
        <v>-2.1635081999999998E-3</v>
      </c>
      <c r="R23">
        <v>-0.28774660000000002</v>
      </c>
      <c r="S23">
        <v>13.398580000000001</v>
      </c>
    </row>
    <row r="24" spans="1:19">
      <c r="A24" t="s">
        <v>34</v>
      </c>
      <c r="B24">
        <v>4382</v>
      </c>
      <c r="C24">
        <v>647.83969999999999</v>
      </c>
      <c r="D24">
        <v>170.20949999999999</v>
      </c>
      <c r="E24">
        <v>2.6986789999999998</v>
      </c>
      <c r="F24">
        <v>1.5855042E-2</v>
      </c>
      <c r="G24">
        <v>477.63080000000002</v>
      </c>
      <c r="H24">
        <v>-3.8792990000000001</v>
      </c>
      <c r="I24">
        <v>-8.1219627000000006E-3</v>
      </c>
      <c r="J24">
        <v>-1.1806209999999999</v>
      </c>
      <c r="K24">
        <v>-1.8223962000000001E-3</v>
      </c>
      <c r="L24">
        <v>616.61220000000003</v>
      </c>
      <c r="M24">
        <v>2.1864932E-2</v>
      </c>
      <c r="N24">
        <v>5.2094995E-3</v>
      </c>
      <c r="O24">
        <v>31.22702</v>
      </c>
      <c r="P24">
        <v>-8.8247042000000001E-3</v>
      </c>
      <c r="Q24">
        <v>-2.1035816E-3</v>
      </c>
      <c r="R24">
        <v>-0.27556920000000001</v>
      </c>
      <c r="S24">
        <v>13.48218</v>
      </c>
    </row>
    <row r="25" spans="1:19">
      <c r="A25" t="s">
        <v>22</v>
      </c>
      <c r="B25">
        <v>4384</v>
      </c>
      <c r="C25">
        <v>362.74360000000001</v>
      </c>
      <c r="D25">
        <v>114.5532</v>
      </c>
      <c r="E25">
        <v>2.2672599999999998</v>
      </c>
      <c r="F25">
        <v>1.9792199E-2</v>
      </c>
      <c r="G25">
        <v>248.19049999999999</v>
      </c>
      <c r="H25">
        <v>-2.7413729999999998</v>
      </c>
      <c r="I25">
        <v>-1.1045437E-2</v>
      </c>
      <c r="J25">
        <v>-0.47411300000000001</v>
      </c>
      <c r="K25">
        <v>-1.3070194999999999E-3</v>
      </c>
      <c r="L25">
        <v>347.37959999999998</v>
      </c>
      <c r="M25">
        <v>2.3378679999999999E-2</v>
      </c>
      <c r="N25">
        <v>5.5171717000000002E-3</v>
      </c>
      <c r="O25">
        <v>15.364000000000001</v>
      </c>
      <c r="P25">
        <v>-9.7028323999999999E-3</v>
      </c>
      <c r="Q25">
        <v>-2.2934514999999999E-3</v>
      </c>
      <c r="R25">
        <v>-0.14907429999999999</v>
      </c>
      <c r="S25">
        <v>8.1212769999999992</v>
      </c>
    </row>
    <row r="26" spans="1:19">
      <c r="A26" t="s">
        <v>23</v>
      </c>
      <c r="B26">
        <v>4386</v>
      </c>
      <c r="C26">
        <v>647.70860000000005</v>
      </c>
      <c r="D26">
        <v>155.71279999999999</v>
      </c>
      <c r="E26">
        <v>2.2005180000000002</v>
      </c>
      <c r="F26">
        <v>1.4131902E-2</v>
      </c>
      <c r="G26">
        <v>491.99849999999998</v>
      </c>
      <c r="H26">
        <v>-4.0074389999999998</v>
      </c>
      <c r="I26">
        <v>-8.1452270999999993E-3</v>
      </c>
      <c r="J26">
        <v>-1.806921</v>
      </c>
      <c r="K26">
        <v>-2.7897124999999999E-3</v>
      </c>
      <c r="L26">
        <v>615.40509999999995</v>
      </c>
      <c r="M26">
        <v>2.1648113E-2</v>
      </c>
      <c r="N26">
        <v>5.1617045000000002E-3</v>
      </c>
      <c r="O26">
        <v>32.304029999999997</v>
      </c>
      <c r="P26">
        <v>-9.8568816000000007E-3</v>
      </c>
      <c r="Q26">
        <v>-2.3586443000000001E-3</v>
      </c>
      <c r="R26">
        <v>-0.31841700000000001</v>
      </c>
      <c r="S26">
        <v>13.32236</v>
      </c>
    </row>
    <row r="27" spans="1:19">
      <c r="A27" t="s">
        <v>24</v>
      </c>
      <c r="B27">
        <v>4386</v>
      </c>
      <c r="C27">
        <v>657.61479999999995</v>
      </c>
      <c r="D27">
        <v>173.9958</v>
      </c>
      <c r="E27">
        <v>2.6503040000000002</v>
      </c>
      <c r="F27">
        <v>1.5231995999999999E-2</v>
      </c>
      <c r="G27">
        <v>483.62240000000003</v>
      </c>
      <c r="H27">
        <v>-3.6744219999999999</v>
      </c>
      <c r="I27">
        <v>-7.5977081000000004E-3</v>
      </c>
      <c r="J27">
        <v>-1.0241180000000001</v>
      </c>
      <c r="K27">
        <v>-1.5573221999999999E-3</v>
      </c>
      <c r="L27">
        <v>626.5915</v>
      </c>
      <c r="M27">
        <v>2.1627277E-2</v>
      </c>
      <c r="N27">
        <v>5.1546092000000002E-3</v>
      </c>
      <c r="O27">
        <v>31.02403</v>
      </c>
      <c r="P27">
        <v>-9.6146063999999996E-3</v>
      </c>
      <c r="Q27">
        <v>-2.2944910000000001E-3</v>
      </c>
      <c r="R27">
        <v>-0.29828379999999999</v>
      </c>
      <c r="S27">
        <v>13.55147</v>
      </c>
    </row>
    <row r="28" spans="1:19">
      <c r="A28" t="s">
        <v>25</v>
      </c>
      <c r="B28">
        <v>4396</v>
      </c>
      <c r="C28">
        <v>739.06560000000002</v>
      </c>
      <c r="D28">
        <v>173.035</v>
      </c>
      <c r="E28">
        <v>2.4716680000000002</v>
      </c>
      <c r="F28">
        <v>1.4284211999999999E-2</v>
      </c>
      <c r="G28">
        <v>566.03480000000002</v>
      </c>
      <c r="H28">
        <v>-4.2090449999999997</v>
      </c>
      <c r="I28">
        <v>-7.4360188999999998E-3</v>
      </c>
      <c r="J28">
        <v>-1.7373769999999999</v>
      </c>
      <c r="K28">
        <v>-2.3507750999999999E-3</v>
      </c>
      <c r="L28">
        <v>706.63570000000004</v>
      </c>
      <c r="M28">
        <v>2.0653706000000001E-2</v>
      </c>
      <c r="N28">
        <v>4.9372963000000004E-3</v>
      </c>
      <c r="O28">
        <v>32.431040000000003</v>
      </c>
      <c r="P28">
        <v>-1.5754537999999998E-2</v>
      </c>
      <c r="Q28">
        <v>-3.7568825999999998E-3</v>
      </c>
      <c r="R28">
        <v>-0.51093599999999995</v>
      </c>
      <c r="S28">
        <v>14.59465</v>
      </c>
    </row>
    <row r="29" spans="1:19">
      <c r="A29" t="s">
        <v>26</v>
      </c>
      <c r="B29">
        <v>4496</v>
      </c>
      <c r="C29">
        <v>542.09690000000001</v>
      </c>
      <c r="D29">
        <v>85.907070000000004</v>
      </c>
      <c r="E29">
        <v>1.0849869999999999</v>
      </c>
      <c r="F29">
        <v>1.2629773E-2</v>
      </c>
      <c r="G29">
        <v>456.1893</v>
      </c>
      <c r="H29">
        <v>-4.4883449999999998</v>
      </c>
      <c r="I29">
        <v>-9.8387775999999993E-3</v>
      </c>
      <c r="J29">
        <v>-3.4033579999999999</v>
      </c>
      <c r="K29">
        <v>-6.2781362999999998E-3</v>
      </c>
      <c r="L29">
        <v>520.9194</v>
      </c>
      <c r="M29">
        <v>2.7175331E-2</v>
      </c>
      <c r="N29">
        <v>6.4699071999999996E-3</v>
      </c>
      <c r="O29">
        <v>21.178000000000001</v>
      </c>
      <c r="P29">
        <v>-7.0400545000000002E-3</v>
      </c>
      <c r="Q29">
        <v>-1.6942531E-3</v>
      </c>
      <c r="R29">
        <v>-0.14909430000000001</v>
      </c>
      <c r="S29">
        <v>14.15616</v>
      </c>
    </row>
    <row r="30" spans="1:19">
      <c r="A30" t="s">
        <v>27</v>
      </c>
      <c r="B30">
        <v>4616</v>
      </c>
      <c r="C30">
        <v>534.57669999999996</v>
      </c>
      <c r="D30">
        <v>112.04900000000001</v>
      </c>
      <c r="E30">
        <v>2.1312220000000002</v>
      </c>
      <c r="F30">
        <v>1.902044E-2</v>
      </c>
      <c r="G30">
        <v>422.52820000000003</v>
      </c>
      <c r="H30">
        <v>-4.5532260000000004</v>
      </c>
      <c r="I30">
        <v>-1.0776147E-2</v>
      </c>
      <c r="J30">
        <v>-2.422005</v>
      </c>
      <c r="K30">
        <v>-4.5306961999999999E-3</v>
      </c>
      <c r="L30">
        <v>453.00959999999998</v>
      </c>
      <c r="M30">
        <v>2.6313501999999999E-2</v>
      </c>
      <c r="N30">
        <v>6.2540755999999998E-3</v>
      </c>
      <c r="O30">
        <v>81.567989999999995</v>
      </c>
      <c r="P30">
        <v>-1.2113753999999999E-2</v>
      </c>
      <c r="Q30">
        <v>-2.8976379000000001E-3</v>
      </c>
      <c r="R30">
        <v>-0.98809449999999999</v>
      </c>
      <c r="S30">
        <v>11.92027</v>
      </c>
    </row>
    <row r="31" spans="1:19">
      <c r="A31" t="s">
        <v>28</v>
      </c>
      <c r="B31">
        <v>4599</v>
      </c>
      <c r="C31">
        <v>311.52589999999998</v>
      </c>
      <c r="D31">
        <v>82.4251</v>
      </c>
      <c r="E31">
        <v>1.781625</v>
      </c>
      <c r="F31">
        <v>2.1615072999999999E-2</v>
      </c>
      <c r="G31">
        <v>229.10130000000001</v>
      </c>
      <c r="H31">
        <v>-4.0405410000000002</v>
      </c>
      <c r="I31">
        <v>-1.7636484000000001E-2</v>
      </c>
      <c r="J31">
        <v>-2.2589169999999998</v>
      </c>
      <c r="K31">
        <v>-7.2511364999999998E-3</v>
      </c>
      <c r="L31">
        <v>302.5188</v>
      </c>
      <c r="M31">
        <v>2.9975953999999999E-2</v>
      </c>
      <c r="N31">
        <v>7.0790699999999998E-3</v>
      </c>
      <c r="O31">
        <v>9.0070010000000007</v>
      </c>
      <c r="P31">
        <v>-6.6193481999999998E-3</v>
      </c>
      <c r="Q31">
        <v>-1.5689598E-3</v>
      </c>
      <c r="R31">
        <v>-5.9620474E-2</v>
      </c>
      <c r="S31">
        <v>9.068289</v>
      </c>
    </row>
    <row r="32" spans="1:19">
      <c r="A32" t="s">
        <v>29</v>
      </c>
      <c r="B32">
        <v>4600</v>
      </c>
      <c r="C32">
        <v>312.57130000000001</v>
      </c>
      <c r="D32">
        <v>78.426079999999999</v>
      </c>
      <c r="E32">
        <v>1.8257190000000001</v>
      </c>
      <c r="F32">
        <v>2.3279484E-2</v>
      </c>
      <c r="G32">
        <v>234.14519999999999</v>
      </c>
      <c r="H32">
        <v>-4.0615389999999998</v>
      </c>
      <c r="I32">
        <v>-1.7346238999999999E-2</v>
      </c>
      <c r="J32">
        <v>-2.2358199999999999</v>
      </c>
      <c r="K32">
        <v>-7.1529918000000003E-3</v>
      </c>
      <c r="L32">
        <v>304.73520000000002</v>
      </c>
      <c r="M32">
        <v>3.0322634000000001E-2</v>
      </c>
      <c r="N32">
        <v>7.1575320000000003E-3</v>
      </c>
      <c r="O32">
        <v>7.8360010000000004</v>
      </c>
      <c r="P32">
        <v>-9.4561577000000004E-3</v>
      </c>
      <c r="Q32">
        <v>-2.2454077999999999E-3</v>
      </c>
      <c r="R32">
        <v>-7.4098460000000005E-2</v>
      </c>
      <c r="S32">
        <v>9.2403739999999992</v>
      </c>
    </row>
    <row r="33" spans="1:19">
      <c r="A33" t="s">
        <v>30</v>
      </c>
      <c r="B33">
        <v>4599</v>
      </c>
      <c r="C33">
        <v>309.63839999999999</v>
      </c>
      <c r="D33">
        <v>76.516090000000005</v>
      </c>
      <c r="E33">
        <v>1.801145</v>
      </c>
      <c r="F33">
        <v>2.3539425999999999E-2</v>
      </c>
      <c r="G33">
        <v>233.1224</v>
      </c>
      <c r="H33">
        <v>-4.0469629999999999</v>
      </c>
      <c r="I33">
        <v>-1.7359817E-2</v>
      </c>
      <c r="J33">
        <v>-2.2458179999999999</v>
      </c>
      <c r="K33">
        <v>-7.2530340000000002E-3</v>
      </c>
      <c r="L33">
        <v>302.50630000000001</v>
      </c>
      <c r="M33">
        <v>3.0559309E-2</v>
      </c>
      <c r="N33">
        <v>7.2165355000000002E-3</v>
      </c>
      <c r="O33">
        <v>7.1319999999999997</v>
      </c>
      <c r="P33">
        <v>-9.6525932000000002E-3</v>
      </c>
      <c r="Q33">
        <v>-2.2947432000000002E-3</v>
      </c>
      <c r="R33">
        <v>-6.8842298999999996E-2</v>
      </c>
      <c r="S33">
        <v>9.2443819999999999</v>
      </c>
    </row>
    <row r="34" spans="1:19">
      <c r="A34" t="s">
        <v>31</v>
      </c>
      <c r="B34">
        <v>10032</v>
      </c>
      <c r="C34">
        <v>1337.413</v>
      </c>
      <c r="D34">
        <v>450.51479999999998</v>
      </c>
      <c r="E34">
        <v>4.1167660000000001</v>
      </c>
      <c r="F34">
        <v>9.1379154000000001E-3</v>
      </c>
      <c r="G34">
        <v>886.89179999999999</v>
      </c>
      <c r="H34">
        <v>-8.7317300000000007</v>
      </c>
      <c r="I34">
        <v>-9.8453145000000006E-3</v>
      </c>
      <c r="J34">
        <v>-4.6149639999999996</v>
      </c>
      <c r="K34">
        <v>-3.4506634999999998E-3</v>
      </c>
      <c r="L34">
        <v>1162.058</v>
      </c>
      <c r="M34">
        <v>1.9495292000000001E-2</v>
      </c>
      <c r="N34">
        <v>4.6186852E-3</v>
      </c>
      <c r="O34">
        <v>175.35409999999999</v>
      </c>
      <c r="P34">
        <v>-8.3551927999999994E-3</v>
      </c>
      <c r="Q34">
        <v>-2.0070096999999999E-3</v>
      </c>
      <c r="R34">
        <v>-1.465117</v>
      </c>
      <c r="S34">
        <v>22.65465</v>
      </c>
    </row>
    <row r="35" spans="1:19">
      <c r="A35" t="s">
        <v>32</v>
      </c>
      <c r="B35">
        <v>10214</v>
      </c>
      <c r="C35">
        <v>1459.9280000000001</v>
      </c>
      <c r="D35">
        <v>436.20909999999998</v>
      </c>
      <c r="E35">
        <v>4.9913650000000001</v>
      </c>
      <c r="F35">
        <v>1.1442595999999999E-2</v>
      </c>
      <c r="G35">
        <v>1023.693</v>
      </c>
      <c r="H35">
        <v>-10.15343</v>
      </c>
      <c r="I35">
        <v>-9.9184307999999992E-3</v>
      </c>
      <c r="J35">
        <v>-5.1620679999999997</v>
      </c>
      <c r="K35">
        <v>-3.5358364999999998E-3</v>
      </c>
      <c r="L35">
        <v>1256.5989999999999</v>
      </c>
      <c r="M35">
        <v>2.0131838999999999E-2</v>
      </c>
      <c r="N35">
        <v>4.7821625999999997E-3</v>
      </c>
      <c r="O35">
        <v>203.321</v>
      </c>
      <c r="P35">
        <v>-1.0278433999999999E-2</v>
      </c>
      <c r="Q35">
        <v>-2.4586127E-3</v>
      </c>
      <c r="R35">
        <v>-2.0898210000000002</v>
      </c>
      <c r="S35">
        <v>25.297640000000001</v>
      </c>
    </row>
    <row r="36" spans="1:19">
      <c r="A36" t="s">
        <v>33</v>
      </c>
      <c r="B36">
        <v>10355</v>
      </c>
      <c r="C36">
        <v>1652.01</v>
      </c>
      <c r="D36">
        <v>625.28880000000004</v>
      </c>
      <c r="E36">
        <v>6.6941800000000002</v>
      </c>
      <c r="F36">
        <v>1.0705741E-2</v>
      </c>
      <c r="G36">
        <v>1026.6990000000001</v>
      </c>
      <c r="H36">
        <v>-9.2565760000000008</v>
      </c>
      <c r="I36">
        <v>-9.0158637999999992E-3</v>
      </c>
      <c r="J36">
        <v>-2.5623960000000001</v>
      </c>
      <c r="K36">
        <v>-1.5510770999999999E-3</v>
      </c>
      <c r="L36">
        <v>1379.4490000000001</v>
      </c>
      <c r="M36">
        <v>1.8465353E-2</v>
      </c>
      <c r="N36">
        <v>4.3609002999999997E-3</v>
      </c>
      <c r="O36">
        <v>272.55029999999999</v>
      </c>
      <c r="P36">
        <v>-1.1908037999999999E-2</v>
      </c>
      <c r="Q36">
        <v>-2.8494637999999998E-3</v>
      </c>
      <c r="R36">
        <v>-3.245539</v>
      </c>
      <c r="S36">
        <v>25.472020000000001</v>
      </c>
    </row>
  </sheetData>
  <phoneticPr fontId="0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85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191.56469999999999</v>
      </c>
      <c r="D2">
        <v>59.916989999999998</v>
      </c>
      <c r="E2">
        <v>0.75236990000000004</v>
      </c>
      <c r="F2">
        <v>1.2556871000000001E-2</v>
      </c>
      <c r="G2">
        <v>131.6481</v>
      </c>
      <c r="H2">
        <v>-1.441689</v>
      </c>
      <c r="I2">
        <v>-1.0951078E-2</v>
      </c>
      <c r="J2">
        <v>-0.68931900000000002</v>
      </c>
      <c r="K2">
        <v>-3.5983613000000001E-3</v>
      </c>
      <c r="L2">
        <v>158.84780000000001</v>
      </c>
      <c r="M2">
        <v>2.9197989000000001E-2</v>
      </c>
      <c r="N2">
        <v>6.8813581000000002E-3</v>
      </c>
      <c r="O2">
        <v>32.717030000000001</v>
      </c>
      <c r="P2">
        <v>-1.4167542E-2</v>
      </c>
      <c r="Q2">
        <v>-3.3833563999999998E-3</v>
      </c>
      <c r="R2">
        <v>-0.46351979999999998</v>
      </c>
      <c r="S2">
        <v>4.6380350000000004</v>
      </c>
    </row>
    <row r="3" spans="1:19">
      <c r="A3" t="s">
        <v>1</v>
      </c>
      <c r="B3">
        <v>1248</v>
      </c>
      <c r="C3">
        <v>220.16399999999999</v>
      </c>
      <c r="D3">
        <v>54.804000000000002</v>
      </c>
      <c r="E3">
        <v>0.82505949999999995</v>
      </c>
      <c r="F3">
        <v>1.5054731999999999E-2</v>
      </c>
      <c r="G3">
        <v>165.35990000000001</v>
      </c>
      <c r="H3">
        <v>-1.746586</v>
      </c>
      <c r="I3">
        <v>-1.0562330999999999E-2</v>
      </c>
      <c r="J3">
        <v>-0.92152670000000003</v>
      </c>
      <c r="K3">
        <v>-4.1856384000000003E-3</v>
      </c>
      <c r="L3">
        <v>165.30099999999999</v>
      </c>
      <c r="M3">
        <v>2.8146146E-2</v>
      </c>
      <c r="N3">
        <v>6.6276154999999996E-3</v>
      </c>
      <c r="O3">
        <v>54.862960000000001</v>
      </c>
      <c r="P3">
        <v>-1.1058211E-2</v>
      </c>
      <c r="Q3">
        <v>-2.6492846999999998E-3</v>
      </c>
      <c r="R3">
        <v>-0.60668619999999995</v>
      </c>
      <c r="S3">
        <v>4.6525860000000003</v>
      </c>
    </row>
    <row r="4" spans="1:19">
      <c r="A4" t="s">
        <v>2</v>
      </c>
      <c r="B4">
        <v>2468</v>
      </c>
      <c r="C4">
        <v>403.87169999999998</v>
      </c>
      <c r="D4">
        <v>111.988</v>
      </c>
      <c r="E4">
        <v>1.8907560000000001</v>
      </c>
      <c r="F4">
        <v>1.6883556000000001E-2</v>
      </c>
      <c r="G4">
        <v>291.88310000000001</v>
      </c>
      <c r="H4">
        <v>-3.7662040000000001</v>
      </c>
      <c r="I4">
        <v>-1.2903128E-2</v>
      </c>
      <c r="J4">
        <v>-1.8754489999999999</v>
      </c>
      <c r="K4">
        <v>-4.6436749000000003E-3</v>
      </c>
      <c r="L4">
        <v>378.20740000000001</v>
      </c>
      <c r="M4">
        <v>2.8317489000000001E-2</v>
      </c>
      <c r="N4">
        <v>6.6936775E-3</v>
      </c>
      <c r="O4">
        <v>25.664010000000001</v>
      </c>
      <c r="P4">
        <v>-1.5286741E-2</v>
      </c>
      <c r="Q4">
        <v>-3.6665338999999999E-3</v>
      </c>
      <c r="R4">
        <v>-0.39231909999999998</v>
      </c>
      <c r="S4">
        <v>10.70988</v>
      </c>
    </row>
    <row r="5" spans="1:19">
      <c r="A5" t="s">
        <v>3</v>
      </c>
      <c r="B5">
        <v>993</v>
      </c>
      <c r="C5">
        <v>105.41719999999999</v>
      </c>
      <c r="D5">
        <v>50.089979999999997</v>
      </c>
      <c r="E5">
        <v>0.35672930000000003</v>
      </c>
      <c r="F5">
        <v>7.1217683000000002E-3</v>
      </c>
      <c r="G5">
        <v>55.326999999999998</v>
      </c>
      <c r="H5">
        <v>-0.65802309999999997</v>
      </c>
      <c r="I5">
        <v>-1.1893344E-2</v>
      </c>
      <c r="J5">
        <v>-0.3012938</v>
      </c>
      <c r="K5">
        <v>-2.8581072E-3</v>
      </c>
      <c r="L5">
        <v>97.864189999999994</v>
      </c>
      <c r="M5">
        <v>1.9079466999999999E-2</v>
      </c>
      <c r="N5">
        <v>4.4884536999999997E-3</v>
      </c>
      <c r="O5">
        <v>7.5529999999999999</v>
      </c>
      <c r="P5">
        <v>-1.2419985999999999E-2</v>
      </c>
      <c r="Q5">
        <v>-2.9315046999999999E-3</v>
      </c>
      <c r="R5">
        <v>-9.3808152000000006E-2</v>
      </c>
      <c r="S5">
        <v>1.867197</v>
      </c>
    </row>
    <row r="6" spans="1:19">
      <c r="A6" t="s">
        <v>4</v>
      </c>
      <c r="B6">
        <v>994</v>
      </c>
      <c r="C6">
        <v>107.00530000000001</v>
      </c>
      <c r="D6">
        <v>41.604990000000001</v>
      </c>
      <c r="E6">
        <v>0.39241589999999998</v>
      </c>
      <c r="F6">
        <v>9.4319424000000006E-3</v>
      </c>
      <c r="G6">
        <v>65.400019999999998</v>
      </c>
      <c r="H6">
        <v>-0.68771559999999998</v>
      </c>
      <c r="I6">
        <v>-1.0515527E-2</v>
      </c>
      <c r="J6">
        <v>-0.2952998</v>
      </c>
      <c r="K6">
        <v>-2.7596748E-3</v>
      </c>
      <c r="L6">
        <v>101.58320000000001</v>
      </c>
      <c r="M6">
        <v>2.0461999000000002E-2</v>
      </c>
      <c r="N6">
        <v>4.8115644999999997E-3</v>
      </c>
      <c r="O6">
        <v>5.4219999999999997</v>
      </c>
      <c r="P6">
        <v>-1.1255283E-2</v>
      </c>
      <c r="Q6">
        <v>-2.6533108000000001E-3</v>
      </c>
      <c r="R6">
        <v>-6.1026148000000002E-2</v>
      </c>
      <c r="S6">
        <v>2.0785960000000001</v>
      </c>
    </row>
    <row r="7" spans="1:19">
      <c r="A7" t="s">
        <v>5</v>
      </c>
      <c r="B7">
        <v>1001</v>
      </c>
      <c r="C7">
        <v>107.9003</v>
      </c>
      <c r="D7">
        <v>52.284970000000001</v>
      </c>
      <c r="E7">
        <v>0.30520269999999999</v>
      </c>
      <c r="F7">
        <v>5.8372928999999999E-3</v>
      </c>
      <c r="G7">
        <v>55.614989999999999</v>
      </c>
      <c r="H7">
        <v>-0.69598369999999998</v>
      </c>
      <c r="I7">
        <v>-1.2514317E-2</v>
      </c>
      <c r="J7">
        <v>-0.39078099999999999</v>
      </c>
      <c r="K7">
        <v>-3.6216871999999998E-3</v>
      </c>
      <c r="L7">
        <v>103.44119999999999</v>
      </c>
      <c r="M7">
        <v>1.9174943E-2</v>
      </c>
      <c r="N7">
        <v>4.5181763999999998E-3</v>
      </c>
      <c r="O7">
        <v>4.4589999999999996</v>
      </c>
      <c r="P7">
        <v>-1.3293513E-2</v>
      </c>
      <c r="Q7">
        <v>-3.1197777E-3</v>
      </c>
      <c r="R7">
        <v>-5.9275776000000002E-2</v>
      </c>
      <c r="S7">
        <v>1.983479</v>
      </c>
    </row>
    <row r="8" spans="1:19">
      <c r="A8" t="s">
        <v>6</v>
      </c>
      <c r="B8">
        <v>1001</v>
      </c>
      <c r="C8">
        <v>107.8503</v>
      </c>
      <c r="D8">
        <v>48.754989999999999</v>
      </c>
      <c r="E8">
        <v>0.36860989999999999</v>
      </c>
      <c r="F8">
        <v>7.5604547999999997E-3</v>
      </c>
      <c r="G8">
        <v>59.095019999999998</v>
      </c>
      <c r="H8">
        <v>-0.67746289999999998</v>
      </c>
      <c r="I8">
        <v>-1.1463961E-2</v>
      </c>
      <c r="J8">
        <v>-0.30885309999999999</v>
      </c>
      <c r="K8">
        <v>-2.8637201000000002E-3</v>
      </c>
      <c r="L8">
        <v>101.9683</v>
      </c>
      <c r="M8">
        <v>1.9010242E-2</v>
      </c>
      <c r="N8">
        <v>4.4767703000000002E-3</v>
      </c>
      <c r="O8">
        <v>5.8819999999999997</v>
      </c>
      <c r="P8">
        <v>-1.1338028E-2</v>
      </c>
      <c r="Q8">
        <v>-2.6676115E-3</v>
      </c>
      <c r="R8">
        <v>-6.6690288E-2</v>
      </c>
      <c r="S8">
        <v>1.938442</v>
      </c>
    </row>
    <row r="9" spans="1:19">
      <c r="A9" t="s">
        <v>7</v>
      </c>
      <c r="B9">
        <v>1305</v>
      </c>
      <c r="C9">
        <v>126.0363</v>
      </c>
      <c r="D9">
        <v>48.481029999999997</v>
      </c>
      <c r="E9">
        <v>0.58975789999999995</v>
      </c>
      <c r="F9">
        <v>1.2164715E-2</v>
      </c>
      <c r="G9">
        <v>77.555149999999998</v>
      </c>
      <c r="H9">
        <v>-0.90319660000000002</v>
      </c>
      <c r="I9">
        <v>-1.1645864000000001E-2</v>
      </c>
      <c r="J9">
        <v>-0.31343880000000002</v>
      </c>
      <c r="K9">
        <v>-2.4868923000000002E-3</v>
      </c>
      <c r="L9">
        <v>116.5393</v>
      </c>
      <c r="M9">
        <v>2.4192189999999999E-2</v>
      </c>
      <c r="N9">
        <v>5.6841555000000004E-3</v>
      </c>
      <c r="O9">
        <v>9.4969999999999999</v>
      </c>
      <c r="P9">
        <v>-1.0545825999999999E-2</v>
      </c>
      <c r="Q9">
        <v>-2.5038425999999998E-3</v>
      </c>
      <c r="R9">
        <v>-0.1001537</v>
      </c>
      <c r="S9">
        <v>2.8193410000000001</v>
      </c>
    </row>
    <row r="10" spans="1:19">
      <c r="A10" t="s">
        <v>8</v>
      </c>
      <c r="B10">
        <v>1309</v>
      </c>
      <c r="C10">
        <v>125.0123</v>
      </c>
      <c r="D10">
        <v>49.565019999999997</v>
      </c>
      <c r="E10">
        <v>0.65196759999999998</v>
      </c>
      <c r="F10">
        <v>1.3153784E-2</v>
      </c>
      <c r="G10">
        <v>75.447100000000006</v>
      </c>
      <c r="H10">
        <v>-0.96160970000000001</v>
      </c>
      <c r="I10">
        <v>-1.2745483E-2</v>
      </c>
      <c r="J10">
        <v>-0.30964209999999998</v>
      </c>
      <c r="K10">
        <v>-2.4768936000000002E-3</v>
      </c>
      <c r="L10">
        <v>119.8323</v>
      </c>
      <c r="M10">
        <v>2.3089862999999999E-2</v>
      </c>
      <c r="N10">
        <v>5.4359747999999999E-3</v>
      </c>
      <c r="O10">
        <v>5.18</v>
      </c>
      <c r="P10">
        <v>-1.0863228000000001E-2</v>
      </c>
      <c r="Q10">
        <v>-2.5577961999999998E-3</v>
      </c>
      <c r="R10">
        <v>-5.6271516000000001E-2</v>
      </c>
      <c r="S10">
        <v>2.7669109999999999</v>
      </c>
    </row>
    <row r="11" spans="1:19">
      <c r="A11" t="s">
        <v>9</v>
      </c>
      <c r="B11">
        <v>951</v>
      </c>
      <c r="C11">
        <v>109.1833</v>
      </c>
      <c r="D11">
        <v>27.672000000000001</v>
      </c>
      <c r="E11">
        <v>0.27502480000000001</v>
      </c>
      <c r="F11">
        <v>9.9387402000000007E-3</v>
      </c>
      <c r="G11">
        <v>81.511179999999996</v>
      </c>
      <c r="H11">
        <v>-0.94539399999999996</v>
      </c>
      <c r="I11">
        <v>-1.1598335E-2</v>
      </c>
      <c r="J11">
        <v>-0.67036910000000005</v>
      </c>
      <c r="K11">
        <v>-6.1398520999999999E-3</v>
      </c>
      <c r="L11">
        <v>99.99924</v>
      </c>
      <c r="M11">
        <v>1.9276593000000002E-2</v>
      </c>
      <c r="N11">
        <v>4.5356340999999998E-3</v>
      </c>
      <c r="O11">
        <v>9.1840019999999996</v>
      </c>
      <c r="P11">
        <v>-7.9164477000000007E-3</v>
      </c>
      <c r="Q11">
        <v>-1.8642222999999999E-3</v>
      </c>
      <c r="R11">
        <v>-7.2704672999999997E-2</v>
      </c>
      <c r="S11">
        <v>1.9276439999999999</v>
      </c>
    </row>
    <row r="12" spans="1:19">
      <c r="A12" t="s">
        <v>10</v>
      </c>
      <c r="B12">
        <v>956</v>
      </c>
      <c r="C12">
        <v>106.8312</v>
      </c>
      <c r="D12">
        <v>26.565000000000001</v>
      </c>
      <c r="E12">
        <v>0.26790979999999998</v>
      </c>
      <c r="F12">
        <v>1.0085067E-2</v>
      </c>
      <c r="G12">
        <v>80.266159999999999</v>
      </c>
      <c r="H12">
        <v>-0.92450739999999998</v>
      </c>
      <c r="I12">
        <v>-1.1518023E-2</v>
      </c>
      <c r="J12">
        <v>-0.6565976</v>
      </c>
      <c r="K12">
        <v>-6.1461203999999998E-3</v>
      </c>
      <c r="L12">
        <v>98.129199999999997</v>
      </c>
      <c r="M12">
        <v>1.8995892E-2</v>
      </c>
      <c r="N12">
        <v>4.4701480999999998E-3</v>
      </c>
      <c r="O12">
        <v>8.7020009999999992</v>
      </c>
      <c r="P12">
        <v>-7.4856033999999997E-3</v>
      </c>
      <c r="Q12">
        <v>-1.7605330999999999E-3</v>
      </c>
      <c r="R12">
        <v>-6.5139725999999995E-2</v>
      </c>
      <c r="S12">
        <v>1.864052</v>
      </c>
    </row>
    <row r="13" spans="1:19">
      <c r="A13" t="s">
        <v>11</v>
      </c>
      <c r="B13">
        <v>957</v>
      </c>
      <c r="C13">
        <v>109.66930000000001</v>
      </c>
      <c r="D13">
        <v>34.794989999999999</v>
      </c>
      <c r="E13">
        <v>0.47356389999999998</v>
      </c>
      <c r="F13">
        <v>1.3610116E-2</v>
      </c>
      <c r="G13">
        <v>74.874129999999994</v>
      </c>
      <c r="H13">
        <v>-0.8735908</v>
      </c>
      <c r="I13">
        <v>-1.1667458E-2</v>
      </c>
      <c r="J13">
        <v>-0.40002690000000002</v>
      </c>
      <c r="K13">
        <v>-3.6475753999999998E-3</v>
      </c>
      <c r="L13">
        <v>103.3152</v>
      </c>
      <c r="M13">
        <v>1.9703114000000001E-2</v>
      </c>
      <c r="N13">
        <v>4.6369740999999999E-3</v>
      </c>
      <c r="O13">
        <v>6.3540010000000002</v>
      </c>
      <c r="P13">
        <v>-7.8159226000000005E-3</v>
      </c>
      <c r="Q13">
        <v>-1.8393473E-3</v>
      </c>
      <c r="R13">
        <v>-4.9662378E-2</v>
      </c>
      <c r="S13">
        <v>2.0356320000000001</v>
      </c>
    </row>
    <row r="14" spans="1:19">
      <c r="A14" t="s">
        <v>12</v>
      </c>
      <c r="B14">
        <v>1894</v>
      </c>
      <c r="C14">
        <v>379.60919999999999</v>
      </c>
      <c r="D14">
        <v>139.27500000000001</v>
      </c>
      <c r="E14">
        <v>1.3354569999999999</v>
      </c>
      <c r="F14">
        <v>9.5886354999999996E-3</v>
      </c>
      <c r="G14">
        <v>240.3347</v>
      </c>
      <c r="H14">
        <v>-2.1426430000000001</v>
      </c>
      <c r="I14">
        <v>-8.9152473999999995E-3</v>
      </c>
      <c r="J14">
        <v>-0.80718590000000001</v>
      </c>
      <c r="K14">
        <v>-2.1263603E-3</v>
      </c>
      <c r="L14">
        <v>346.15550000000002</v>
      </c>
      <c r="M14">
        <v>1.8590866000000001E-2</v>
      </c>
      <c r="N14">
        <v>4.4017298999999999E-3</v>
      </c>
      <c r="O14">
        <v>33.453989999999997</v>
      </c>
      <c r="P14">
        <v>-8.1619350000000004E-3</v>
      </c>
      <c r="Q14">
        <v>-1.93652E-3</v>
      </c>
      <c r="R14">
        <v>-0.27304929999999999</v>
      </c>
      <c r="S14">
        <v>6.4353290000000003</v>
      </c>
    </row>
    <row r="15" spans="1:19">
      <c r="A15" t="s">
        <v>13</v>
      </c>
      <c r="B15">
        <v>2192</v>
      </c>
      <c r="C15">
        <v>225.6026</v>
      </c>
      <c r="D15">
        <v>60.506050000000002</v>
      </c>
      <c r="E15">
        <v>1.1058429999999999</v>
      </c>
      <c r="F15">
        <v>1.8276562999999999E-2</v>
      </c>
      <c r="G15">
        <v>165.09710000000001</v>
      </c>
      <c r="H15">
        <v>-1.8871690000000001</v>
      </c>
      <c r="I15">
        <v>-1.1430658999999999E-2</v>
      </c>
      <c r="J15">
        <v>-0.78132630000000003</v>
      </c>
      <c r="K15">
        <v>-3.4632853000000001E-3</v>
      </c>
      <c r="L15">
        <v>210.76990000000001</v>
      </c>
      <c r="M15">
        <v>2.4889340999999999E-2</v>
      </c>
      <c r="N15">
        <v>5.8548241000000003E-3</v>
      </c>
      <c r="O15">
        <v>14.833</v>
      </c>
      <c r="P15">
        <v>-1.0495294E-2</v>
      </c>
      <c r="Q15">
        <v>-2.4710586000000001E-3</v>
      </c>
      <c r="R15">
        <v>-0.1556767</v>
      </c>
      <c r="S15">
        <v>5.2459230000000003</v>
      </c>
    </row>
    <row r="16" spans="1:19">
      <c r="A16" t="s">
        <v>14</v>
      </c>
      <c r="B16">
        <v>2192</v>
      </c>
      <c r="C16">
        <v>228.20750000000001</v>
      </c>
      <c r="D16">
        <v>55.161059999999999</v>
      </c>
      <c r="E16">
        <v>0.97969759999999995</v>
      </c>
      <c r="F16">
        <v>1.7760675E-2</v>
      </c>
      <c r="G16">
        <v>173.04689999999999</v>
      </c>
      <c r="H16">
        <v>-1.9154279999999999</v>
      </c>
      <c r="I16">
        <v>-1.1068832000000001E-2</v>
      </c>
      <c r="J16">
        <v>-0.9357299</v>
      </c>
      <c r="K16">
        <v>-4.1003474E-3</v>
      </c>
      <c r="L16">
        <v>211.40260000000001</v>
      </c>
      <c r="M16">
        <v>2.5047822000000001E-2</v>
      </c>
      <c r="N16">
        <v>5.8900732999999997E-3</v>
      </c>
      <c r="O16">
        <v>16.805</v>
      </c>
      <c r="P16">
        <v>-1.0863434999999999E-2</v>
      </c>
      <c r="Q16">
        <v>-2.5712687000000001E-3</v>
      </c>
      <c r="R16">
        <v>-0.1825601</v>
      </c>
      <c r="S16">
        <v>5.2951759999999997</v>
      </c>
    </row>
    <row r="17" spans="1:19">
      <c r="A17" t="s">
        <v>15</v>
      </c>
      <c r="B17">
        <v>2201</v>
      </c>
      <c r="C17">
        <v>232.0171</v>
      </c>
      <c r="D17">
        <v>73.260080000000002</v>
      </c>
      <c r="E17">
        <v>1.0794950000000001</v>
      </c>
      <c r="F17">
        <v>1.4735106E-2</v>
      </c>
      <c r="G17">
        <v>158.75800000000001</v>
      </c>
      <c r="H17">
        <v>-1.8311900000000001</v>
      </c>
      <c r="I17">
        <v>-1.1534479E-2</v>
      </c>
      <c r="J17">
        <v>-0.75169529999999996</v>
      </c>
      <c r="K17">
        <v>-3.2398271999999999E-3</v>
      </c>
      <c r="L17">
        <v>210.7714</v>
      </c>
      <c r="M17">
        <v>2.5729511E-2</v>
      </c>
      <c r="N17">
        <v>6.0525047999999996E-3</v>
      </c>
      <c r="O17">
        <v>21.245999999999999</v>
      </c>
      <c r="P17">
        <v>-1.2071081000000001E-2</v>
      </c>
      <c r="Q17">
        <v>-2.8495797999999999E-3</v>
      </c>
      <c r="R17">
        <v>-0.25646219999999997</v>
      </c>
      <c r="S17">
        <v>5.423044</v>
      </c>
    </row>
    <row r="18" spans="1:19">
      <c r="A18" t="s">
        <v>16</v>
      </c>
      <c r="B18">
        <v>4326</v>
      </c>
      <c r="C18">
        <v>580.0231</v>
      </c>
      <c r="D18">
        <v>144.13800000000001</v>
      </c>
      <c r="E18">
        <v>2.2168100000000002</v>
      </c>
      <c r="F18">
        <v>1.5379774000000001E-2</v>
      </c>
      <c r="G18">
        <v>435.88499999999999</v>
      </c>
      <c r="H18">
        <v>-3.503368</v>
      </c>
      <c r="I18">
        <v>-8.0373669000000005E-3</v>
      </c>
      <c r="J18">
        <v>-1.2865580000000001</v>
      </c>
      <c r="K18">
        <v>-2.2181147E-3</v>
      </c>
      <c r="L18">
        <v>549.08500000000004</v>
      </c>
      <c r="M18">
        <v>2.3517567999999999E-2</v>
      </c>
      <c r="N18">
        <v>5.5901058999999996E-3</v>
      </c>
      <c r="O18">
        <v>30.938020000000002</v>
      </c>
      <c r="P18">
        <v>-9.2675182999999994E-3</v>
      </c>
      <c r="Q18">
        <v>-2.2055283000000001E-3</v>
      </c>
      <c r="R18">
        <v>-0.28671869999999999</v>
      </c>
      <c r="S18">
        <v>12.91314</v>
      </c>
    </row>
    <row r="19" spans="1:19">
      <c r="A19" t="s">
        <v>17</v>
      </c>
      <c r="B19">
        <v>4366</v>
      </c>
      <c r="C19">
        <v>582.94770000000005</v>
      </c>
      <c r="D19">
        <v>154.79490000000001</v>
      </c>
      <c r="E19">
        <v>2.4193989999999999</v>
      </c>
      <c r="F19">
        <v>1.5629711000000001E-2</v>
      </c>
      <c r="G19">
        <v>428.15269999999998</v>
      </c>
      <c r="H19">
        <v>-3.487778</v>
      </c>
      <c r="I19">
        <v>-8.1461072000000006E-3</v>
      </c>
      <c r="J19">
        <v>-1.068379</v>
      </c>
      <c r="K19">
        <v>-1.8327192000000001E-3</v>
      </c>
      <c r="L19">
        <v>556.97270000000003</v>
      </c>
      <c r="M19">
        <v>2.3576929999999999E-2</v>
      </c>
      <c r="N19">
        <v>5.6046550000000001E-3</v>
      </c>
      <c r="O19">
        <v>25.975020000000001</v>
      </c>
      <c r="P19">
        <v>-9.7359036999999995E-3</v>
      </c>
      <c r="Q19">
        <v>-2.320094E-3</v>
      </c>
      <c r="R19">
        <v>-0.25289030000000001</v>
      </c>
      <c r="S19">
        <v>13.13171</v>
      </c>
    </row>
    <row r="20" spans="1:19">
      <c r="A20" t="s">
        <v>18</v>
      </c>
      <c r="B20">
        <v>4368</v>
      </c>
      <c r="C20">
        <v>580.79819999999995</v>
      </c>
      <c r="D20">
        <v>151.35390000000001</v>
      </c>
      <c r="E20">
        <v>2.430415</v>
      </c>
      <c r="F20">
        <v>1.6057827E-2</v>
      </c>
      <c r="G20">
        <v>429.44380000000001</v>
      </c>
      <c r="H20">
        <v>-3.422946</v>
      </c>
      <c r="I20">
        <v>-7.9706488000000006E-3</v>
      </c>
      <c r="J20">
        <v>-0.9925311</v>
      </c>
      <c r="K20">
        <v>-1.7089087999999999E-3</v>
      </c>
      <c r="L20">
        <v>553.64390000000003</v>
      </c>
      <c r="M20">
        <v>2.3266810999999998E-2</v>
      </c>
      <c r="N20">
        <v>5.5356807999999997E-3</v>
      </c>
      <c r="O20">
        <v>27.154019999999999</v>
      </c>
      <c r="P20">
        <v>-9.9079404000000006E-3</v>
      </c>
      <c r="Q20">
        <v>-2.3600038000000001E-3</v>
      </c>
      <c r="R20">
        <v>-0.26904040000000001</v>
      </c>
      <c r="S20">
        <v>12.88153</v>
      </c>
    </row>
    <row r="21" spans="1:19">
      <c r="A21" t="s">
        <v>19</v>
      </c>
      <c r="B21">
        <v>4368</v>
      </c>
      <c r="C21">
        <v>573.34090000000003</v>
      </c>
      <c r="D21">
        <v>145.517</v>
      </c>
      <c r="E21">
        <v>2.0972789999999999</v>
      </c>
      <c r="F21">
        <v>1.4412603E-2</v>
      </c>
      <c r="G21">
        <v>427.82459999999998</v>
      </c>
      <c r="H21">
        <v>-3.3902519999999998</v>
      </c>
      <c r="I21">
        <v>-7.9243983999999993E-3</v>
      </c>
      <c r="J21">
        <v>-1.2929740000000001</v>
      </c>
      <c r="K21">
        <v>-2.2551566000000001E-3</v>
      </c>
      <c r="L21">
        <v>548.03790000000004</v>
      </c>
      <c r="M21">
        <v>2.3401801E-2</v>
      </c>
      <c r="N21">
        <v>5.5736954999999998E-3</v>
      </c>
      <c r="O21">
        <v>25.30302</v>
      </c>
      <c r="P21">
        <v>-9.7689106999999994E-3</v>
      </c>
      <c r="Q21">
        <v>-2.3319141000000001E-3</v>
      </c>
      <c r="R21">
        <v>-0.24718290000000001</v>
      </c>
      <c r="S21">
        <v>12.82507</v>
      </c>
    </row>
    <row r="22" spans="1:19">
      <c r="A22" t="s">
        <v>20</v>
      </c>
      <c r="B22">
        <v>4376</v>
      </c>
      <c r="C22">
        <v>582.54790000000003</v>
      </c>
      <c r="D22">
        <v>154.32980000000001</v>
      </c>
      <c r="E22">
        <v>2.4101460000000001</v>
      </c>
      <c r="F22">
        <v>1.5616849E-2</v>
      </c>
      <c r="G22">
        <v>428.2174</v>
      </c>
      <c r="H22">
        <v>-3.4697640000000001</v>
      </c>
      <c r="I22">
        <v>-8.1028091000000003E-3</v>
      </c>
      <c r="J22">
        <v>-1.0596179999999999</v>
      </c>
      <c r="K22">
        <v>-1.8189375E-3</v>
      </c>
      <c r="L22">
        <v>556.86289999999997</v>
      </c>
      <c r="M22">
        <v>2.3384327E-2</v>
      </c>
      <c r="N22">
        <v>5.5601466000000004E-3</v>
      </c>
      <c r="O22">
        <v>25.685020000000002</v>
      </c>
      <c r="P22">
        <v>-9.8196668999999993E-3</v>
      </c>
      <c r="Q22">
        <v>-2.3353548999999999E-3</v>
      </c>
      <c r="R22">
        <v>-0.25221830000000001</v>
      </c>
      <c r="S22">
        <v>13.02186</v>
      </c>
    </row>
    <row r="23" spans="1:19">
      <c r="A23" t="s">
        <v>21</v>
      </c>
      <c r="B23">
        <v>4382</v>
      </c>
      <c r="C23">
        <v>582.69529999999997</v>
      </c>
      <c r="D23">
        <v>146.3879</v>
      </c>
      <c r="E23">
        <v>2.1553719999999998</v>
      </c>
      <c r="F23">
        <v>1.4723702E-2</v>
      </c>
      <c r="G23">
        <v>436.30810000000002</v>
      </c>
      <c r="H23">
        <v>-3.3286159999999998</v>
      </c>
      <c r="I23">
        <v>-7.6290489999999997E-3</v>
      </c>
      <c r="J23">
        <v>-1.173244</v>
      </c>
      <c r="K23">
        <v>-2.0134768E-3</v>
      </c>
      <c r="L23">
        <v>555.46619999999996</v>
      </c>
      <c r="M23">
        <v>2.3329197999999999E-2</v>
      </c>
      <c r="N23">
        <v>5.5473381999999998E-3</v>
      </c>
      <c r="O23">
        <v>27.23002</v>
      </c>
      <c r="P23">
        <v>-9.7918239999999993E-3</v>
      </c>
      <c r="Q23">
        <v>-2.3388732000000001E-3</v>
      </c>
      <c r="R23">
        <v>-0.26663150000000002</v>
      </c>
      <c r="S23">
        <v>12.95858</v>
      </c>
    </row>
    <row r="24" spans="1:19">
      <c r="A24" t="s">
        <v>34</v>
      </c>
      <c r="B24">
        <v>4382</v>
      </c>
      <c r="C24">
        <v>574.16330000000005</v>
      </c>
      <c r="D24">
        <v>153.5608</v>
      </c>
      <c r="E24">
        <v>2.4612479999999999</v>
      </c>
      <c r="F24">
        <v>1.6027840000000002E-2</v>
      </c>
      <c r="G24">
        <v>420.60270000000003</v>
      </c>
      <c r="H24">
        <v>-3.421589</v>
      </c>
      <c r="I24">
        <v>-8.1349666999999994E-3</v>
      </c>
      <c r="J24">
        <v>-0.96034149999999996</v>
      </c>
      <c r="K24">
        <v>-1.6725927999999999E-3</v>
      </c>
      <c r="L24">
        <v>548.71420000000001</v>
      </c>
      <c r="M24">
        <v>2.3520676000000001E-2</v>
      </c>
      <c r="N24">
        <v>5.5846515999999997E-3</v>
      </c>
      <c r="O24">
        <v>25.449020000000001</v>
      </c>
      <c r="P24">
        <v>-9.5287757000000004E-3</v>
      </c>
      <c r="Q24">
        <v>-2.2663361999999999E-3</v>
      </c>
      <c r="R24">
        <v>-0.24249799999999999</v>
      </c>
      <c r="S24">
        <v>12.906129999999999</v>
      </c>
    </row>
    <row r="25" spans="1:19">
      <c r="A25" t="s">
        <v>22</v>
      </c>
      <c r="B25">
        <v>4384</v>
      </c>
      <c r="C25">
        <v>318.45089999999999</v>
      </c>
      <c r="D25">
        <v>100.3173</v>
      </c>
      <c r="E25">
        <v>2.0260379999999998</v>
      </c>
      <c r="F25">
        <v>2.0196307E-2</v>
      </c>
      <c r="G25">
        <v>218.13489999999999</v>
      </c>
      <c r="H25">
        <v>-2.3757779999999999</v>
      </c>
      <c r="I25">
        <v>-1.0891324000000001E-2</v>
      </c>
      <c r="J25">
        <v>-0.34973959999999998</v>
      </c>
      <c r="K25">
        <v>-1.0982527000000001E-3</v>
      </c>
      <c r="L25">
        <v>305.01010000000002</v>
      </c>
      <c r="M25">
        <v>2.5251068000000002E-2</v>
      </c>
      <c r="N25">
        <v>5.9427706999999998E-3</v>
      </c>
      <c r="O25">
        <v>13.441000000000001</v>
      </c>
      <c r="P25">
        <v>-1.0012323E-2</v>
      </c>
      <c r="Q25">
        <v>-2.3609768000000001E-3</v>
      </c>
      <c r="R25">
        <v>-0.13457569999999999</v>
      </c>
      <c r="S25">
        <v>7.7018310000000003</v>
      </c>
    </row>
    <row r="26" spans="1:19">
      <c r="A26" t="s">
        <v>23</v>
      </c>
      <c r="B26">
        <v>4386</v>
      </c>
      <c r="C26">
        <v>582.48599999999999</v>
      </c>
      <c r="D26">
        <v>139.20699999999999</v>
      </c>
      <c r="E26">
        <v>2.0276209999999999</v>
      </c>
      <c r="F26">
        <v>1.4565513E-2</v>
      </c>
      <c r="G26">
        <v>443.2801</v>
      </c>
      <c r="H26">
        <v>-3.6054740000000001</v>
      </c>
      <c r="I26">
        <v>-8.1336255999999996E-3</v>
      </c>
      <c r="J26">
        <v>-1.577853</v>
      </c>
      <c r="K26">
        <v>-2.7088262000000002E-3</v>
      </c>
      <c r="L26">
        <v>553.84780000000001</v>
      </c>
      <c r="M26">
        <v>2.3551910999999998E-2</v>
      </c>
      <c r="N26">
        <v>5.6007621E-3</v>
      </c>
      <c r="O26">
        <v>28.639019999999999</v>
      </c>
      <c r="P26">
        <v>-1.0346009E-2</v>
      </c>
      <c r="Q26">
        <v>-2.4691626999999998E-3</v>
      </c>
      <c r="R26">
        <v>-0.29629949999999999</v>
      </c>
      <c r="S26">
        <v>13.044180000000001</v>
      </c>
    </row>
    <row r="27" spans="1:19">
      <c r="A27" t="s">
        <v>24</v>
      </c>
      <c r="B27">
        <v>4386</v>
      </c>
      <c r="C27">
        <v>586.24429999999995</v>
      </c>
      <c r="D27">
        <v>155.5309</v>
      </c>
      <c r="E27">
        <v>2.401484</v>
      </c>
      <c r="F27">
        <v>1.5440562E-2</v>
      </c>
      <c r="G27">
        <v>430.71390000000002</v>
      </c>
      <c r="H27">
        <v>-3.3062450000000001</v>
      </c>
      <c r="I27">
        <v>-7.6761968E-3</v>
      </c>
      <c r="J27">
        <v>-0.90476080000000003</v>
      </c>
      <c r="K27">
        <v>-1.543317E-3</v>
      </c>
      <c r="L27">
        <v>559.32759999999996</v>
      </c>
      <c r="M27">
        <v>2.3461176E-2</v>
      </c>
      <c r="N27">
        <v>5.5745467999999999E-3</v>
      </c>
      <c r="O27">
        <v>26.917020000000001</v>
      </c>
      <c r="P27">
        <v>-9.7671318999999999E-3</v>
      </c>
      <c r="Q27">
        <v>-2.3265667000000002E-3</v>
      </c>
      <c r="R27">
        <v>-0.26290210000000003</v>
      </c>
      <c r="S27">
        <v>13.122479999999999</v>
      </c>
    </row>
    <row r="28" spans="1:19">
      <c r="A28" t="s">
        <v>25</v>
      </c>
      <c r="B28">
        <v>4396</v>
      </c>
      <c r="C28">
        <v>656.76790000000005</v>
      </c>
      <c r="D28">
        <v>153.79589999999999</v>
      </c>
      <c r="E28">
        <v>2.2329409999999998</v>
      </c>
      <c r="F28">
        <v>1.4518856E-2</v>
      </c>
      <c r="G28">
        <v>502.97190000000001</v>
      </c>
      <c r="H28">
        <v>-3.6880860000000002</v>
      </c>
      <c r="I28">
        <v>-7.3325876E-3</v>
      </c>
      <c r="J28">
        <v>-1.455144</v>
      </c>
      <c r="K28">
        <v>-2.2156143E-3</v>
      </c>
      <c r="L28">
        <v>629.17830000000004</v>
      </c>
      <c r="M28">
        <v>2.2311805000000001E-2</v>
      </c>
      <c r="N28">
        <v>5.3174631000000002E-3</v>
      </c>
      <c r="O28">
        <v>27.590019999999999</v>
      </c>
      <c r="P28">
        <v>-1.4931345E-2</v>
      </c>
      <c r="Q28">
        <v>-3.5513451000000001E-3</v>
      </c>
      <c r="R28">
        <v>-0.41195599999999999</v>
      </c>
      <c r="S28">
        <v>14.0381</v>
      </c>
    </row>
    <row r="29" spans="1:19">
      <c r="A29" t="s">
        <v>26</v>
      </c>
      <c r="B29">
        <v>4496</v>
      </c>
      <c r="C29">
        <v>477.71910000000003</v>
      </c>
      <c r="D29">
        <v>76.321020000000004</v>
      </c>
      <c r="E29">
        <v>0.96187780000000001</v>
      </c>
      <c r="F29">
        <v>1.2603051000000001E-2</v>
      </c>
      <c r="G29">
        <v>401.39760000000001</v>
      </c>
      <c r="H29">
        <v>-3.9400590000000002</v>
      </c>
      <c r="I29">
        <v>-9.8158502999999998E-3</v>
      </c>
      <c r="J29">
        <v>-2.9781810000000002</v>
      </c>
      <c r="K29">
        <v>-6.2341684999999997E-3</v>
      </c>
      <c r="L29">
        <v>459.97719999999998</v>
      </c>
      <c r="M29">
        <v>2.9185106999999998E-2</v>
      </c>
      <c r="N29">
        <v>6.9305547999999996E-3</v>
      </c>
      <c r="O29">
        <v>17.742010000000001</v>
      </c>
      <c r="P29">
        <v>-7.9459986000000003E-3</v>
      </c>
      <c r="Q29">
        <v>-1.9051076000000001E-3</v>
      </c>
      <c r="R29">
        <v>-0.14097799999999999</v>
      </c>
      <c r="S29">
        <v>13.424480000000001</v>
      </c>
    </row>
    <row r="30" spans="1:19">
      <c r="A30" t="s">
        <v>27</v>
      </c>
      <c r="B30">
        <v>4616</v>
      </c>
      <c r="C30">
        <v>467.98770000000002</v>
      </c>
      <c r="D30">
        <v>101.411</v>
      </c>
      <c r="E30">
        <v>1.9481740000000001</v>
      </c>
      <c r="F30">
        <v>1.9210677999999998E-2</v>
      </c>
      <c r="G30">
        <v>366.57619999999997</v>
      </c>
      <c r="H30">
        <v>-3.9864280000000001</v>
      </c>
      <c r="I30">
        <v>-1.0874761E-2</v>
      </c>
      <c r="J30">
        <v>-2.0382549999999999</v>
      </c>
      <c r="K30">
        <v>-4.3553589E-3</v>
      </c>
      <c r="L30">
        <v>398.0068</v>
      </c>
      <c r="M30">
        <v>2.8475467000000001E-2</v>
      </c>
      <c r="N30">
        <v>6.7460890999999999E-3</v>
      </c>
      <c r="O30">
        <v>69.980919999999998</v>
      </c>
      <c r="P30">
        <v>-1.2390478E-2</v>
      </c>
      <c r="Q30">
        <v>-2.9593754999999999E-3</v>
      </c>
      <c r="R30">
        <v>-0.86709700000000001</v>
      </c>
      <c r="S30">
        <v>11.33343</v>
      </c>
    </row>
    <row r="31" spans="1:19">
      <c r="A31" t="s">
        <v>28</v>
      </c>
      <c r="B31">
        <v>4599</v>
      </c>
      <c r="C31">
        <v>272.48910000000001</v>
      </c>
      <c r="D31">
        <v>74.589160000000007</v>
      </c>
      <c r="E31">
        <v>1.631928</v>
      </c>
      <c r="F31">
        <v>2.1878891000000001E-2</v>
      </c>
      <c r="G31">
        <v>197.9008</v>
      </c>
      <c r="H31">
        <v>-3.577369</v>
      </c>
      <c r="I31">
        <v>-1.8076579999999998E-2</v>
      </c>
      <c r="J31">
        <v>-1.945441</v>
      </c>
      <c r="K31">
        <v>-7.1395193000000001E-3</v>
      </c>
      <c r="L31">
        <v>265.6653</v>
      </c>
      <c r="M31">
        <v>3.2458931000000003E-2</v>
      </c>
      <c r="N31">
        <v>7.6446895999999999E-3</v>
      </c>
      <c r="O31">
        <v>6.8239989999999997</v>
      </c>
      <c r="P31">
        <v>-6.6629271000000004E-3</v>
      </c>
      <c r="Q31">
        <v>-1.5678554999999999E-3</v>
      </c>
      <c r="R31">
        <v>-4.5467808999999998E-2</v>
      </c>
      <c r="S31">
        <v>8.6232100000000003</v>
      </c>
    </row>
    <row r="32" spans="1:19">
      <c r="A32" t="s">
        <v>29</v>
      </c>
      <c r="B32">
        <v>4600</v>
      </c>
      <c r="C32">
        <v>272.8766</v>
      </c>
      <c r="D32">
        <v>71.345119999999994</v>
      </c>
      <c r="E32">
        <v>1.6560360000000001</v>
      </c>
      <c r="F32">
        <v>2.3211625999999999E-2</v>
      </c>
      <c r="G32">
        <v>201.5318</v>
      </c>
      <c r="H32">
        <v>-3.5557639999999999</v>
      </c>
      <c r="I32">
        <v>-1.764369E-2</v>
      </c>
      <c r="J32">
        <v>-1.8997280000000001</v>
      </c>
      <c r="K32">
        <v>-6.9618565000000004E-3</v>
      </c>
      <c r="L32">
        <v>266.49270000000001</v>
      </c>
      <c r="M32">
        <v>3.2823268000000003E-2</v>
      </c>
      <c r="N32">
        <v>7.7271754999999999E-3</v>
      </c>
      <c r="O32">
        <v>6.3839990000000002</v>
      </c>
      <c r="P32">
        <v>-1.0677114E-2</v>
      </c>
      <c r="Q32">
        <v>-2.5245440000000001E-3</v>
      </c>
      <c r="R32">
        <v>-6.8162687E-2</v>
      </c>
      <c r="S32">
        <v>8.7471630000000005</v>
      </c>
    </row>
    <row r="33" spans="1:19">
      <c r="A33" t="s">
        <v>30</v>
      </c>
      <c r="B33">
        <v>4599</v>
      </c>
      <c r="C33">
        <v>268.70069999999998</v>
      </c>
      <c r="D33">
        <v>69.156109999999998</v>
      </c>
      <c r="E33">
        <v>1.6197889999999999</v>
      </c>
      <c r="F33">
        <v>2.3422206000000001E-2</v>
      </c>
      <c r="G33">
        <v>199.54480000000001</v>
      </c>
      <c r="H33">
        <v>-3.5146320000000002</v>
      </c>
      <c r="I33">
        <v>-1.7613246999999999E-2</v>
      </c>
      <c r="J33">
        <v>-1.8948430000000001</v>
      </c>
      <c r="K33">
        <v>-7.0518734999999999E-3</v>
      </c>
      <c r="L33">
        <v>263.7097</v>
      </c>
      <c r="M33">
        <v>3.2838083999999997E-2</v>
      </c>
      <c r="N33">
        <v>7.7318949999999999E-3</v>
      </c>
      <c r="O33">
        <v>4.9909999999999997</v>
      </c>
      <c r="P33">
        <v>-9.2037357E-3</v>
      </c>
      <c r="Q33">
        <v>-2.1874212999999998E-3</v>
      </c>
      <c r="R33">
        <v>-4.5935847000000002E-2</v>
      </c>
      <c r="S33">
        <v>8.6597220000000004</v>
      </c>
    </row>
    <row r="34" spans="1:19">
      <c r="A34" t="s">
        <v>31</v>
      </c>
      <c r="B34">
        <v>10032</v>
      </c>
      <c r="C34">
        <v>1169.309</v>
      </c>
      <c r="D34">
        <v>400.21170000000001</v>
      </c>
      <c r="E34">
        <v>3.630995</v>
      </c>
      <c r="F34">
        <v>9.0726855999999998E-3</v>
      </c>
      <c r="G34">
        <v>769.09159999999997</v>
      </c>
      <c r="H34">
        <v>-7.6603490000000001</v>
      </c>
      <c r="I34">
        <v>-9.9602565000000004E-3</v>
      </c>
      <c r="J34">
        <v>-4.0293539999999997</v>
      </c>
      <c r="K34">
        <v>-3.4459273000000002E-3</v>
      </c>
      <c r="L34">
        <v>1018.857</v>
      </c>
      <c r="M34">
        <v>2.1212651999999999E-2</v>
      </c>
      <c r="N34">
        <v>5.0087292E-3</v>
      </c>
      <c r="O34">
        <v>150.44489999999999</v>
      </c>
      <c r="P34">
        <v>-8.7468670999999998E-3</v>
      </c>
      <c r="Q34">
        <v>-2.0954163999999998E-3</v>
      </c>
      <c r="R34">
        <v>-1.315922</v>
      </c>
      <c r="S34">
        <v>21.612670000000001</v>
      </c>
    </row>
    <row r="35" spans="1:19">
      <c r="A35" t="s">
        <v>32</v>
      </c>
      <c r="B35">
        <v>10214</v>
      </c>
      <c r="C35">
        <v>1280.4680000000001</v>
      </c>
      <c r="D35">
        <v>385.61869999999999</v>
      </c>
      <c r="E35">
        <v>4.4234429999999998</v>
      </c>
      <c r="F35">
        <v>1.1471027999999999E-2</v>
      </c>
      <c r="G35">
        <v>894.84130000000005</v>
      </c>
      <c r="H35">
        <v>-8.8871000000000002</v>
      </c>
      <c r="I35">
        <v>-9.9314814000000008E-3</v>
      </c>
      <c r="J35">
        <v>-4.4636570000000004</v>
      </c>
      <c r="K35">
        <v>-3.4859564999999999E-3</v>
      </c>
      <c r="L35">
        <v>1107.579</v>
      </c>
      <c r="M35">
        <v>2.1846170000000002E-2</v>
      </c>
      <c r="N35">
        <v>5.1756933999999996E-3</v>
      </c>
      <c r="O35">
        <v>172.8817</v>
      </c>
      <c r="P35">
        <v>-1.0383026E-2</v>
      </c>
      <c r="Q35">
        <v>-2.4759113E-3</v>
      </c>
      <c r="R35">
        <v>-1.7950360000000001</v>
      </c>
      <c r="S35">
        <v>24.196370000000002</v>
      </c>
    </row>
    <row r="36" spans="1:19">
      <c r="A36" t="s">
        <v>33</v>
      </c>
      <c r="B36">
        <v>10355</v>
      </c>
      <c r="C36">
        <v>1458.383</v>
      </c>
      <c r="D36">
        <v>556.80020000000002</v>
      </c>
      <c r="E36">
        <v>5.9719470000000001</v>
      </c>
      <c r="F36">
        <v>1.0725477000000001E-2</v>
      </c>
      <c r="G36">
        <v>901.56230000000005</v>
      </c>
      <c r="H36">
        <v>-8.1134360000000001</v>
      </c>
      <c r="I36">
        <v>-8.9993066999999993E-3</v>
      </c>
      <c r="J36">
        <v>-2.141489</v>
      </c>
      <c r="K36">
        <v>-1.468399E-3</v>
      </c>
      <c r="L36">
        <v>1218.864</v>
      </c>
      <c r="M36">
        <v>2.0019891000000001E-2</v>
      </c>
      <c r="N36">
        <v>4.7143586000000003E-3</v>
      </c>
      <c r="O36">
        <v>239.5078</v>
      </c>
      <c r="P36">
        <v>-1.2016865E-2</v>
      </c>
      <c r="Q36">
        <v>-2.8666665000000001E-3</v>
      </c>
      <c r="R36">
        <v>-2.8781330000000001</v>
      </c>
      <c r="S36">
        <v>24.401520000000001</v>
      </c>
    </row>
  </sheetData>
  <phoneticPr fontId="0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86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175.6431</v>
      </c>
      <c r="D2">
        <v>55.334980000000002</v>
      </c>
      <c r="E2">
        <v>0.68818279999999998</v>
      </c>
      <c r="F2">
        <v>1.2436667E-2</v>
      </c>
      <c r="G2">
        <v>120.3079</v>
      </c>
      <c r="H2">
        <v>-1.3367720000000001</v>
      </c>
      <c r="I2">
        <v>-1.1111255E-2</v>
      </c>
      <c r="J2">
        <v>-0.64858930000000004</v>
      </c>
      <c r="K2">
        <v>-3.6926546999999999E-3</v>
      </c>
      <c r="L2">
        <v>146.63669999999999</v>
      </c>
      <c r="M2">
        <v>2.9207911E-2</v>
      </c>
      <c r="N2">
        <v>6.8637063000000003E-3</v>
      </c>
      <c r="O2">
        <v>29.006019999999999</v>
      </c>
      <c r="P2">
        <v>-1.4609893000000001E-2</v>
      </c>
      <c r="Q2">
        <v>-3.4735642999999998E-3</v>
      </c>
      <c r="R2">
        <v>-0.42377480000000001</v>
      </c>
      <c r="S2">
        <v>4.282953</v>
      </c>
    </row>
    <row r="3" spans="1:19">
      <c r="A3" t="s">
        <v>1</v>
      </c>
      <c r="B3">
        <v>1248</v>
      </c>
      <c r="C3">
        <v>194.64400000000001</v>
      </c>
      <c r="D3">
        <v>48.612009999999998</v>
      </c>
      <c r="E3">
        <v>0.7499323</v>
      </c>
      <c r="F3">
        <v>1.5426894E-2</v>
      </c>
      <c r="G3">
        <v>146.03210000000001</v>
      </c>
      <c r="H3">
        <v>-1.5554410000000001</v>
      </c>
      <c r="I3">
        <v>-1.0651364E-2</v>
      </c>
      <c r="J3">
        <v>-0.80550820000000001</v>
      </c>
      <c r="K3">
        <v>-4.1383658999999996E-3</v>
      </c>
      <c r="L3">
        <v>145.71799999999999</v>
      </c>
      <c r="M3">
        <v>2.8455057999999998E-2</v>
      </c>
      <c r="N3">
        <v>6.6769966000000004E-3</v>
      </c>
      <c r="O3">
        <v>48.925989999999999</v>
      </c>
      <c r="P3">
        <v>-1.1375748E-2</v>
      </c>
      <c r="Q3">
        <v>-2.7149740999999998E-3</v>
      </c>
      <c r="R3">
        <v>-0.55656969999999995</v>
      </c>
      <c r="S3">
        <v>4.1464150000000002</v>
      </c>
    </row>
    <row r="4" spans="1:19">
      <c r="A4" t="s">
        <v>2</v>
      </c>
      <c r="B4">
        <v>2468</v>
      </c>
      <c r="C4">
        <v>365.41480000000001</v>
      </c>
      <c r="D4">
        <v>101.705</v>
      </c>
      <c r="E4">
        <v>1.75789</v>
      </c>
      <c r="F4">
        <v>1.72842E-2</v>
      </c>
      <c r="G4">
        <v>263.71010000000001</v>
      </c>
      <c r="H4">
        <v>-3.426517</v>
      </c>
      <c r="I4">
        <v>-1.2993500999999999E-2</v>
      </c>
      <c r="J4">
        <v>-1.668628</v>
      </c>
      <c r="K4">
        <v>-4.5663928999999997E-3</v>
      </c>
      <c r="L4">
        <v>342.89510000000001</v>
      </c>
      <c r="M4">
        <v>2.8512270999999999E-2</v>
      </c>
      <c r="N4">
        <v>6.7193946000000003E-3</v>
      </c>
      <c r="O4">
        <v>22.520009999999999</v>
      </c>
      <c r="P4">
        <v>-1.6070858E-2</v>
      </c>
      <c r="Q4">
        <v>-3.8501688E-3</v>
      </c>
      <c r="R4">
        <v>-0.36191590000000001</v>
      </c>
      <c r="S4">
        <v>9.7767189999999999</v>
      </c>
    </row>
    <row r="5" spans="1:19">
      <c r="A5" t="s">
        <v>3</v>
      </c>
      <c r="B5">
        <v>993</v>
      </c>
      <c r="C5">
        <v>95.803139999999999</v>
      </c>
      <c r="D5">
        <v>46.21799</v>
      </c>
      <c r="E5">
        <v>0.33012970000000003</v>
      </c>
      <c r="F5">
        <v>7.1428836999999998E-3</v>
      </c>
      <c r="G5">
        <v>49.584989999999998</v>
      </c>
      <c r="H5">
        <v>-0.58755970000000002</v>
      </c>
      <c r="I5">
        <v>-1.1849547E-2</v>
      </c>
      <c r="J5">
        <v>-0.25742999999999999</v>
      </c>
      <c r="K5">
        <v>-2.6870724000000001E-3</v>
      </c>
      <c r="L5">
        <v>89.677090000000007</v>
      </c>
      <c r="M5">
        <v>1.9039622999999999E-2</v>
      </c>
      <c r="N5">
        <v>4.4696811000000001E-3</v>
      </c>
      <c r="O5">
        <v>6.1260000000000003</v>
      </c>
      <c r="P5">
        <v>-1.2371896E-2</v>
      </c>
      <c r="Q5">
        <v>-2.9150089000000001E-3</v>
      </c>
      <c r="R5">
        <v>-7.5790233999999998E-2</v>
      </c>
      <c r="S5">
        <v>1.7074180000000001</v>
      </c>
    </row>
    <row r="6" spans="1:19">
      <c r="A6" t="s">
        <v>4</v>
      </c>
      <c r="B6">
        <v>994</v>
      </c>
      <c r="C6">
        <v>95.741200000000006</v>
      </c>
      <c r="D6">
        <v>36.364019999999996</v>
      </c>
      <c r="E6">
        <v>0.34889809999999999</v>
      </c>
      <c r="F6">
        <v>9.5945960000000004E-3</v>
      </c>
      <c r="G6">
        <v>59.377000000000002</v>
      </c>
      <c r="H6">
        <v>-0.63312250000000003</v>
      </c>
      <c r="I6">
        <v>-1.0662758E-2</v>
      </c>
      <c r="J6">
        <v>-0.28422449999999999</v>
      </c>
      <c r="K6">
        <v>-2.9686744999999999E-3</v>
      </c>
      <c r="L6">
        <v>91.510170000000002</v>
      </c>
      <c r="M6">
        <v>2.0784304E-2</v>
      </c>
      <c r="N6">
        <v>4.8768594999999996E-3</v>
      </c>
      <c r="O6">
        <v>4.2309989999999997</v>
      </c>
      <c r="P6">
        <v>-1.1977118E-2</v>
      </c>
      <c r="Q6">
        <v>-2.8152875999999999E-3</v>
      </c>
      <c r="R6">
        <v>-5.0675176000000002E-2</v>
      </c>
      <c r="S6">
        <v>1.901975</v>
      </c>
    </row>
    <row r="7" spans="1:19">
      <c r="A7" t="s">
        <v>5</v>
      </c>
      <c r="B7">
        <v>1001</v>
      </c>
      <c r="C7">
        <v>100.8242</v>
      </c>
      <c r="D7">
        <v>49.323999999999998</v>
      </c>
      <c r="E7">
        <v>0.2753987</v>
      </c>
      <c r="F7">
        <v>5.5834622999999996E-3</v>
      </c>
      <c r="G7">
        <v>51.499980000000001</v>
      </c>
      <c r="H7">
        <v>-0.64092959999999999</v>
      </c>
      <c r="I7">
        <v>-1.2445239E-2</v>
      </c>
      <c r="J7">
        <v>-0.36553089999999999</v>
      </c>
      <c r="K7">
        <v>-3.6254274000000002E-3</v>
      </c>
      <c r="L7">
        <v>96.613169999999997</v>
      </c>
      <c r="M7">
        <v>1.9122679E-2</v>
      </c>
      <c r="N7">
        <v>4.4951402E-3</v>
      </c>
      <c r="O7">
        <v>4.2109990000000002</v>
      </c>
      <c r="P7">
        <v>-1.3441946999999999E-2</v>
      </c>
      <c r="Q7">
        <v>-3.1446683999999999E-3</v>
      </c>
      <c r="R7">
        <v>-5.6604030999999999E-2</v>
      </c>
      <c r="S7">
        <v>1.8475029999999999</v>
      </c>
    </row>
    <row r="8" spans="1:19">
      <c r="A8" t="s">
        <v>6</v>
      </c>
      <c r="B8">
        <v>1001</v>
      </c>
      <c r="C8">
        <v>97.743210000000005</v>
      </c>
      <c r="D8">
        <v>45.340020000000003</v>
      </c>
      <c r="E8">
        <v>0.34422439999999999</v>
      </c>
      <c r="F8">
        <v>7.5920667000000004E-3</v>
      </c>
      <c r="G8">
        <v>52.402999999999999</v>
      </c>
      <c r="H8">
        <v>-0.59840720000000003</v>
      </c>
      <c r="I8">
        <v>-1.1419331E-2</v>
      </c>
      <c r="J8">
        <v>-0.25418279999999999</v>
      </c>
      <c r="K8">
        <v>-2.6005160000000002E-3</v>
      </c>
      <c r="L8">
        <v>92.584159999999997</v>
      </c>
      <c r="M8">
        <v>1.9436397000000001E-2</v>
      </c>
      <c r="N8">
        <v>4.567265E-3</v>
      </c>
      <c r="O8">
        <v>5.1589999999999998</v>
      </c>
      <c r="P8">
        <v>-1.2109852000000001E-2</v>
      </c>
      <c r="Q8">
        <v>-2.8397606E-3</v>
      </c>
      <c r="R8">
        <v>-6.2474735000000003E-2</v>
      </c>
      <c r="S8">
        <v>1.7995019999999999</v>
      </c>
    </row>
    <row r="9" spans="1:19">
      <c r="A9" t="s">
        <v>7</v>
      </c>
      <c r="B9">
        <v>1305</v>
      </c>
      <c r="C9">
        <v>114.0583</v>
      </c>
      <c r="D9">
        <v>44.64902</v>
      </c>
      <c r="E9">
        <v>0.52887740000000005</v>
      </c>
      <c r="F9">
        <v>1.1845219000000001E-2</v>
      </c>
      <c r="G9">
        <v>69.409099999999995</v>
      </c>
      <c r="H9">
        <v>-0.79985550000000005</v>
      </c>
      <c r="I9">
        <v>-1.1523782999999999E-2</v>
      </c>
      <c r="J9">
        <v>-0.2709781</v>
      </c>
      <c r="K9">
        <v>-2.3757853000000002E-3</v>
      </c>
      <c r="L9">
        <v>105.7753</v>
      </c>
      <c r="M9">
        <v>2.4098102E-2</v>
      </c>
      <c r="N9">
        <v>5.6518493000000001E-3</v>
      </c>
      <c r="O9">
        <v>8.2829990000000002</v>
      </c>
      <c r="P9">
        <v>-1.0512957E-2</v>
      </c>
      <c r="Q9">
        <v>-2.4879660999999999E-3</v>
      </c>
      <c r="R9">
        <v>-8.7078817000000003E-2</v>
      </c>
      <c r="S9">
        <v>2.5489839999999999</v>
      </c>
    </row>
    <row r="10" spans="1:19">
      <c r="A10" t="s">
        <v>8</v>
      </c>
      <c r="B10">
        <v>1309</v>
      </c>
      <c r="C10">
        <v>111.09739999999999</v>
      </c>
      <c r="D10">
        <v>45.442019999999999</v>
      </c>
      <c r="E10">
        <v>0.60055820000000004</v>
      </c>
      <c r="F10">
        <v>1.3215921E-2</v>
      </c>
      <c r="G10">
        <v>65.655029999999996</v>
      </c>
      <c r="H10">
        <v>-0.85053259999999997</v>
      </c>
      <c r="I10">
        <v>-1.2954568E-2</v>
      </c>
      <c r="J10">
        <v>-0.24997440000000001</v>
      </c>
      <c r="K10">
        <v>-2.2500481000000002E-3</v>
      </c>
      <c r="L10">
        <v>107.3484</v>
      </c>
      <c r="M10">
        <v>2.3316585000000001E-2</v>
      </c>
      <c r="N10">
        <v>5.4770176999999996E-3</v>
      </c>
      <c r="O10">
        <v>3.7490000000000001</v>
      </c>
      <c r="P10">
        <v>-1.1221033E-2</v>
      </c>
      <c r="Q10">
        <v>-2.6292284000000001E-3</v>
      </c>
      <c r="R10">
        <v>-4.2067654000000003E-2</v>
      </c>
      <c r="S10">
        <v>2.5029970000000001</v>
      </c>
    </row>
    <row r="11" spans="1:19">
      <c r="A11" t="s">
        <v>9</v>
      </c>
      <c r="B11">
        <v>951</v>
      </c>
      <c r="C11">
        <v>102.31529999999999</v>
      </c>
      <c r="D11">
        <v>26.44801</v>
      </c>
      <c r="E11">
        <v>0.260878</v>
      </c>
      <c r="F11">
        <v>9.8638059999999993E-3</v>
      </c>
      <c r="G11">
        <v>75.867109999999997</v>
      </c>
      <c r="H11">
        <v>-0.88384209999999996</v>
      </c>
      <c r="I11">
        <v>-1.1649870999999999E-2</v>
      </c>
      <c r="J11">
        <v>-0.62296399999999996</v>
      </c>
      <c r="K11">
        <v>-6.0886702999999997E-3</v>
      </c>
      <c r="L11">
        <v>94.583240000000004</v>
      </c>
      <c r="M11">
        <v>1.9653278999999999E-2</v>
      </c>
      <c r="N11">
        <v>4.6125823000000002E-3</v>
      </c>
      <c r="O11">
        <v>7.7319979999999999</v>
      </c>
      <c r="P11">
        <v>-7.5695040000000003E-3</v>
      </c>
      <c r="Q11">
        <v>-1.7735572999999999E-3</v>
      </c>
      <c r="R11">
        <v>-5.8527390999999998E-2</v>
      </c>
      <c r="S11">
        <v>1.8588709999999999</v>
      </c>
    </row>
    <row r="12" spans="1:19">
      <c r="A12" t="s">
        <v>10</v>
      </c>
      <c r="B12">
        <v>956</v>
      </c>
      <c r="C12">
        <v>97.430250000000001</v>
      </c>
      <c r="D12">
        <v>24.629010000000001</v>
      </c>
      <c r="E12">
        <v>0.23881569999999999</v>
      </c>
      <c r="F12">
        <v>9.6965226999999998E-3</v>
      </c>
      <c r="G12">
        <v>72.801090000000002</v>
      </c>
      <c r="H12">
        <v>-0.85258420000000001</v>
      </c>
      <c r="I12">
        <v>-1.1711146E-2</v>
      </c>
      <c r="J12">
        <v>-0.61376850000000005</v>
      </c>
      <c r="K12">
        <v>-6.2995682999999998E-3</v>
      </c>
      <c r="L12">
        <v>89.224209999999999</v>
      </c>
      <c r="M12">
        <v>1.9266555000000001E-2</v>
      </c>
      <c r="N12">
        <v>4.5237979000000003E-3</v>
      </c>
      <c r="O12">
        <v>8.2059979999999992</v>
      </c>
      <c r="P12">
        <v>-7.5400694999999997E-3</v>
      </c>
      <c r="Q12">
        <v>-1.7678227999999999E-3</v>
      </c>
      <c r="R12">
        <v>-6.1873797000000001E-2</v>
      </c>
      <c r="S12">
        <v>1.7190430000000001</v>
      </c>
    </row>
    <row r="13" spans="1:19">
      <c r="A13" t="s">
        <v>11</v>
      </c>
      <c r="B13">
        <v>957</v>
      </c>
      <c r="C13">
        <v>100.94119999999999</v>
      </c>
      <c r="D13">
        <v>32.827019999999997</v>
      </c>
      <c r="E13">
        <v>0.4435771</v>
      </c>
      <c r="F13">
        <v>1.351256E-2</v>
      </c>
      <c r="G13">
        <v>68.114040000000003</v>
      </c>
      <c r="H13">
        <v>-0.80345759999999999</v>
      </c>
      <c r="I13">
        <v>-1.1795770000000001E-2</v>
      </c>
      <c r="J13">
        <v>-0.35988049999999999</v>
      </c>
      <c r="K13">
        <v>-3.5652475999999999E-3</v>
      </c>
      <c r="L13">
        <v>96.258210000000005</v>
      </c>
      <c r="M13">
        <v>1.9859472E-2</v>
      </c>
      <c r="N13">
        <v>4.6625299999999998E-3</v>
      </c>
      <c r="O13">
        <v>4.6829989999999997</v>
      </c>
      <c r="P13">
        <v>-7.6657076999999997E-3</v>
      </c>
      <c r="Q13">
        <v>-1.7949249999999999E-3</v>
      </c>
      <c r="R13">
        <v>-3.5898499E-2</v>
      </c>
      <c r="S13">
        <v>1.911637</v>
      </c>
    </row>
    <row r="14" spans="1:19">
      <c r="A14" t="s">
        <v>12</v>
      </c>
      <c r="B14">
        <v>1894</v>
      </c>
      <c r="C14">
        <v>348.52289999999999</v>
      </c>
      <c r="D14">
        <v>129.7679</v>
      </c>
      <c r="E14">
        <v>1.2752239999999999</v>
      </c>
      <c r="F14">
        <v>9.8269599999999992E-3</v>
      </c>
      <c r="G14">
        <v>218.7561</v>
      </c>
      <c r="H14">
        <v>-1.938358</v>
      </c>
      <c r="I14">
        <v>-8.8608171999999992E-3</v>
      </c>
      <c r="J14">
        <v>-0.66313390000000005</v>
      </c>
      <c r="K14">
        <v>-1.9026977999999999E-3</v>
      </c>
      <c r="L14">
        <v>318.01420000000002</v>
      </c>
      <c r="M14">
        <v>1.9027573999999998E-2</v>
      </c>
      <c r="N14">
        <v>4.4955704000000001E-3</v>
      </c>
      <c r="O14">
        <v>30.509</v>
      </c>
      <c r="P14">
        <v>-8.2567651000000006E-3</v>
      </c>
      <c r="Q14">
        <v>-1.9527570000000001E-3</v>
      </c>
      <c r="R14">
        <v>-0.25190560000000001</v>
      </c>
      <c r="S14">
        <v>6.0510380000000001</v>
      </c>
    </row>
    <row r="15" spans="1:19">
      <c r="A15" t="s">
        <v>13</v>
      </c>
      <c r="B15">
        <v>2192</v>
      </c>
      <c r="C15">
        <v>207.0198</v>
      </c>
      <c r="D15">
        <v>57.32403</v>
      </c>
      <c r="E15">
        <v>1.052335</v>
      </c>
      <c r="F15">
        <v>1.8357661000000001E-2</v>
      </c>
      <c r="G15">
        <v>149.69640000000001</v>
      </c>
      <c r="H15">
        <v>-1.718262</v>
      </c>
      <c r="I15">
        <v>-1.1478316000000001E-2</v>
      </c>
      <c r="J15">
        <v>-0.6659273</v>
      </c>
      <c r="K15">
        <v>-3.2167317999999999E-3</v>
      </c>
      <c r="L15">
        <v>194.7979</v>
      </c>
      <c r="M15">
        <v>2.5097136999999999E-2</v>
      </c>
      <c r="N15">
        <v>5.8902054999999997E-3</v>
      </c>
      <c r="O15">
        <v>12.222</v>
      </c>
      <c r="P15">
        <v>-1.1079662000000001E-2</v>
      </c>
      <c r="Q15">
        <v>-2.6041465000000001E-3</v>
      </c>
      <c r="R15">
        <v>-0.1354156</v>
      </c>
      <c r="S15">
        <v>4.888871</v>
      </c>
    </row>
    <row r="16" spans="1:19">
      <c r="A16" t="s">
        <v>14</v>
      </c>
      <c r="B16">
        <v>2192</v>
      </c>
      <c r="C16">
        <v>205.4409</v>
      </c>
      <c r="D16">
        <v>49.43103</v>
      </c>
      <c r="E16">
        <v>0.88480210000000004</v>
      </c>
      <c r="F16">
        <v>1.7899729E-2</v>
      </c>
      <c r="G16">
        <v>156.0104</v>
      </c>
      <c r="H16">
        <v>-1.7392510000000001</v>
      </c>
      <c r="I16">
        <v>-1.1148307E-2</v>
      </c>
      <c r="J16">
        <v>-0.85444920000000002</v>
      </c>
      <c r="K16">
        <v>-4.1590999000000002E-3</v>
      </c>
      <c r="L16">
        <v>192.44800000000001</v>
      </c>
      <c r="M16">
        <v>2.4981725999999999E-2</v>
      </c>
      <c r="N16">
        <v>5.8630280999999998E-3</v>
      </c>
      <c r="O16">
        <v>12.993</v>
      </c>
      <c r="P16">
        <v>-1.0615237E-2</v>
      </c>
      <c r="Q16">
        <v>-2.5077048000000002E-3</v>
      </c>
      <c r="R16">
        <v>-0.13792380000000001</v>
      </c>
      <c r="S16">
        <v>4.8076829999999999</v>
      </c>
    </row>
    <row r="17" spans="1:19">
      <c r="A17" t="s">
        <v>15</v>
      </c>
      <c r="B17">
        <v>2201</v>
      </c>
      <c r="C17">
        <v>211.3759</v>
      </c>
      <c r="D17">
        <v>66.548990000000003</v>
      </c>
      <c r="E17">
        <v>1.000958</v>
      </c>
      <c r="F17">
        <v>1.5040916999999999E-2</v>
      </c>
      <c r="G17">
        <v>144.82749999999999</v>
      </c>
      <c r="H17">
        <v>-1.6760930000000001</v>
      </c>
      <c r="I17">
        <v>-1.1573033E-2</v>
      </c>
      <c r="J17">
        <v>-0.67513529999999999</v>
      </c>
      <c r="K17">
        <v>-3.1940024000000002E-3</v>
      </c>
      <c r="L17">
        <v>192.75200000000001</v>
      </c>
      <c r="M17">
        <v>2.5745763000000001E-2</v>
      </c>
      <c r="N17">
        <v>6.0445153999999996E-3</v>
      </c>
      <c r="O17">
        <v>18.623999999999999</v>
      </c>
      <c r="P17">
        <v>-1.2296071E-2</v>
      </c>
      <c r="Q17">
        <v>-2.8987600999999998E-3</v>
      </c>
      <c r="R17">
        <v>-0.22900209999999999</v>
      </c>
      <c r="S17">
        <v>4.9625469999999998</v>
      </c>
    </row>
    <row r="18" spans="1:19">
      <c r="A18" t="s">
        <v>16</v>
      </c>
      <c r="B18">
        <v>4326</v>
      </c>
      <c r="C18">
        <v>521.56849999999997</v>
      </c>
      <c r="D18">
        <v>130.7398</v>
      </c>
      <c r="E18">
        <v>2.022996</v>
      </c>
      <c r="F18">
        <v>1.5473445000000001E-2</v>
      </c>
      <c r="G18">
        <v>390.83010000000002</v>
      </c>
      <c r="H18">
        <v>-3.1530390000000001</v>
      </c>
      <c r="I18">
        <v>-8.0675444999999991E-3</v>
      </c>
      <c r="J18">
        <v>-1.1300429999999999</v>
      </c>
      <c r="K18">
        <v>-2.1666249000000001E-3</v>
      </c>
      <c r="L18">
        <v>494.52499999999998</v>
      </c>
      <c r="M18">
        <v>2.3889190000000001E-2</v>
      </c>
      <c r="N18">
        <v>5.6606620000000003E-3</v>
      </c>
      <c r="O18">
        <v>27.04401</v>
      </c>
      <c r="P18">
        <v>-9.4465408000000001E-3</v>
      </c>
      <c r="Q18">
        <v>-2.2409858999999999E-3</v>
      </c>
      <c r="R18">
        <v>-0.25547239999999999</v>
      </c>
      <c r="S18">
        <v>11.813800000000001</v>
      </c>
    </row>
    <row r="19" spans="1:19">
      <c r="A19" t="s">
        <v>17</v>
      </c>
      <c r="B19">
        <v>4366</v>
      </c>
      <c r="C19">
        <v>522.72490000000005</v>
      </c>
      <c r="D19">
        <v>140.96190000000001</v>
      </c>
      <c r="E19">
        <v>2.224221</v>
      </c>
      <c r="F19">
        <v>1.5778885999999999E-2</v>
      </c>
      <c r="G19">
        <v>381.7645</v>
      </c>
      <c r="H19">
        <v>-3.0670109999999999</v>
      </c>
      <c r="I19">
        <v>-8.0337776E-3</v>
      </c>
      <c r="J19">
        <v>-0.84278989999999998</v>
      </c>
      <c r="K19">
        <v>-1.612301E-3</v>
      </c>
      <c r="L19">
        <v>500.38729999999998</v>
      </c>
      <c r="M19">
        <v>2.3504707999999999E-2</v>
      </c>
      <c r="N19">
        <v>5.5688713000000001E-3</v>
      </c>
      <c r="O19">
        <v>22.338010000000001</v>
      </c>
      <c r="P19">
        <v>-9.9932682000000005E-3</v>
      </c>
      <c r="Q19">
        <v>-2.3747843000000001E-3</v>
      </c>
      <c r="R19">
        <v>-0.2232297</v>
      </c>
      <c r="S19">
        <v>11.76146</v>
      </c>
    </row>
    <row r="20" spans="1:19">
      <c r="A20" t="s">
        <v>18</v>
      </c>
      <c r="B20">
        <v>4368</v>
      </c>
      <c r="C20">
        <v>523.85889999999995</v>
      </c>
      <c r="D20">
        <v>137.80199999999999</v>
      </c>
      <c r="E20">
        <v>2.2126749999999999</v>
      </c>
      <c r="F20">
        <v>1.6056918E-2</v>
      </c>
      <c r="G20">
        <v>386.0582</v>
      </c>
      <c r="H20">
        <v>-3.063631</v>
      </c>
      <c r="I20">
        <v>-7.9356721000000009E-3</v>
      </c>
      <c r="J20">
        <v>-0.85095639999999995</v>
      </c>
      <c r="K20">
        <v>-1.6243999E-3</v>
      </c>
      <c r="L20">
        <v>499.66419999999999</v>
      </c>
      <c r="M20">
        <v>2.3491637999999999E-2</v>
      </c>
      <c r="N20">
        <v>5.5735656000000001E-3</v>
      </c>
      <c r="O20">
        <v>24.19501</v>
      </c>
      <c r="P20">
        <v>-9.9843833999999996E-3</v>
      </c>
      <c r="Q20">
        <v>-2.3683552E-3</v>
      </c>
      <c r="R20">
        <v>-0.24157219999999999</v>
      </c>
      <c r="S20">
        <v>11.73793</v>
      </c>
    </row>
    <row r="21" spans="1:19">
      <c r="A21" t="s">
        <v>19</v>
      </c>
      <c r="B21">
        <v>4368</v>
      </c>
      <c r="C21">
        <v>523.0865</v>
      </c>
      <c r="D21">
        <v>132.4478</v>
      </c>
      <c r="E21">
        <v>1.894312</v>
      </c>
      <c r="F21">
        <v>1.4302323E-2</v>
      </c>
      <c r="G21">
        <v>390.63929999999999</v>
      </c>
      <c r="H21">
        <v>-3.1086520000000002</v>
      </c>
      <c r="I21">
        <v>-7.9578579999999999E-3</v>
      </c>
      <c r="J21">
        <v>-1.21434</v>
      </c>
      <c r="K21">
        <v>-2.3214902999999999E-3</v>
      </c>
      <c r="L21">
        <v>499.74849999999998</v>
      </c>
      <c r="M21">
        <v>2.3549575E-2</v>
      </c>
      <c r="N21">
        <v>5.5882553999999996E-3</v>
      </c>
      <c r="O21">
        <v>23.338010000000001</v>
      </c>
      <c r="P21">
        <v>-9.8390300000000003E-3</v>
      </c>
      <c r="Q21">
        <v>-2.3430954E-3</v>
      </c>
      <c r="R21">
        <v>-0.2296233</v>
      </c>
      <c r="S21">
        <v>11.76887</v>
      </c>
    </row>
    <row r="22" spans="1:19">
      <c r="A22" t="s">
        <v>20</v>
      </c>
      <c r="B22">
        <v>4376</v>
      </c>
      <c r="C22">
        <v>523.58550000000002</v>
      </c>
      <c r="D22">
        <v>139.3758</v>
      </c>
      <c r="E22">
        <v>2.2089940000000001</v>
      </c>
      <c r="F22">
        <v>1.5849192000000002E-2</v>
      </c>
      <c r="G22">
        <v>384.2106</v>
      </c>
      <c r="H22">
        <v>-3.1078079999999999</v>
      </c>
      <c r="I22">
        <v>-8.0888149999999992E-3</v>
      </c>
      <c r="J22">
        <v>-0.89881420000000001</v>
      </c>
      <c r="K22">
        <v>-1.7166522E-3</v>
      </c>
      <c r="L22">
        <v>500.80840000000001</v>
      </c>
      <c r="M22">
        <v>2.3590703000000001E-2</v>
      </c>
      <c r="N22">
        <v>5.5939498999999998E-3</v>
      </c>
      <c r="O22">
        <v>22.777010000000001</v>
      </c>
      <c r="P22">
        <v>-9.8740384E-3</v>
      </c>
      <c r="Q22">
        <v>-2.3427194000000002E-3</v>
      </c>
      <c r="R22">
        <v>-0.22490109999999999</v>
      </c>
      <c r="S22">
        <v>11.81442</v>
      </c>
    </row>
    <row r="23" spans="1:19">
      <c r="A23" t="s">
        <v>21</v>
      </c>
      <c r="B23">
        <v>4382</v>
      </c>
      <c r="C23">
        <v>527.19079999999997</v>
      </c>
      <c r="D23">
        <v>133.3689</v>
      </c>
      <c r="E23">
        <v>1.9781500000000001</v>
      </c>
      <c r="F23">
        <v>1.4832164E-2</v>
      </c>
      <c r="G23">
        <v>393.82339999999999</v>
      </c>
      <c r="H23">
        <v>-2.9990839999999999</v>
      </c>
      <c r="I23">
        <v>-7.6153013000000002E-3</v>
      </c>
      <c r="J23">
        <v>-1.020934</v>
      </c>
      <c r="K23">
        <v>-1.9365557E-3</v>
      </c>
      <c r="L23">
        <v>502.67320000000001</v>
      </c>
      <c r="M23">
        <v>2.3528749000000002E-2</v>
      </c>
      <c r="N23">
        <v>5.5789016E-3</v>
      </c>
      <c r="O23">
        <v>24.51801</v>
      </c>
      <c r="P23">
        <v>-1.0107858000000001E-2</v>
      </c>
      <c r="Q23">
        <v>-2.4060635000000001E-3</v>
      </c>
      <c r="R23">
        <v>-0.2478245</v>
      </c>
      <c r="S23">
        <v>11.82727</v>
      </c>
    </row>
    <row r="24" spans="1:19">
      <c r="A24" t="s">
        <v>34</v>
      </c>
      <c r="B24">
        <v>4382</v>
      </c>
      <c r="C24">
        <v>518.97159999999997</v>
      </c>
      <c r="D24">
        <v>139.51990000000001</v>
      </c>
      <c r="E24">
        <v>2.2591939999999999</v>
      </c>
      <c r="F24">
        <v>1.6192628000000001E-2</v>
      </c>
      <c r="G24">
        <v>379.45330000000001</v>
      </c>
      <c r="H24">
        <v>-3.0567519999999999</v>
      </c>
      <c r="I24">
        <v>-8.0556758000000003E-3</v>
      </c>
      <c r="J24">
        <v>-0.79755830000000005</v>
      </c>
      <c r="K24">
        <v>-1.5368052999999999E-3</v>
      </c>
      <c r="L24">
        <v>495.73419999999999</v>
      </c>
      <c r="M24">
        <v>2.3501293999999999E-2</v>
      </c>
      <c r="N24">
        <v>5.5663613999999998E-3</v>
      </c>
      <c r="O24">
        <v>23.238009999999999</v>
      </c>
      <c r="P24">
        <v>-9.8860217000000007E-3</v>
      </c>
      <c r="Q24">
        <v>-2.3441987999999999E-3</v>
      </c>
      <c r="R24">
        <v>-0.22973150000000001</v>
      </c>
      <c r="S24">
        <v>11.65039</v>
      </c>
    </row>
    <row r="25" spans="1:19">
      <c r="A25" t="s">
        <v>22</v>
      </c>
      <c r="B25">
        <v>4384</v>
      </c>
      <c r="C25">
        <v>289.24549999999999</v>
      </c>
      <c r="D25">
        <v>94.181179999999998</v>
      </c>
      <c r="E25">
        <v>1.897349</v>
      </c>
      <c r="F25">
        <v>2.0145731E-2</v>
      </c>
      <c r="G25">
        <v>195.06620000000001</v>
      </c>
      <c r="H25">
        <v>-2.1182919999999998</v>
      </c>
      <c r="I25">
        <v>-1.0859348E-2</v>
      </c>
      <c r="J25">
        <v>-0.22094320000000001</v>
      </c>
      <c r="K25">
        <v>-7.6386046999999996E-4</v>
      </c>
      <c r="L25">
        <v>277.47770000000003</v>
      </c>
      <c r="M25">
        <v>2.5414320000000001E-2</v>
      </c>
      <c r="N25">
        <v>5.9660794000000001E-3</v>
      </c>
      <c r="O25">
        <v>11.768000000000001</v>
      </c>
      <c r="P25">
        <v>-1.0319306E-2</v>
      </c>
      <c r="Q25">
        <v>-2.4287517000000001E-3</v>
      </c>
      <c r="R25">
        <v>-0.12143760000000001</v>
      </c>
      <c r="S25">
        <v>7.0519059999999998</v>
      </c>
    </row>
    <row r="26" spans="1:19">
      <c r="A26" t="s">
        <v>23</v>
      </c>
      <c r="B26">
        <v>4386</v>
      </c>
      <c r="C26">
        <v>520.2799</v>
      </c>
      <c r="D26">
        <v>127.553</v>
      </c>
      <c r="E26">
        <v>1.848735</v>
      </c>
      <c r="F26">
        <v>1.4493858E-2</v>
      </c>
      <c r="G26">
        <v>392.72829999999999</v>
      </c>
      <c r="H26">
        <v>-3.1430380000000002</v>
      </c>
      <c r="I26">
        <v>-8.0030867999999998E-3</v>
      </c>
      <c r="J26">
        <v>-1.294303</v>
      </c>
      <c r="K26">
        <v>-2.4877060000000001E-3</v>
      </c>
      <c r="L26">
        <v>495.76909999999998</v>
      </c>
      <c r="M26">
        <v>2.3561176E-2</v>
      </c>
      <c r="N26">
        <v>5.5836052999999998E-3</v>
      </c>
      <c r="O26">
        <v>24.511009999999999</v>
      </c>
      <c r="P26">
        <v>-1.0105269E-2</v>
      </c>
      <c r="Q26">
        <v>-2.4047610000000001E-3</v>
      </c>
      <c r="R26">
        <v>-0.24769040000000001</v>
      </c>
      <c r="S26">
        <v>11.680899999999999</v>
      </c>
    </row>
    <row r="27" spans="1:19">
      <c r="A27" t="s">
        <v>24</v>
      </c>
      <c r="B27">
        <v>4386</v>
      </c>
      <c r="C27">
        <v>525.8768</v>
      </c>
      <c r="D27">
        <v>140.32079999999999</v>
      </c>
      <c r="E27">
        <v>2.1967660000000002</v>
      </c>
      <c r="F27">
        <v>1.5655313000000001E-2</v>
      </c>
      <c r="G27">
        <v>385.55709999999999</v>
      </c>
      <c r="H27">
        <v>-2.9612889999999998</v>
      </c>
      <c r="I27">
        <v>-7.6805455999999998E-3</v>
      </c>
      <c r="J27">
        <v>-0.76452260000000005</v>
      </c>
      <c r="K27">
        <v>-1.4538054E-3</v>
      </c>
      <c r="L27">
        <v>502.60109999999997</v>
      </c>
      <c r="M27">
        <v>2.3565078E-2</v>
      </c>
      <c r="N27">
        <v>5.5814488000000004E-3</v>
      </c>
      <c r="O27">
        <v>23.276</v>
      </c>
      <c r="P27">
        <v>-9.7273429999999994E-3</v>
      </c>
      <c r="Q27">
        <v>-2.3103438000000001E-3</v>
      </c>
      <c r="R27">
        <v>-0.2264137</v>
      </c>
      <c r="S27">
        <v>11.843830000000001</v>
      </c>
    </row>
    <row r="28" spans="1:19">
      <c r="A28" t="s">
        <v>25</v>
      </c>
      <c r="B28">
        <v>4396</v>
      </c>
      <c r="C28">
        <v>595.35580000000004</v>
      </c>
      <c r="D28">
        <v>137.83789999999999</v>
      </c>
      <c r="E28">
        <v>2.0438109999999998</v>
      </c>
      <c r="F28">
        <v>1.4827643999999999E-2</v>
      </c>
      <c r="G28">
        <v>457.51870000000002</v>
      </c>
      <c r="H28">
        <v>-3.4113699999999998</v>
      </c>
      <c r="I28">
        <v>-7.4562415999999999E-3</v>
      </c>
      <c r="J28">
        <v>-1.367559</v>
      </c>
      <c r="K28">
        <v>-2.2970447000000001E-3</v>
      </c>
      <c r="L28">
        <v>572.59810000000004</v>
      </c>
      <c r="M28">
        <v>2.2609285999999999E-2</v>
      </c>
      <c r="N28">
        <v>5.3717983000000002E-3</v>
      </c>
      <c r="O28">
        <v>22.758009999999999</v>
      </c>
      <c r="P28">
        <v>-1.5023833E-2</v>
      </c>
      <c r="Q28">
        <v>-3.5615882000000001E-3</v>
      </c>
      <c r="R28">
        <v>-0.34191250000000001</v>
      </c>
      <c r="S28">
        <v>12.94603</v>
      </c>
    </row>
    <row r="29" spans="1:19">
      <c r="A29" t="s">
        <v>26</v>
      </c>
      <c r="B29">
        <v>4496</v>
      </c>
      <c r="C29">
        <v>425.1481</v>
      </c>
      <c r="D29">
        <v>64.827010000000001</v>
      </c>
      <c r="E29">
        <v>0.7980064</v>
      </c>
      <c r="F29">
        <v>1.2309782E-2</v>
      </c>
      <c r="G29">
        <v>360.32170000000002</v>
      </c>
      <c r="H29">
        <v>-3.530567</v>
      </c>
      <c r="I29">
        <v>-9.7983758999999997E-3</v>
      </c>
      <c r="J29">
        <v>-2.732561</v>
      </c>
      <c r="K29">
        <v>-6.4273150999999999E-3</v>
      </c>
      <c r="L29">
        <v>410.33019999999999</v>
      </c>
      <c r="M29">
        <v>2.9082126999999999E-2</v>
      </c>
      <c r="N29">
        <v>6.8898824999999997E-3</v>
      </c>
      <c r="O29">
        <v>14.818</v>
      </c>
      <c r="P29">
        <v>-8.1884693000000008E-3</v>
      </c>
      <c r="Q29">
        <v>-1.9570447E-3</v>
      </c>
      <c r="R29">
        <v>-0.12133679999999999</v>
      </c>
      <c r="S29">
        <v>11.93328</v>
      </c>
    </row>
    <row r="30" spans="1:19">
      <c r="A30" t="s">
        <v>27</v>
      </c>
      <c r="B30">
        <v>4616</v>
      </c>
      <c r="C30">
        <v>416.61329999999998</v>
      </c>
      <c r="D30">
        <v>93.072019999999995</v>
      </c>
      <c r="E30">
        <v>1.8221240000000001</v>
      </c>
      <c r="F30">
        <v>1.9577569999999999E-2</v>
      </c>
      <c r="G30">
        <v>323.54160000000002</v>
      </c>
      <c r="H30">
        <v>-3.5183710000000001</v>
      </c>
      <c r="I30">
        <v>-1.0874554E-2</v>
      </c>
      <c r="J30">
        <v>-1.6962470000000001</v>
      </c>
      <c r="K30">
        <v>-4.0715137000000004E-3</v>
      </c>
      <c r="L30">
        <v>354.2192</v>
      </c>
      <c r="M30">
        <v>2.8536601000000002E-2</v>
      </c>
      <c r="N30">
        <v>6.743303E-3</v>
      </c>
      <c r="O30">
        <v>62.393929999999997</v>
      </c>
      <c r="P30">
        <v>-1.2519544000000001E-2</v>
      </c>
      <c r="Q30">
        <v>-2.9814639E-3</v>
      </c>
      <c r="R30">
        <v>-0.78114349999999999</v>
      </c>
      <c r="S30">
        <v>10.10821</v>
      </c>
    </row>
    <row r="31" spans="1:19">
      <c r="A31" t="s">
        <v>28</v>
      </c>
      <c r="B31">
        <v>4599</v>
      </c>
      <c r="C31">
        <v>242.5428</v>
      </c>
      <c r="D31">
        <v>68.546040000000005</v>
      </c>
      <c r="E31">
        <v>1.513962</v>
      </c>
      <c r="F31">
        <v>2.2086784000000002E-2</v>
      </c>
      <c r="G31">
        <v>173.9975</v>
      </c>
      <c r="H31">
        <v>-3.210181</v>
      </c>
      <c r="I31">
        <v>-1.8449581999999999E-2</v>
      </c>
      <c r="J31">
        <v>-1.6962189999999999</v>
      </c>
      <c r="K31">
        <v>-6.9934838000000003E-3</v>
      </c>
      <c r="L31">
        <v>237.3689</v>
      </c>
      <c r="M31">
        <v>3.2485950999999999E-2</v>
      </c>
      <c r="N31">
        <v>7.6348045999999996E-3</v>
      </c>
      <c r="O31">
        <v>5.1740000000000004</v>
      </c>
      <c r="P31">
        <v>-6.9209257999999999E-3</v>
      </c>
      <c r="Q31">
        <v>-1.6276757999999999E-3</v>
      </c>
      <c r="R31">
        <v>-3.5808869E-2</v>
      </c>
      <c r="S31">
        <v>7.7111530000000004</v>
      </c>
    </row>
    <row r="32" spans="1:19">
      <c r="A32" t="s">
        <v>29</v>
      </c>
      <c r="B32">
        <v>4600</v>
      </c>
      <c r="C32">
        <v>238.36199999999999</v>
      </c>
      <c r="D32">
        <v>62.708100000000002</v>
      </c>
      <c r="E32">
        <v>1.487887</v>
      </c>
      <c r="F32">
        <v>2.3727192000000001E-2</v>
      </c>
      <c r="G32">
        <v>175.65450000000001</v>
      </c>
      <c r="H32">
        <v>-3.1130070000000001</v>
      </c>
      <c r="I32">
        <v>-1.7722333E-2</v>
      </c>
      <c r="J32">
        <v>-1.6251199999999999</v>
      </c>
      <c r="K32">
        <v>-6.8178661000000002E-3</v>
      </c>
      <c r="L32">
        <v>233.18</v>
      </c>
      <c r="M32">
        <v>3.2717254000000001E-2</v>
      </c>
      <c r="N32">
        <v>7.6827900000000001E-3</v>
      </c>
      <c r="O32">
        <v>5.1820009999999996</v>
      </c>
      <c r="P32">
        <v>-1.056179E-2</v>
      </c>
      <c r="Q32">
        <v>-2.4877822000000001E-3</v>
      </c>
      <c r="R32">
        <v>-5.4731204999999998E-2</v>
      </c>
      <c r="S32">
        <v>7.6290110000000002</v>
      </c>
    </row>
    <row r="33" spans="1:19">
      <c r="A33" t="s">
        <v>30</v>
      </c>
      <c r="B33">
        <v>4599</v>
      </c>
      <c r="C33">
        <v>237.648</v>
      </c>
      <c r="D33">
        <v>61.282110000000003</v>
      </c>
      <c r="E33">
        <v>1.434083</v>
      </c>
      <c r="F33">
        <v>2.3401328999999998E-2</v>
      </c>
      <c r="G33">
        <v>176.3664</v>
      </c>
      <c r="H33">
        <v>-3.1363810000000001</v>
      </c>
      <c r="I33">
        <v>-1.7783323E-2</v>
      </c>
      <c r="J33">
        <v>-1.7022980000000001</v>
      </c>
      <c r="K33">
        <v>-7.1631068999999997E-3</v>
      </c>
      <c r="L33">
        <v>233.37610000000001</v>
      </c>
      <c r="M33">
        <v>3.2762125000000003E-2</v>
      </c>
      <c r="N33">
        <v>7.6997940999999999E-3</v>
      </c>
      <c r="O33">
        <v>4.2720000000000002</v>
      </c>
      <c r="P33">
        <v>-9.6949739000000007E-3</v>
      </c>
      <c r="Q33">
        <v>-2.3009406999999998E-3</v>
      </c>
      <c r="R33">
        <v>-4.1416931999999997E-2</v>
      </c>
      <c r="S33">
        <v>7.6458950000000003</v>
      </c>
    </row>
    <row r="34" spans="1:19">
      <c r="A34" t="s">
        <v>31</v>
      </c>
      <c r="B34">
        <v>10032</v>
      </c>
      <c r="C34">
        <v>1041.2260000000001</v>
      </c>
      <c r="D34">
        <v>357.62560000000002</v>
      </c>
      <c r="E34">
        <v>3.2071749999999999</v>
      </c>
      <c r="F34">
        <v>8.9679667999999994E-3</v>
      </c>
      <c r="G34">
        <v>683.59500000000003</v>
      </c>
      <c r="H34">
        <v>-6.8607360000000002</v>
      </c>
      <c r="I34">
        <v>-1.0036257999999999E-2</v>
      </c>
      <c r="J34">
        <v>-3.6535609999999998</v>
      </c>
      <c r="K34">
        <v>-3.5089028999999998E-3</v>
      </c>
      <c r="L34">
        <v>906.91740000000004</v>
      </c>
      <c r="M34">
        <v>2.1430307999999999E-2</v>
      </c>
      <c r="N34">
        <v>5.0468761000000001E-3</v>
      </c>
      <c r="O34">
        <v>134.30719999999999</v>
      </c>
      <c r="P34">
        <v>-8.7061207999999998E-3</v>
      </c>
      <c r="Q34">
        <v>-2.0805950999999998E-3</v>
      </c>
      <c r="R34">
        <v>-1.1692940000000001</v>
      </c>
      <c r="S34">
        <v>19.43552</v>
      </c>
    </row>
    <row r="35" spans="1:19">
      <c r="A35" t="s">
        <v>32</v>
      </c>
      <c r="B35">
        <v>10214</v>
      </c>
      <c r="C35">
        <v>1135.4939999999999</v>
      </c>
      <c r="D35">
        <v>345.45299999999997</v>
      </c>
      <c r="E35">
        <v>3.963959</v>
      </c>
      <c r="F35">
        <v>1.1474668E-2</v>
      </c>
      <c r="G35">
        <v>790.03300000000002</v>
      </c>
      <c r="H35">
        <v>-7.9343500000000002</v>
      </c>
      <c r="I35">
        <v>-1.0043061000000001E-2</v>
      </c>
      <c r="J35">
        <v>-3.9703909999999998</v>
      </c>
      <c r="K35">
        <v>-3.4966214999999998E-3</v>
      </c>
      <c r="L35">
        <v>984.94100000000003</v>
      </c>
      <c r="M35">
        <v>2.2231765000000001E-2</v>
      </c>
      <c r="N35">
        <v>5.2510732999999999E-3</v>
      </c>
      <c r="O35">
        <v>150.5454</v>
      </c>
      <c r="P35">
        <v>-1.0522244E-2</v>
      </c>
      <c r="Q35">
        <v>-2.5024881999999998E-3</v>
      </c>
      <c r="R35">
        <v>-1.5840749999999999</v>
      </c>
      <c r="S35">
        <v>21.896979999999999</v>
      </c>
    </row>
    <row r="36" spans="1:19">
      <c r="A36" t="s">
        <v>33</v>
      </c>
      <c r="B36">
        <v>10355</v>
      </c>
      <c r="C36">
        <v>1290.0619999999999</v>
      </c>
      <c r="D36">
        <v>499.30799999999999</v>
      </c>
      <c r="E36">
        <v>5.2457019999999996</v>
      </c>
      <c r="F36">
        <v>1.0505944E-2</v>
      </c>
      <c r="G36">
        <v>790.73649999999998</v>
      </c>
      <c r="H36">
        <v>-7.1471920000000004</v>
      </c>
      <c r="I36">
        <v>-9.0386523E-3</v>
      </c>
      <c r="J36">
        <v>-1.901489</v>
      </c>
      <c r="K36">
        <v>-1.4739519999999999E-3</v>
      </c>
      <c r="L36">
        <v>1081.019</v>
      </c>
      <c r="M36">
        <v>2.0064505E-2</v>
      </c>
      <c r="N36">
        <v>4.7101234000000002E-3</v>
      </c>
      <c r="O36">
        <v>209.0342</v>
      </c>
      <c r="P36">
        <v>-1.2266304E-2</v>
      </c>
      <c r="Q36">
        <v>-2.9170393999999999E-3</v>
      </c>
      <c r="R36">
        <v>-2.5640779999999999</v>
      </c>
      <c r="S36">
        <v>21.69012</v>
      </c>
    </row>
  </sheetData>
  <phoneticPr fontId="0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87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162.3519</v>
      </c>
      <c r="D2">
        <v>52.447989999999997</v>
      </c>
      <c r="E2">
        <v>0.6527423</v>
      </c>
      <c r="F2">
        <v>1.2445516E-2</v>
      </c>
      <c r="G2">
        <v>109.90389999999999</v>
      </c>
      <c r="H2">
        <v>-1.231409</v>
      </c>
      <c r="I2">
        <v>-1.1204418000000001E-2</v>
      </c>
      <c r="J2">
        <v>-0.57866700000000004</v>
      </c>
      <c r="K2">
        <v>-3.5642769999999998E-3</v>
      </c>
      <c r="L2">
        <v>136.5008</v>
      </c>
      <c r="M2">
        <v>2.9188028000000001E-2</v>
      </c>
      <c r="N2">
        <v>6.8456856999999996E-3</v>
      </c>
      <c r="O2">
        <v>25.850999999999999</v>
      </c>
      <c r="P2">
        <v>-1.5217368E-2</v>
      </c>
      <c r="Q2">
        <v>-3.6090289000000001E-3</v>
      </c>
      <c r="R2">
        <v>-0.39338420000000002</v>
      </c>
      <c r="S2">
        <v>3.9841890000000002</v>
      </c>
    </row>
    <row r="3" spans="1:19">
      <c r="A3" t="s">
        <v>1</v>
      </c>
      <c r="B3">
        <v>1248</v>
      </c>
      <c r="C3">
        <v>178.63589999999999</v>
      </c>
      <c r="D3">
        <v>43.59104</v>
      </c>
      <c r="E3">
        <v>0.68324949999999995</v>
      </c>
      <c r="F3">
        <v>1.5674080999999999E-2</v>
      </c>
      <c r="G3">
        <v>135.04490000000001</v>
      </c>
      <c r="H3">
        <v>-1.4414819999999999</v>
      </c>
      <c r="I3">
        <v>-1.0674094E-2</v>
      </c>
      <c r="J3">
        <v>-0.75823260000000003</v>
      </c>
      <c r="K3">
        <v>-4.2445701999999997E-3</v>
      </c>
      <c r="L3">
        <v>134.1549</v>
      </c>
      <c r="M3">
        <v>2.8287244999999999E-2</v>
      </c>
      <c r="N3">
        <v>6.6228121999999997E-3</v>
      </c>
      <c r="O3">
        <v>44.481009999999998</v>
      </c>
      <c r="P3">
        <v>-1.1220252999999999E-2</v>
      </c>
      <c r="Q3">
        <v>-2.6689208999999998E-3</v>
      </c>
      <c r="R3">
        <v>-0.49908819999999998</v>
      </c>
      <c r="S3">
        <v>3.7948710000000001</v>
      </c>
    </row>
    <row r="4" spans="1:19">
      <c r="A4" t="s">
        <v>2</v>
      </c>
      <c r="B4">
        <v>2468</v>
      </c>
      <c r="C4">
        <v>333.98090000000002</v>
      </c>
      <c r="D4">
        <v>92.876980000000003</v>
      </c>
      <c r="E4">
        <v>1.6433150000000001</v>
      </c>
      <c r="F4">
        <v>1.7693462E-2</v>
      </c>
      <c r="G4">
        <v>241.10470000000001</v>
      </c>
      <c r="H4">
        <v>-3.1342029999999999</v>
      </c>
      <c r="I4">
        <v>-1.2999342000000001E-2</v>
      </c>
      <c r="J4">
        <v>-1.4908870000000001</v>
      </c>
      <c r="K4">
        <v>-4.4639893000000003E-3</v>
      </c>
      <c r="L4">
        <v>313.46409999999997</v>
      </c>
      <c r="M4">
        <v>2.8748975999999999E-2</v>
      </c>
      <c r="N4">
        <v>6.7554512000000001E-3</v>
      </c>
      <c r="O4">
        <v>20.516999999999999</v>
      </c>
      <c r="P4">
        <v>-1.6236244E-2</v>
      </c>
      <c r="Q4">
        <v>-3.8734768000000001E-3</v>
      </c>
      <c r="R4">
        <v>-0.333119</v>
      </c>
      <c r="S4">
        <v>9.0117720000000006</v>
      </c>
    </row>
    <row r="5" spans="1:19">
      <c r="A5" t="s">
        <v>3</v>
      </c>
      <c r="B5">
        <v>993</v>
      </c>
      <c r="C5">
        <v>89.488110000000006</v>
      </c>
      <c r="D5">
        <v>42.598030000000001</v>
      </c>
      <c r="E5">
        <v>0.30292999999999998</v>
      </c>
      <c r="F5">
        <v>7.1113621999999996E-3</v>
      </c>
      <c r="G5">
        <v>46.89</v>
      </c>
      <c r="H5">
        <v>-0.55776009999999998</v>
      </c>
      <c r="I5">
        <v>-1.1895077E-2</v>
      </c>
      <c r="J5">
        <v>-0.2548301</v>
      </c>
      <c r="K5">
        <v>-2.8476424000000002E-3</v>
      </c>
      <c r="L5">
        <v>83.609080000000006</v>
      </c>
      <c r="M5">
        <v>1.8917805999999999E-2</v>
      </c>
      <c r="N5">
        <v>4.4305328999999999E-3</v>
      </c>
      <c r="O5">
        <v>5.8789999999999996</v>
      </c>
      <c r="P5">
        <v>-1.2832909E-2</v>
      </c>
      <c r="Q5">
        <v>-3.0177871000000001E-3</v>
      </c>
      <c r="R5">
        <v>-7.5444676000000002E-2</v>
      </c>
      <c r="S5">
        <v>1.5817000000000001</v>
      </c>
    </row>
    <row r="6" spans="1:19">
      <c r="A6" t="s">
        <v>4</v>
      </c>
      <c r="B6">
        <v>994</v>
      </c>
      <c r="C6">
        <v>85.470160000000007</v>
      </c>
      <c r="D6">
        <v>32.775039999999997</v>
      </c>
      <c r="E6">
        <v>0.32385589999999997</v>
      </c>
      <c r="F6">
        <v>9.8811742000000004E-3</v>
      </c>
      <c r="G6">
        <v>52.694989999999997</v>
      </c>
      <c r="H6">
        <v>-0.55319229999999997</v>
      </c>
      <c r="I6">
        <v>-1.0498004E-2</v>
      </c>
      <c r="J6">
        <v>-0.2293364</v>
      </c>
      <c r="K6">
        <v>-2.6832332000000002E-3</v>
      </c>
      <c r="L6">
        <v>81.957130000000006</v>
      </c>
      <c r="M6">
        <v>2.0785114E-2</v>
      </c>
      <c r="N6">
        <v>4.8671095000000003E-3</v>
      </c>
      <c r="O6">
        <v>3.5129999999999999</v>
      </c>
      <c r="P6">
        <v>-1.1006545E-2</v>
      </c>
      <c r="Q6">
        <v>-2.5777324999999999E-3</v>
      </c>
      <c r="R6">
        <v>-3.8665987999999998E-2</v>
      </c>
      <c r="S6">
        <v>1.7034879999999999</v>
      </c>
    </row>
    <row r="7" spans="1:19">
      <c r="A7" t="s">
        <v>5</v>
      </c>
      <c r="B7">
        <v>1001</v>
      </c>
      <c r="C7">
        <v>92.630170000000007</v>
      </c>
      <c r="D7">
        <v>47.117019999999997</v>
      </c>
      <c r="E7">
        <v>0.26487139999999998</v>
      </c>
      <c r="F7">
        <v>5.6215655E-3</v>
      </c>
      <c r="G7">
        <v>45.513010000000001</v>
      </c>
      <c r="H7">
        <v>-0.57195569999999996</v>
      </c>
      <c r="I7">
        <v>-1.2566862999999999E-2</v>
      </c>
      <c r="J7">
        <v>-0.30708439999999998</v>
      </c>
      <c r="K7">
        <v>-3.3151653999999998E-3</v>
      </c>
      <c r="L7">
        <v>88.675160000000005</v>
      </c>
      <c r="M7">
        <v>1.8889435999999999E-2</v>
      </c>
      <c r="N7">
        <v>4.4312793999999999E-3</v>
      </c>
      <c r="O7">
        <v>3.9549989999999999</v>
      </c>
      <c r="P7">
        <v>-1.3286941E-2</v>
      </c>
      <c r="Q7">
        <v>-3.0911670000000001E-3</v>
      </c>
      <c r="R7">
        <v>-5.2549839000000001E-2</v>
      </c>
      <c r="S7">
        <v>1.6750240000000001</v>
      </c>
    </row>
    <row r="8" spans="1:19">
      <c r="A8" t="s">
        <v>6</v>
      </c>
      <c r="B8">
        <v>1001</v>
      </c>
      <c r="C8">
        <v>90.730180000000004</v>
      </c>
      <c r="D8">
        <v>41.722000000000001</v>
      </c>
      <c r="E8">
        <v>0.31719150000000002</v>
      </c>
      <c r="F8">
        <v>7.6024993000000001E-3</v>
      </c>
      <c r="G8">
        <v>49.008000000000003</v>
      </c>
      <c r="H8">
        <v>-0.55382969999999998</v>
      </c>
      <c r="I8">
        <v>-1.1300802E-2</v>
      </c>
      <c r="J8">
        <v>-0.23663819999999999</v>
      </c>
      <c r="K8">
        <v>-2.6081532999999999E-3</v>
      </c>
      <c r="L8">
        <v>85.815150000000003</v>
      </c>
      <c r="M8">
        <v>1.9227335000000002E-2</v>
      </c>
      <c r="N8">
        <v>4.5081875E-3</v>
      </c>
      <c r="O8">
        <v>4.915</v>
      </c>
      <c r="P8">
        <v>-1.2443277000000001E-2</v>
      </c>
      <c r="Q8">
        <v>-2.9123193000000001E-3</v>
      </c>
      <c r="R8">
        <v>-6.1158706E-2</v>
      </c>
      <c r="S8">
        <v>1.6499969999999999</v>
      </c>
    </row>
    <row r="9" spans="1:19">
      <c r="A9" t="s">
        <v>7</v>
      </c>
      <c r="B9">
        <v>1305</v>
      </c>
      <c r="C9">
        <v>104.16930000000001</v>
      </c>
      <c r="D9">
        <v>40.559019999999997</v>
      </c>
      <c r="E9">
        <v>0.49569439999999998</v>
      </c>
      <c r="F9">
        <v>1.2221558E-2</v>
      </c>
      <c r="G9">
        <v>63.609969999999997</v>
      </c>
      <c r="H9">
        <v>-0.7292286</v>
      </c>
      <c r="I9">
        <v>-1.1464060999999999E-2</v>
      </c>
      <c r="J9">
        <v>-0.2335342</v>
      </c>
      <c r="K9">
        <v>-2.2418719999999998E-3</v>
      </c>
      <c r="L9">
        <v>96.848240000000004</v>
      </c>
      <c r="M9">
        <v>2.3984261E-2</v>
      </c>
      <c r="N9">
        <v>5.6107086E-3</v>
      </c>
      <c r="O9">
        <v>7.3209999999999997</v>
      </c>
      <c r="P9">
        <v>-1.1012223999999999E-2</v>
      </c>
      <c r="Q9">
        <v>-2.6006610000000002E-3</v>
      </c>
      <c r="R9">
        <v>-8.0620490000000003E-2</v>
      </c>
      <c r="S9">
        <v>2.3228330000000001</v>
      </c>
    </row>
    <row r="10" spans="1:19">
      <c r="A10" t="s">
        <v>8</v>
      </c>
      <c r="B10">
        <v>1309</v>
      </c>
      <c r="C10">
        <v>100.7563</v>
      </c>
      <c r="D10">
        <v>41.825029999999998</v>
      </c>
      <c r="E10">
        <v>0.57329960000000002</v>
      </c>
      <c r="F10">
        <v>1.3707093E-2</v>
      </c>
      <c r="G10">
        <v>58.930970000000002</v>
      </c>
      <c r="H10">
        <v>-0.75611419999999996</v>
      </c>
      <c r="I10">
        <v>-1.2830506E-2</v>
      </c>
      <c r="J10">
        <v>-0.18281459999999999</v>
      </c>
      <c r="K10">
        <v>-1.8144241000000001E-3</v>
      </c>
      <c r="L10">
        <v>97.482249999999993</v>
      </c>
      <c r="M10">
        <v>2.3426387E-2</v>
      </c>
      <c r="N10">
        <v>5.4895602999999998E-3</v>
      </c>
      <c r="O10">
        <v>3.274</v>
      </c>
      <c r="P10">
        <v>-1.0545139E-2</v>
      </c>
      <c r="Q10">
        <v>-2.4660559999999999E-3</v>
      </c>
      <c r="R10">
        <v>-3.4524783000000003E-2</v>
      </c>
      <c r="S10">
        <v>2.2836569999999998</v>
      </c>
    </row>
    <row r="11" spans="1:19">
      <c r="A11" t="s">
        <v>9</v>
      </c>
      <c r="B11">
        <v>951</v>
      </c>
      <c r="C11">
        <v>93.418210000000002</v>
      </c>
      <c r="D11">
        <v>24.04402</v>
      </c>
      <c r="E11">
        <v>0.21811700000000001</v>
      </c>
      <c r="F11">
        <v>9.0715698999999997E-3</v>
      </c>
      <c r="G11">
        <v>69.373980000000003</v>
      </c>
      <c r="H11">
        <v>-0.80243909999999996</v>
      </c>
      <c r="I11">
        <v>-1.156686E-2</v>
      </c>
      <c r="J11">
        <v>-0.58432209999999996</v>
      </c>
      <c r="K11">
        <v>-6.2549058000000001E-3</v>
      </c>
      <c r="L11">
        <v>86.165149999999997</v>
      </c>
      <c r="M11">
        <v>1.9248222999999998E-2</v>
      </c>
      <c r="N11">
        <v>4.5068640999999998E-3</v>
      </c>
      <c r="O11">
        <v>7.252999</v>
      </c>
      <c r="P11">
        <v>-7.3322732999999999E-3</v>
      </c>
      <c r="Q11">
        <v>-1.7155153E-3</v>
      </c>
      <c r="R11">
        <v>-5.3180973999999999E-2</v>
      </c>
      <c r="S11">
        <v>1.6585259999999999</v>
      </c>
    </row>
    <row r="12" spans="1:19">
      <c r="A12" t="s">
        <v>10</v>
      </c>
      <c r="B12">
        <v>956</v>
      </c>
      <c r="C12">
        <v>90.678190000000001</v>
      </c>
      <c r="D12">
        <v>22.946010000000001</v>
      </c>
      <c r="E12">
        <v>0.2284437</v>
      </c>
      <c r="F12">
        <v>9.9557023000000008E-3</v>
      </c>
      <c r="G12">
        <v>67.731999999999999</v>
      </c>
      <c r="H12">
        <v>-0.79549930000000002</v>
      </c>
      <c r="I12">
        <v>-1.1744806999999999E-2</v>
      </c>
      <c r="J12">
        <v>-0.56705559999999999</v>
      </c>
      <c r="K12">
        <v>-6.2534944000000002E-3</v>
      </c>
      <c r="L12">
        <v>83.184139999999999</v>
      </c>
      <c r="M12">
        <v>1.9047132000000001E-2</v>
      </c>
      <c r="N12">
        <v>4.4631525000000003E-3</v>
      </c>
      <c r="O12">
        <v>7.4939989999999996</v>
      </c>
      <c r="P12">
        <v>-7.3155067000000001E-3</v>
      </c>
      <c r="Q12">
        <v>-1.7132E-3</v>
      </c>
      <c r="R12">
        <v>-5.48224E-2</v>
      </c>
      <c r="S12">
        <v>1.584419</v>
      </c>
    </row>
    <row r="13" spans="1:19">
      <c r="A13" t="s">
        <v>11</v>
      </c>
      <c r="B13">
        <v>957</v>
      </c>
      <c r="C13">
        <v>94.124189999999999</v>
      </c>
      <c r="D13">
        <v>31.34102</v>
      </c>
      <c r="E13">
        <v>0.42092560000000001</v>
      </c>
      <c r="F13">
        <v>1.3430502E-2</v>
      </c>
      <c r="G13">
        <v>62.782940000000004</v>
      </c>
      <c r="H13">
        <v>-0.74847580000000002</v>
      </c>
      <c r="I13">
        <v>-1.1921643000000001E-2</v>
      </c>
      <c r="J13">
        <v>-0.32755030000000002</v>
      </c>
      <c r="K13">
        <v>-3.4799795E-3</v>
      </c>
      <c r="L13">
        <v>89.679169999999999</v>
      </c>
      <c r="M13">
        <v>1.9839248E-2</v>
      </c>
      <c r="N13">
        <v>4.6453453E-3</v>
      </c>
      <c r="O13">
        <v>4.4449990000000001</v>
      </c>
      <c r="P13">
        <v>-7.5081708E-3</v>
      </c>
      <c r="Q13">
        <v>-1.7565165E-3</v>
      </c>
      <c r="R13">
        <v>-3.3373814000000002E-2</v>
      </c>
      <c r="S13">
        <v>1.7791669999999999</v>
      </c>
    </row>
    <row r="14" spans="1:19">
      <c r="A14" t="s">
        <v>12</v>
      </c>
      <c r="B14">
        <v>1894</v>
      </c>
      <c r="C14">
        <v>320.1857</v>
      </c>
      <c r="D14">
        <v>119.90900000000001</v>
      </c>
      <c r="E14">
        <v>1.182984</v>
      </c>
      <c r="F14">
        <v>9.8656760999999999E-3</v>
      </c>
      <c r="G14">
        <v>200.27699999999999</v>
      </c>
      <c r="H14">
        <v>-1.7877689999999999</v>
      </c>
      <c r="I14">
        <v>-8.9264847000000008E-3</v>
      </c>
      <c r="J14">
        <v>-0.60478560000000003</v>
      </c>
      <c r="K14">
        <v>-1.8888587E-3</v>
      </c>
      <c r="L14">
        <v>293.03980000000001</v>
      </c>
      <c r="M14">
        <v>1.9017429999999998E-2</v>
      </c>
      <c r="N14">
        <v>4.4797943000000002E-3</v>
      </c>
      <c r="O14">
        <v>27.145990000000001</v>
      </c>
      <c r="P14">
        <v>-8.1725875E-3</v>
      </c>
      <c r="Q14">
        <v>-1.9291562000000001E-3</v>
      </c>
      <c r="R14">
        <v>-0.22185299999999999</v>
      </c>
      <c r="S14">
        <v>5.572864</v>
      </c>
    </row>
    <row r="15" spans="1:19">
      <c r="A15" t="s">
        <v>13</v>
      </c>
      <c r="B15">
        <v>2192</v>
      </c>
      <c r="C15">
        <v>191.50370000000001</v>
      </c>
      <c r="D15">
        <v>52.747990000000001</v>
      </c>
      <c r="E15">
        <v>0.97997319999999999</v>
      </c>
      <c r="F15">
        <v>1.8578397E-2</v>
      </c>
      <c r="G15">
        <v>138.75630000000001</v>
      </c>
      <c r="H15">
        <v>-1.5989640000000001</v>
      </c>
      <c r="I15">
        <v>-1.1523537E-2</v>
      </c>
      <c r="J15">
        <v>-0.61899079999999995</v>
      </c>
      <c r="K15">
        <v>-3.2322649000000002E-3</v>
      </c>
      <c r="L15">
        <v>180.47489999999999</v>
      </c>
      <c r="M15">
        <v>2.4990887999999999E-2</v>
      </c>
      <c r="N15">
        <v>5.8498405999999996E-3</v>
      </c>
      <c r="O15">
        <v>11.029</v>
      </c>
      <c r="P15">
        <v>-1.1218456E-2</v>
      </c>
      <c r="Q15">
        <v>-2.6325177999999999E-3</v>
      </c>
      <c r="R15">
        <v>-0.1237283</v>
      </c>
      <c r="S15">
        <v>4.5102270000000004</v>
      </c>
    </row>
    <row r="16" spans="1:19">
      <c r="A16" t="s">
        <v>14</v>
      </c>
      <c r="B16">
        <v>2192</v>
      </c>
      <c r="C16">
        <v>191.82679999999999</v>
      </c>
      <c r="D16">
        <v>46.747010000000003</v>
      </c>
      <c r="E16">
        <v>0.84461620000000004</v>
      </c>
      <c r="F16">
        <v>1.8067812999999999E-2</v>
      </c>
      <c r="G16">
        <v>145.08029999999999</v>
      </c>
      <c r="H16">
        <v>-1.6075489999999999</v>
      </c>
      <c r="I16">
        <v>-1.1080411E-2</v>
      </c>
      <c r="J16">
        <v>-0.76293299999999997</v>
      </c>
      <c r="K16">
        <v>-3.9771968E-3</v>
      </c>
      <c r="L16">
        <v>180.02</v>
      </c>
      <c r="M16">
        <v>2.4810039999999998E-2</v>
      </c>
      <c r="N16">
        <v>5.8079361999999997E-3</v>
      </c>
      <c r="O16">
        <v>11.807</v>
      </c>
      <c r="P16">
        <v>-1.0523032E-2</v>
      </c>
      <c r="Q16">
        <v>-2.4849083000000002E-3</v>
      </c>
      <c r="R16">
        <v>-0.12424540000000001</v>
      </c>
      <c r="S16">
        <v>4.4663029999999999</v>
      </c>
    </row>
    <row r="17" spans="1:19">
      <c r="A17" t="s">
        <v>15</v>
      </c>
      <c r="B17">
        <v>2201</v>
      </c>
      <c r="C17">
        <v>195.40979999999999</v>
      </c>
      <c r="D17">
        <v>63.593969999999999</v>
      </c>
      <c r="E17">
        <v>0.97313260000000001</v>
      </c>
      <c r="F17">
        <v>1.5302278000000001E-2</v>
      </c>
      <c r="G17">
        <v>131.81639999999999</v>
      </c>
      <c r="H17">
        <v>-1.5287630000000001</v>
      </c>
      <c r="I17">
        <v>-1.1597667000000001E-2</v>
      </c>
      <c r="J17">
        <v>-0.55563059999999997</v>
      </c>
      <c r="K17">
        <v>-2.8434119E-3</v>
      </c>
      <c r="L17">
        <v>178.69399999999999</v>
      </c>
      <c r="M17">
        <v>2.5711721E-2</v>
      </c>
      <c r="N17">
        <v>6.0216654E-3</v>
      </c>
      <c r="O17">
        <v>16.716000000000001</v>
      </c>
      <c r="P17">
        <v>-1.2244985E-2</v>
      </c>
      <c r="Q17">
        <v>-2.8829183E-3</v>
      </c>
      <c r="R17">
        <v>-0.20468720000000001</v>
      </c>
      <c r="S17">
        <v>4.5945309999999999</v>
      </c>
    </row>
    <row r="18" spans="1:19">
      <c r="A18" t="s">
        <v>16</v>
      </c>
      <c r="B18">
        <v>4326</v>
      </c>
      <c r="C18">
        <v>469.7475</v>
      </c>
      <c r="D18">
        <v>117.2379</v>
      </c>
      <c r="E18">
        <v>1.836929</v>
      </c>
      <c r="F18">
        <v>1.5668386999999999E-2</v>
      </c>
      <c r="G18">
        <v>352.50990000000002</v>
      </c>
      <c r="H18">
        <v>-2.8315649999999999</v>
      </c>
      <c r="I18">
        <v>-8.0325818000000007E-3</v>
      </c>
      <c r="J18">
        <v>-0.99463630000000003</v>
      </c>
      <c r="K18">
        <v>-2.1173848999999998E-3</v>
      </c>
      <c r="L18">
        <v>446.17219999999998</v>
      </c>
      <c r="M18">
        <v>2.3760694999999998E-2</v>
      </c>
      <c r="N18">
        <v>5.6151276999999999E-3</v>
      </c>
      <c r="O18">
        <v>23.574999999999999</v>
      </c>
      <c r="P18">
        <v>-8.7863448999999996E-3</v>
      </c>
      <c r="Q18">
        <v>-2.0713804E-3</v>
      </c>
      <c r="R18">
        <v>-0.20713799999999999</v>
      </c>
      <c r="S18">
        <v>10.60136</v>
      </c>
    </row>
    <row r="19" spans="1:19">
      <c r="A19" t="s">
        <v>17</v>
      </c>
      <c r="B19">
        <v>4366</v>
      </c>
      <c r="C19">
        <v>475.87520000000001</v>
      </c>
      <c r="D19">
        <v>127.892</v>
      </c>
      <c r="E19">
        <v>2.045185</v>
      </c>
      <c r="F19">
        <v>1.5991505E-2</v>
      </c>
      <c r="G19">
        <v>347.98320000000001</v>
      </c>
      <c r="H19">
        <v>-2.7958759999999998</v>
      </c>
      <c r="I19">
        <v>-8.0345124000000007E-3</v>
      </c>
      <c r="J19">
        <v>-0.75069019999999997</v>
      </c>
      <c r="K19">
        <v>-1.5774941000000001E-3</v>
      </c>
      <c r="L19">
        <v>454.7672</v>
      </c>
      <c r="M19">
        <v>2.3330573E-2</v>
      </c>
      <c r="N19">
        <v>5.5116773999999997E-3</v>
      </c>
      <c r="O19">
        <v>21.108000000000001</v>
      </c>
      <c r="P19">
        <v>-9.4658368999999999E-3</v>
      </c>
      <c r="Q19">
        <v>-2.2449985E-3</v>
      </c>
      <c r="R19">
        <v>-0.19980490000000001</v>
      </c>
      <c r="S19">
        <v>10.60998</v>
      </c>
    </row>
    <row r="20" spans="1:19">
      <c r="A20" t="s">
        <v>18</v>
      </c>
      <c r="B20">
        <v>4368</v>
      </c>
      <c r="C20">
        <v>476.66160000000002</v>
      </c>
      <c r="D20">
        <v>125.688</v>
      </c>
      <c r="E20">
        <v>2.0168200000000001</v>
      </c>
      <c r="F20">
        <v>1.6046243000000002E-2</v>
      </c>
      <c r="G20">
        <v>350.97460000000001</v>
      </c>
      <c r="H20">
        <v>-2.8129780000000002</v>
      </c>
      <c r="I20">
        <v>-8.0147618000000007E-3</v>
      </c>
      <c r="J20">
        <v>-0.79615740000000002</v>
      </c>
      <c r="K20">
        <v>-1.6702780999999999E-3</v>
      </c>
      <c r="L20">
        <v>455.58370000000002</v>
      </c>
      <c r="M20">
        <v>2.3357503000000002E-2</v>
      </c>
      <c r="N20">
        <v>5.5250763E-3</v>
      </c>
      <c r="O20">
        <v>21.077999999999999</v>
      </c>
      <c r="P20">
        <v>-9.5652471999999999E-3</v>
      </c>
      <c r="Q20">
        <v>-2.2653521E-3</v>
      </c>
      <c r="R20">
        <v>-0.2016163</v>
      </c>
      <c r="S20">
        <v>10.641299999999999</v>
      </c>
    </row>
    <row r="21" spans="1:19">
      <c r="A21" t="s">
        <v>19</v>
      </c>
      <c r="B21">
        <v>4368</v>
      </c>
      <c r="C21">
        <v>476.73289999999997</v>
      </c>
      <c r="D21">
        <v>121.9679</v>
      </c>
      <c r="E21">
        <v>1.7337389999999999</v>
      </c>
      <c r="F21">
        <v>1.4214709000000001E-2</v>
      </c>
      <c r="G21">
        <v>354.76479999999998</v>
      </c>
      <c r="H21">
        <v>-2.8158029999999998</v>
      </c>
      <c r="I21">
        <v>-7.9370979000000005E-3</v>
      </c>
      <c r="J21">
        <v>-1.0820639999999999</v>
      </c>
      <c r="K21">
        <v>-2.2697494999999999E-3</v>
      </c>
      <c r="L21">
        <v>455.15100000000001</v>
      </c>
      <c r="M21">
        <v>2.3248192000000001E-2</v>
      </c>
      <c r="N21">
        <v>5.5025676000000001E-3</v>
      </c>
      <c r="O21">
        <v>21.582000000000001</v>
      </c>
      <c r="P21">
        <v>-9.3614644999999996E-3</v>
      </c>
      <c r="Q21">
        <v>-2.2202101999999999E-3</v>
      </c>
      <c r="R21">
        <v>-0.2020391</v>
      </c>
      <c r="S21">
        <v>10.581440000000001</v>
      </c>
    </row>
    <row r="22" spans="1:19">
      <c r="A22" t="s">
        <v>20</v>
      </c>
      <c r="B22">
        <v>4376</v>
      </c>
      <c r="C22">
        <v>476.68619999999999</v>
      </c>
      <c r="D22">
        <v>126.79600000000001</v>
      </c>
      <c r="E22">
        <v>2.0286029999999999</v>
      </c>
      <c r="F22">
        <v>1.5998950000000001E-2</v>
      </c>
      <c r="G22">
        <v>349.89049999999997</v>
      </c>
      <c r="H22">
        <v>-2.8267440000000001</v>
      </c>
      <c r="I22">
        <v>-8.0789393000000008E-3</v>
      </c>
      <c r="J22">
        <v>-0.79814149999999995</v>
      </c>
      <c r="K22">
        <v>-1.6743540000000001E-3</v>
      </c>
      <c r="L22">
        <v>456.3023</v>
      </c>
      <c r="M22">
        <v>2.3443519999999999E-2</v>
      </c>
      <c r="N22">
        <v>5.5426586999999996E-3</v>
      </c>
      <c r="O22">
        <v>20.384</v>
      </c>
      <c r="P22">
        <v>-9.5406324000000004E-3</v>
      </c>
      <c r="Q22">
        <v>-2.2613523E-3</v>
      </c>
      <c r="R22">
        <v>-0.19447629999999999</v>
      </c>
      <c r="S22">
        <v>10.697329999999999</v>
      </c>
    </row>
    <row r="23" spans="1:19">
      <c r="A23" t="s">
        <v>21</v>
      </c>
      <c r="B23">
        <v>4382</v>
      </c>
      <c r="C23">
        <v>482.09930000000003</v>
      </c>
      <c r="D23">
        <v>121.43600000000001</v>
      </c>
      <c r="E23">
        <v>1.8027029999999999</v>
      </c>
      <c r="F23">
        <v>1.4844876999999999E-2</v>
      </c>
      <c r="G23">
        <v>360.66340000000002</v>
      </c>
      <c r="H23">
        <v>-2.7328130000000002</v>
      </c>
      <c r="I23">
        <v>-7.5771832000000004E-3</v>
      </c>
      <c r="J23">
        <v>-0.93011029999999995</v>
      </c>
      <c r="K23">
        <v>-1.9292919E-3</v>
      </c>
      <c r="L23">
        <v>460.52030000000002</v>
      </c>
      <c r="M23">
        <v>2.3152709E-2</v>
      </c>
      <c r="N23">
        <v>5.4734553999999996E-3</v>
      </c>
      <c r="O23">
        <v>21.579000000000001</v>
      </c>
      <c r="P23">
        <v>-9.6547659000000008E-3</v>
      </c>
      <c r="Q23">
        <v>-2.2894521E-3</v>
      </c>
      <c r="R23">
        <v>-0.2083402</v>
      </c>
      <c r="S23">
        <v>10.66229</v>
      </c>
    </row>
    <row r="24" spans="1:19">
      <c r="A24" t="s">
        <v>34</v>
      </c>
      <c r="B24">
        <v>4382</v>
      </c>
      <c r="C24">
        <v>473.1884</v>
      </c>
      <c r="D24">
        <v>127.20699999999999</v>
      </c>
      <c r="E24">
        <v>2.0905740000000002</v>
      </c>
      <c r="F24">
        <v>1.6434429E-2</v>
      </c>
      <c r="G24">
        <v>345.98160000000001</v>
      </c>
      <c r="H24">
        <v>-2.7675649999999998</v>
      </c>
      <c r="I24">
        <v>-7.9991678E-3</v>
      </c>
      <c r="J24">
        <v>-0.67699100000000001</v>
      </c>
      <c r="K24">
        <v>-1.4307005E-3</v>
      </c>
      <c r="L24">
        <v>453.79349999999999</v>
      </c>
      <c r="M24">
        <v>2.3215117E-2</v>
      </c>
      <c r="N24">
        <v>5.4869107E-3</v>
      </c>
      <c r="O24">
        <v>19.395</v>
      </c>
      <c r="P24">
        <v>-9.1794896999999997E-3</v>
      </c>
      <c r="Q24">
        <v>-2.1711731999999998E-3</v>
      </c>
      <c r="R24">
        <v>-0.17803620000000001</v>
      </c>
      <c r="S24">
        <v>10.53487</v>
      </c>
    </row>
    <row r="25" spans="1:19">
      <c r="A25" t="s">
        <v>22</v>
      </c>
      <c r="B25">
        <v>4384</v>
      </c>
      <c r="C25">
        <v>266.99970000000002</v>
      </c>
      <c r="D25">
        <v>87.416150000000002</v>
      </c>
      <c r="E25">
        <v>1.7538069999999999</v>
      </c>
      <c r="F25">
        <v>2.0062737000000001E-2</v>
      </c>
      <c r="G25">
        <v>179.5849</v>
      </c>
      <c r="H25">
        <v>-1.9896130000000001</v>
      </c>
      <c r="I25">
        <v>-1.1078957E-2</v>
      </c>
      <c r="J25">
        <v>-0.23580590000000001</v>
      </c>
      <c r="K25">
        <v>-8.8316917999999999E-4</v>
      </c>
      <c r="L25">
        <v>257.61880000000002</v>
      </c>
      <c r="M25">
        <v>2.5267126000000001E-2</v>
      </c>
      <c r="N25">
        <v>5.9175338000000003E-3</v>
      </c>
      <c r="O25">
        <v>9.3810009999999995</v>
      </c>
      <c r="P25">
        <v>-1.0045724000000001E-2</v>
      </c>
      <c r="Q25">
        <v>-2.3559737000000002E-3</v>
      </c>
      <c r="R25">
        <v>-9.4238952000000001E-2</v>
      </c>
      <c r="S25">
        <v>6.5092869999999996</v>
      </c>
    </row>
    <row r="26" spans="1:19">
      <c r="A26" t="s">
        <v>23</v>
      </c>
      <c r="B26">
        <v>4386</v>
      </c>
      <c r="C26">
        <v>472.53710000000001</v>
      </c>
      <c r="D26">
        <v>118.843</v>
      </c>
      <c r="E26">
        <v>1.7291570000000001</v>
      </c>
      <c r="F26">
        <v>1.4549931E-2</v>
      </c>
      <c r="G26">
        <v>353.69479999999999</v>
      </c>
      <c r="H26">
        <v>-2.8079000000000001</v>
      </c>
      <c r="I26">
        <v>-7.9387650000000004E-3</v>
      </c>
      <c r="J26">
        <v>-1.078743</v>
      </c>
      <c r="K26">
        <v>-2.2828737000000002E-3</v>
      </c>
      <c r="L26">
        <v>450.48329999999999</v>
      </c>
      <c r="M26">
        <v>2.3372675999999998E-2</v>
      </c>
      <c r="N26">
        <v>5.5241346999999998E-3</v>
      </c>
      <c r="O26">
        <v>22.053989999999999</v>
      </c>
      <c r="P26">
        <v>-9.4717256999999992E-3</v>
      </c>
      <c r="Q26">
        <v>-2.2461221000000002E-3</v>
      </c>
      <c r="R26">
        <v>-0.2088894</v>
      </c>
      <c r="S26">
        <v>10.529</v>
      </c>
    </row>
    <row r="27" spans="1:19">
      <c r="A27" t="s">
        <v>24</v>
      </c>
      <c r="B27">
        <v>4386</v>
      </c>
      <c r="C27">
        <v>480.72879999999998</v>
      </c>
      <c r="D27">
        <v>127.679</v>
      </c>
      <c r="E27">
        <v>2.028559</v>
      </c>
      <c r="F27">
        <v>1.5887954999999999E-2</v>
      </c>
      <c r="G27">
        <v>353.05040000000002</v>
      </c>
      <c r="H27">
        <v>-2.6949390000000002</v>
      </c>
      <c r="I27">
        <v>-7.6332982000000002E-3</v>
      </c>
      <c r="J27">
        <v>-0.66638019999999998</v>
      </c>
      <c r="K27">
        <v>-1.3861874E-3</v>
      </c>
      <c r="L27">
        <v>459.916</v>
      </c>
      <c r="M27">
        <v>2.3348540000000001E-2</v>
      </c>
      <c r="N27">
        <v>5.5153401999999997E-3</v>
      </c>
      <c r="O27">
        <v>20.812989999999999</v>
      </c>
      <c r="P27">
        <v>-9.1820163999999996E-3</v>
      </c>
      <c r="Q27">
        <v>-2.1716502999999999E-3</v>
      </c>
      <c r="R27">
        <v>-0.1911052</v>
      </c>
      <c r="S27">
        <v>10.73837</v>
      </c>
    </row>
    <row r="28" spans="1:19">
      <c r="A28" t="s">
        <v>25</v>
      </c>
      <c r="B28">
        <v>4396</v>
      </c>
      <c r="C28">
        <v>540.44830000000002</v>
      </c>
      <c r="D28">
        <v>123.3389</v>
      </c>
      <c r="E28">
        <v>1.8292740000000001</v>
      </c>
      <c r="F28">
        <v>1.4831286000000001E-2</v>
      </c>
      <c r="G28">
        <v>417.11070000000001</v>
      </c>
      <c r="H28">
        <v>-3.102007</v>
      </c>
      <c r="I28">
        <v>-7.4368919999999996E-3</v>
      </c>
      <c r="J28">
        <v>-1.2727329999999999</v>
      </c>
      <c r="K28">
        <v>-2.3549576000000002E-3</v>
      </c>
      <c r="L28">
        <v>520.3922</v>
      </c>
      <c r="M28">
        <v>2.2431932000000002E-2</v>
      </c>
      <c r="N28">
        <v>5.3157574000000001E-3</v>
      </c>
      <c r="O28">
        <v>20.056000000000001</v>
      </c>
      <c r="P28">
        <v>-1.5339716999999999E-2</v>
      </c>
      <c r="Q28">
        <v>-3.6194511000000001E-3</v>
      </c>
      <c r="R28">
        <v>-0.30765330000000002</v>
      </c>
      <c r="S28">
        <v>11.673400000000001</v>
      </c>
    </row>
    <row r="29" spans="1:19">
      <c r="A29" t="s">
        <v>26</v>
      </c>
      <c r="B29">
        <v>4496</v>
      </c>
      <c r="C29">
        <v>382.49810000000002</v>
      </c>
      <c r="D29">
        <v>57.535980000000002</v>
      </c>
      <c r="E29">
        <v>0.7247671</v>
      </c>
      <c r="F29">
        <v>1.2596764E-2</v>
      </c>
      <c r="G29">
        <v>324.9622</v>
      </c>
      <c r="H29">
        <v>-3.1722839999999999</v>
      </c>
      <c r="I29">
        <v>-9.7620104999999995E-3</v>
      </c>
      <c r="J29">
        <v>-2.4475169999999999</v>
      </c>
      <c r="K29">
        <v>-6.3987690999999999E-3</v>
      </c>
      <c r="L29">
        <v>369.1311</v>
      </c>
      <c r="M29">
        <v>2.9378351E-2</v>
      </c>
      <c r="N29">
        <v>6.9471257999999996E-3</v>
      </c>
      <c r="O29">
        <v>13.366989999999999</v>
      </c>
      <c r="P29">
        <v>-7.5369547E-3</v>
      </c>
      <c r="Q29">
        <v>-1.7990434000000001E-3</v>
      </c>
      <c r="R29">
        <v>-0.1007464</v>
      </c>
      <c r="S29">
        <v>10.84446</v>
      </c>
    </row>
    <row r="30" spans="1:19">
      <c r="A30" t="s">
        <v>27</v>
      </c>
      <c r="B30">
        <v>4616</v>
      </c>
      <c r="C30">
        <v>374.41129999999998</v>
      </c>
      <c r="D30">
        <v>84.287049999999994</v>
      </c>
      <c r="E30">
        <v>1.6611860000000001</v>
      </c>
      <c r="F30">
        <v>1.9708678E-2</v>
      </c>
      <c r="G30">
        <v>290.12479999999999</v>
      </c>
      <c r="H30">
        <v>-3.1559309999999998</v>
      </c>
      <c r="I30">
        <v>-1.0877843E-2</v>
      </c>
      <c r="J30">
        <v>-1.494745</v>
      </c>
      <c r="K30">
        <v>-3.9922548E-3</v>
      </c>
      <c r="L30">
        <v>316.46140000000003</v>
      </c>
      <c r="M30">
        <v>2.8530384999999998E-2</v>
      </c>
      <c r="N30">
        <v>6.7228330000000001E-3</v>
      </c>
      <c r="O30">
        <v>57.94997</v>
      </c>
      <c r="P30">
        <v>-1.2409158999999999E-2</v>
      </c>
      <c r="Q30">
        <v>-2.9471735000000002E-3</v>
      </c>
      <c r="R30">
        <v>-0.71911040000000004</v>
      </c>
      <c r="S30">
        <v>9.0287649999999999</v>
      </c>
    </row>
    <row r="31" spans="1:19">
      <c r="A31" t="s">
        <v>28</v>
      </c>
      <c r="B31">
        <v>4599</v>
      </c>
      <c r="C31">
        <v>220.45949999999999</v>
      </c>
      <c r="D31">
        <v>63.245989999999999</v>
      </c>
      <c r="E31">
        <v>1.391243</v>
      </c>
      <c r="F31">
        <v>2.1997327000000001E-2</v>
      </c>
      <c r="G31">
        <v>157.21420000000001</v>
      </c>
      <c r="H31">
        <v>-2.9250729999999998</v>
      </c>
      <c r="I31">
        <v>-1.8605651000000001E-2</v>
      </c>
      <c r="J31">
        <v>-1.53383</v>
      </c>
      <c r="K31">
        <v>-6.9574257000000004E-3</v>
      </c>
      <c r="L31">
        <v>216.00450000000001</v>
      </c>
      <c r="M31">
        <v>3.2586530000000002E-2</v>
      </c>
      <c r="N31">
        <v>7.6426039000000003E-3</v>
      </c>
      <c r="O31">
        <v>4.4549989999999999</v>
      </c>
      <c r="P31">
        <v>-6.0495719999999996E-3</v>
      </c>
      <c r="Q31">
        <v>-1.4184652999999999E-3</v>
      </c>
      <c r="R31">
        <v>-2.695084E-2</v>
      </c>
      <c r="S31">
        <v>7.0388380000000002</v>
      </c>
    </row>
    <row r="32" spans="1:19">
      <c r="A32" t="s">
        <v>29</v>
      </c>
      <c r="B32">
        <v>4600</v>
      </c>
      <c r="C32">
        <v>216.9453</v>
      </c>
      <c r="D32">
        <v>58.540970000000002</v>
      </c>
      <c r="E32">
        <v>1.3964270000000001</v>
      </c>
      <c r="F32">
        <v>2.3853837999999999E-2</v>
      </c>
      <c r="G32">
        <v>158.4051</v>
      </c>
      <c r="H32">
        <v>-2.8525830000000001</v>
      </c>
      <c r="I32">
        <v>-1.8008150000000001E-2</v>
      </c>
      <c r="J32">
        <v>-1.456156</v>
      </c>
      <c r="K32">
        <v>-6.7120901999999996E-3</v>
      </c>
      <c r="L32">
        <v>212.49039999999999</v>
      </c>
      <c r="M32">
        <v>3.3133253000000001E-2</v>
      </c>
      <c r="N32">
        <v>7.7624E-3</v>
      </c>
      <c r="O32">
        <v>4.4550000000000001</v>
      </c>
      <c r="P32">
        <v>-1.0189577999999999E-2</v>
      </c>
      <c r="Q32">
        <v>-2.3891879E-3</v>
      </c>
      <c r="R32">
        <v>-4.5394570000000002E-2</v>
      </c>
      <c r="S32">
        <v>7.0404970000000002</v>
      </c>
    </row>
    <row r="33" spans="1:19">
      <c r="A33" t="s">
        <v>30</v>
      </c>
      <c r="B33">
        <v>4599</v>
      </c>
      <c r="C33">
        <v>215.44929999999999</v>
      </c>
      <c r="D33">
        <v>57.318980000000003</v>
      </c>
      <c r="E33">
        <v>1.346414</v>
      </c>
      <c r="F33">
        <v>2.3489842E-2</v>
      </c>
      <c r="G33">
        <v>158.1311</v>
      </c>
      <c r="H33">
        <v>-2.8326129999999998</v>
      </c>
      <c r="I33">
        <v>-1.791307E-2</v>
      </c>
      <c r="J33">
        <v>-1.486199</v>
      </c>
      <c r="K33">
        <v>-6.8981405000000003E-3</v>
      </c>
      <c r="L33">
        <v>212.14330000000001</v>
      </c>
      <c r="M33">
        <v>3.2976795000000003E-2</v>
      </c>
      <c r="N33">
        <v>7.7301738999999998E-3</v>
      </c>
      <c r="O33">
        <v>3.3059989999999999</v>
      </c>
      <c r="P33">
        <v>-9.8363663999999993E-3</v>
      </c>
      <c r="Q33">
        <v>-2.3227871999999998E-3</v>
      </c>
      <c r="R33">
        <v>-3.2519020000000003E-2</v>
      </c>
      <c r="S33">
        <v>6.9958070000000001</v>
      </c>
    </row>
    <row r="34" spans="1:19">
      <c r="A34" t="s">
        <v>31</v>
      </c>
      <c r="B34">
        <v>10032</v>
      </c>
      <c r="C34">
        <v>926.00419999999997</v>
      </c>
      <c r="D34">
        <v>319.81020000000001</v>
      </c>
      <c r="E34">
        <v>2.847404</v>
      </c>
      <c r="F34">
        <v>8.9034176999999992E-3</v>
      </c>
      <c r="G34">
        <v>606.19669999999996</v>
      </c>
      <c r="H34">
        <v>-6.1107889999999996</v>
      </c>
      <c r="I34">
        <v>-1.0080540000000001E-2</v>
      </c>
      <c r="J34">
        <v>-3.263385</v>
      </c>
      <c r="K34">
        <v>-3.5241580999999999E-3</v>
      </c>
      <c r="L34">
        <v>807.48419999999999</v>
      </c>
      <c r="M34">
        <v>2.1433890000000001E-2</v>
      </c>
      <c r="N34">
        <v>5.0356495000000003E-3</v>
      </c>
      <c r="O34">
        <v>118.5201</v>
      </c>
      <c r="P34">
        <v>-8.3420621000000004E-3</v>
      </c>
      <c r="Q34">
        <v>-1.9893392000000002E-3</v>
      </c>
      <c r="R34">
        <v>-0.98870159999999996</v>
      </c>
      <c r="S34">
        <v>17.30753</v>
      </c>
    </row>
    <row r="35" spans="1:19">
      <c r="A35" t="s">
        <v>32</v>
      </c>
      <c r="B35">
        <v>10214</v>
      </c>
      <c r="C35">
        <v>1015.4930000000001</v>
      </c>
      <c r="D35">
        <v>312.96519999999998</v>
      </c>
      <c r="E35">
        <v>3.6446260000000001</v>
      </c>
      <c r="F35">
        <v>1.1645468000000001E-2</v>
      </c>
      <c r="G35">
        <v>702.53089999999997</v>
      </c>
      <c r="H35">
        <v>-7.0609279999999996</v>
      </c>
      <c r="I35">
        <v>-1.0050699999999999E-2</v>
      </c>
      <c r="J35">
        <v>-3.4163009999999998</v>
      </c>
      <c r="K35">
        <v>-3.3641816000000001E-3</v>
      </c>
      <c r="L35">
        <v>884.75760000000002</v>
      </c>
      <c r="M35">
        <v>2.2219457000000001E-2</v>
      </c>
      <c r="N35">
        <v>5.23677E-3</v>
      </c>
      <c r="O35">
        <v>130.73689999999999</v>
      </c>
      <c r="P35">
        <v>-1.0437851E-2</v>
      </c>
      <c r="Q35">
        <v>-2.4766104999999999E-3</v>
      </c>
      <c r="R35">
        <v>-1.3646119999999999</v>
      </c>
      <c r="S35">
        <v>19.658829999999998</v>
      </c>
    </row>
    <row r="36" spans="1:19">
      <c r="A36" t="s">
        <v>33</v>
      </c>
      <c r="B36">
        <v>10355</v>
      </c>
      <c r="C36">
        <v>1149.6500000000001</v>
      </c>
      <c r="D36">
        <v>449.98840000000001</v>
      </c>
      <c r="E36">
        <v>4.702172</v>
      </c>
      <c r="F36">
        <v>1.0449541E-2</v>
      </c>
      <c r="G36">
        <v>699.65890000000002</v>
      </c>
      <c r="H36">
        <v>-6.3852000000000002</v>
      </c>
      <c r="I36">
        <v>-9.1261611999999999E-3</v>
      </c>
      <c r="J36">
        <v>-1.683028</v>
      </c>
      <c r="K36">
        <v>-1.4639475999999999E-3</v>
      </c>
      <c r="L36">
        <v>962.86810000000003</v>
      </c>
      <c r="M36">
        <v>2.0074140000000001E-2</v>
      </c>
      <c r="N36">
        <v>4.6982858000000002E-3</v>
      </c>
      <c r="O36">
        <v>186.78049999999999</v>
      </c>
      <c r="P36">
        <v>-1.2649839E-2</v>
      </c>
      <c r="Q36">
        <v>-2.9984057999999998E-3</v>
      </c>
      <c r="R36">
        <v>-2.3627440000000002</v>
      </c>
      <c r="S36">
        <v>19.328749999999999</v>
      </c>
    </row>
  </sheetData>
  <phoneticPr fontId="0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88"/>
  <dimension ref="A1:S36"/>
  <sheetViews>
    <sheetView zoomScaleNormal="100"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149.3039</v>
      </c>
      <c r="D2">
        <v>50.302970000000002</v>
      </c>
      <c r="E2">
        <v>0.61848119999999995</v>
      </c>
      <c r="F2">
        <v>1.2295123E-2</v>
      </c>
      <c r="G2">
        <v>99.000900000000001</v>
      </c>
      <c r="H2">
        <v>-1.134501</v>
      </c>
      <c r="I2">
        <v>-1.1459501E-2</v>
      </c>
      <c r="J2">
        <v>-0.51601980000000003</v>
      </c>
      <c r="K2">
        <v>-3.4561709E-3</v>
      </c>
      <c r="L2">
        <v>127.271</v>
      </c>
      <c r="M2">
        <v>2.8593416999999999E-2</v>
      </c>
      <c r="N2">
        <v>6.6895434000000002E-3</v>
      </c>
      <c r="O2">
        <v>22.032990000000002</v>
      </c>
      <c r="P2">
        <v>-1.5322379000000001E-2</v>
      </c>
      <c r="Q2">
        <v>-3.6300845000000002E-3</v>
      </c>
      <c r="R2">
        <v>-0.3375978</v>
      </c>
      <c r="S2">
        <v>3.6391119999999999</v>
      </c>
    </row>
    <row r="3" spans="1:19">
      <c r="A3" t="s">
        <v>1</v>
      </c>
      <c r="B3">
        <v>1248</v>
      </c>
      <c r="C3">
        <v>167.3997</v>
      </c>
      <c r="D3">
        <v>40.74803</v>
      </c>
      <c r="E3">
        <v>0.64581869999999997</v>
      </c>
      <c r="F3">
        <v>1.5849077999999999E-2</v>
      </c>
      <c r="G3">
        <v>126.6519</v>
      </c>
      <c r="H3">
        <v>-1.3371679999999999</v>
      </c>
      <c r="I3">
        <v>-1.0557819E-2</v>
      </c>
      <c r="J3">
        <v>-0.69134899999999999</v>
      </c>
      <c r="K3">
        <v>-4.1299298999999999E-3</v>
      </c>
      <c r="L3">
        <v>125.5879</v>
      </c>
      <c r="M3">
        <v>2.7926258999999998E-2</v>
      </c>
      <c r="N3">
        <v>6.5310964999999999E-3</v>
      </c>
      <c r="O3">
        <v>41.811999999999998</v>
      </c>
      <c r="P3">
        <v>-1.1328948E-2</v>
      </c>
      <c r="Q3">
        <v>-2.6913977000000001E-3</v>
      </c>
      <c r="R3">
        <v>-0.473686</v>
      </c>
      <c r="S3">
        <v>3.507199</v>
      </c>
    </row>
    <row r="4" spans="1:19">
      <c r="A4" t="s">
        <v>2</v>
      </c>
      <c r="B4">
        <v>2468</v>
      </c>
      <c r="C4">
        <v>311.79450000000003</v>
      </c>
      <c r="D4">
        <v>89.433989999999994</v>
      </c>
      <c r="E4">
        <v>1.5831200000000001</v>
      </c>
      <c r="F4">
        <v>1.7701544E-2</v>
      </c>
      <c r="G4">
        <v>222.3604</v>
      </c>
      <c r="H4">
        <v>-2.9433379999999998</v>
      </c>
      <c r="I4">
        <v>-1.3236790999999999E-2</v>
      </c>
      <c r="J4">
        <v>-1.3602179999999999</v>
      </c>
      <c r="K4">
        <v>-4.3625473000000001E-3</v>
      </c>
      <c r="L4">
        <v>293.2167</v>
      </c>
      <c r="M4">
        <v>2.8679485000000001E-2</v>
      </c>
      <c r="N4">
        <v>6.7220661000000001E-3</v>
      </c>
      <c r="O4">
        <v>18.577999999999999</v>
      </c>
      <c r="P4">
        <v>-1.6193039999999999E-2</v>
      </c>
      <c r="Q4">
        <v>-3.8568488999999998E-3</v>
      </c>
      <c r="R4">
        <v>-0.3008342</v>
      </c>
      <c r="S4">
        <v>8.4093049999999998</v>
      </c>
    </row>
    <row r="5" spans="1:19">
      <c r="A5" t="s">
        <v>3</v>
      </c>
      <c r="B5">
        <v>993</v>
      </c>
      <c r="C5">
        <v>82.311089999999993</v>
      </c>
      <c r="D5">
        <v>39.940010000000001</v>
      </c>
      <c r="E5">
        <v>0.26982810000000002</v>
      </c>
      <c r="F5">
        <v>6.7558334999999999E-3</v>
      </c>
      <c r="G5">
        <v>42.371000000000002</v>
      </c>
      <c r="H5">
        <v>-0.50737860000000001</v>
      </c>
      <c r="I5">
        <v>-1.1974668000000001E-2</v>
      </c>
      <c r="J5">
        <v>-0.2375506</v>
      </c>
      <c r="K5">
        <v>-2.8860092000000002E-3</v>
      </c>
      <c r="L5">
        <v>77.370090000000005</v>
      </c>
      <c r="M5">
        <v>1.8503795999999999E-2</v>
      </c>
      <c r="N5">
        <v>4.3251979999999997E-3</v>
      </c>
      <c r="O5">
        <v>4.9409999999999998</v>
      </c>
      <c r="P5">
        <v>-1.3116081E-2</v>
      </c>
      <c r="Q5">
        <v>-3.0860265000000001E-3</v>
      </c>
      <c r="R5">
        <v>-6.4806558E-2</v>
      </c>
      <c r="S5">
        <v>1.4316409999999999</v>
      </c>
    </row>
    <row r="6" spans="1:19">
      <c r="A6" t="s">
        <v>4</v>
      </c>
      <c r="B6">
        <v>994</v>
      </c>
      <c r="C6">
        <v>78.308109999999999</v>
      </c>
      <c r="D6">
        <v>30.37501</v>
      </c>
      <c r="E6">
        <v>0.29099510000000001</v>
      </c>
      <c r="F6">
        <v>9.5800812999999995E-3</v>
      </c>
      <c r="G6">
        <v>47.933010000000003</v>
      </c>
      <c r="H6">
        <v>-0.51650759999999996</v>
      </c>
      <c r="I6">
        <v>-1.0775615000000001E-2</v>
      </c>
      <c r="J6">
        <v>-0.2255125</v>
      </c>
      <c r="K6">
        <v>-2.8798105000000002E-3</v>
      </c>
      <c r="L6">
        <v>75.034099999999995</v>
      </c>
      <c r="M6">
        <v>2.0423118000000001E-2</v>
      </c>
      <c r="N6">
        <v>4.7739260000000004E-3</v>
      </c>
      <c r="O6">
        <v>3.274</v>
      </c>
      <c r="P6">
        <v>-1.1226305000000001E-2</v>
      </c>
      <c r="Q6">
        <v>-2.6253514999999999E-3</v>
      </c>
      <c r="R6">
        <v>-3.6754921000000003E-2</v>
      </c>
      <c r="S6">
        <v>1.53243</v>
      </c>
    </row>
    <row r="7" spans="1:19">
      <c r="A7" t="s">
        <v>5</v>
      </c>
      <c r="B7">
        <v>1001</v>
      </c>
      <c r="C7">
        <v>85.179180000000002</v>
      </c>
      <c r="D7">
        <v>43.982010000000002</v>
      </c>
      <c r="E7">
        <v>0.24146670000000001</v>
      </c>
      <c r="F7">
        <v>5.4901246999999997E-3</v>
      </c>
      <c r="G7">
        <v>41.197009999999999</v>
      </c>
      <c r="H7">
        <v>-0.51499470000000003</v>
      </c>
      <c r="I7">
        <v>-1.2500781000000001E-2</v>
      </c>
      <c r="J7">
        <v>-0.27352799999999999</v>
      </c>
      <c r="K7">
        <v>-3.2112074999999999E-3</v>
      </c>
      <c r="L7">
        <v>81.69614</v>
      </c>
      <c r="M7">
        <v>1.8570237E-2</v>
      </c>
      <c r="N7">
        <v>4.3470389E-3</v>
      </c>
      <c r="O7">
        <v>3.4830000000000001</v>
      </c>
      <c r="P7">
        <v>-1.2984795E-2</v>
      </c>
      <c r="Q7">
        <v>-3.0150687999999999E-3</v>
      </c>
      <c r="R7">
        <v>-4.5226033999999998E-2</v>
      </c>
      <c r="S7">
        <v>1.517117</v>
      </c>
    </row>
    <row r="8" spans="1:19">
      <c r="A8" t="s">
        <v>6</v>
      </c>
      <c r="B8">
        <v>1001</v>
      </c>
      <c r="C8">
        <v>85.157169999999994</v>
      </c>
      <c r="D8">
        <v>40.031019999999998</v>
      </c>
      <c r="E8">
        <v>0.29897030000000002</v>
      </c>
      <c r="F8">
        <v>7.4684670999999999E-3</v>
      </c>
      <c r="G8">
        <v>45.126010000000001</v>
      </c>
      <c r="H8">
        <v>-0.50523220000000002</v>
      </c>
      <c r="I8">
        <v>-1.1196028E-2</v>
      </c>
      <c r="J8">
        <v>-0.2062618</v>
      </c>
      <c r="K8">
        <v>-2.4221311000000001E-3</v>
      </c>
      <c r="L8">
        <v>80.252120000000005</v>
      </c>
      <c r="M8">
        <v>1.8677427999999999E-2</v>
      </c>
      <c r="N8">
        <v>4.3699801999999999E-3</v>
      </c>
      <c r="O8">
        <v>4.9050010000000004</v>
      </c>
      <c r="P8">
        <v>-1.2367271000000001E-2</v>
      </c>
      <c r="Q8">
        <v>-2.8886416000000002E-3</v>
      </c>
      <c r="R8">
        <v>-6.0661472000000001E-2</v>
      </c>
      <c r="S8">
        <v>1.4989030000000001</v>
      </c>
    </row>
    <row r="9" spans="1:19">
      <c r="A9" t="s">
        <v>7</v>
      </c>
      <c r="B9">
        <v>1305</v>
      </c>
      <c r="C9">
        <v>94.887249999999995</v>
      </c>
      <c r="D9">
        <v>37.660020000000003</v>
      </c>
      <c r="E9">
        <v>0.44503749999999997</v>
      </c>
      <c r="F9">
        <v>1.1817240999999999E-2</v>
      </c>
      <c r="G9">
        <v>57.226990000000001</v>
      </c>
      <c r="H9">
        <v>-0.64278480000000005</v>
      </c>
      <c r="I9">
        <v>-1.1232196999999999E-2</v>
      </c>
      <c r="J9">
        <v>-0.19774729999999999</v>
      </c>
      <c r="K9">
        <v>-2.0840243E-3</v>
      </c>
      <c r="L9">
        <v>88.270179999999996</v>
      </c>
      <c r="M9">
        <v>2.3334484999999999E-2</v>
      </c>
      <c r="N9">
        <v>5.4490453999999997E-3</v>
      </c>
      <c r="O9">
        <v>6.617</v>
      </c>
      <c r="P9">
        <v>-1.0994657E-2</v>
      </c>
      <c r="Q9">
        <v>-2.5982730999999999E-3</v>
      </c>
      <c r="R9">
        <v>-7.2751649000000002E-2</v>
      </c>
      <c r="S9">
        <v>2.059739</v>
      </c>
    </row>
    <row r="10" spans="1:19">
      <c r="A10" t="s">
        <v>8</v>
      </c>
      <c r="B10">
        <v>1309</v>
      </c>
      <c r="C10">
        <v>92.348219999999998</v>
      </c>
      <c r="D10">
        <v>38.66901</v>
      </c>
      <c r="E10">
        <v>0.53264330000000004</v>
      </c>
      <c r="F10">
        <v>1.3774422999999999E-2</v>
      </c>
      <c r="G10">
        <v>53.678989999999999</v>
      </c>
      <c r="H10">
        <v>-0.69112589999999996</v>
      </c>
      <c r="I10">
        <v>-1.2875166E-2</v>
      </c>
      <c r="J10">
        <v>-0.1584827</v>
      </c>
      <c r="K10">
        <v>-1.7161421E-3</v>
      </c>
      <c r="L10">
        <v>90.025199999999998</v>
      </c>
      <c r="M10">
        <v>2.2959576999999998E-2</v>
      </c>
      <c r="N10">
        <v>5.3686769999999997E-3</v>
      </c>
      <c r="O10">
        <v>2.323</v>
      </c>
      <c r="P10">
        <v>-9.9822934999999995E-3</v>
      </c>
      <c r="Q10">
        <v>-2.3188865999999998E-3</v>
      </c>
      <c r="R10">
        <v>-2.3188866999999998E-2</v>
      </c>
      <c r="S10">
        <v>2.0669409999999999</v>
      </c>
    </row>
    <row r="11" spans="1:19">
      <c r="A11" t="s">
        <v>9</v>
      </c>
      <c r="B11">
        <v>951</v>
      </c>
      <c r="C11">
        <v>85.781139999999994</v>
      </c>
      <c r="D11">
        <v>21.67801</v>
      </c>
      <c r="E11">
        <v>0.19985149999999999</v>
      </c>
      <c r="F11">
        <v>9.2190867000000003E-3</v>
      </c>
      <c r="G11">
        <v>64.102940000000004</v>
      </c>
      <c r="H11">
        <v>-0.73615520000000001</v>
      </c>
      <c r="I11">
        <v>-1.1483953E-2</v>
      </c>
      <c r="J11">
        <v>-0.5363038</v>
      </c>
      <c r="K11">
        <v>-6.2520005999999999E-3</v>
      </c>
      <c r="L11">
        <v>79.013080000000002</v>
      </c>
      <c r="M11">
        <v>1.9067707E-2</v>
      </c>
      <c r="N11">
        <v>4.4573918000000001E-3</v>
      </c>
      <c r="O11">
        <v>6.7679999999999998</v>
      </c>
      <c r="P11">
        <v>-7.2346032000000001E-3</v>
      </c>
      <c r="Q11">
        <v>-1.6884067E-3</v>
      </c>
      <c r="R11">
        <v>-4.8963792999999999E-2</v>
      </c>
      <c r="S11">
        <v>1.5065980000000001</v>
      </c>
    </row>
    <row r="12" spans="1:19">
      <c r="A12" t="s">
        <v>10</v>
      </c>
      <c r="B12">
        <v>956</v>
      </c>
      <c r="C12">
        <v>83.748140000000006</v>
      </c>
      <c r="D12">
        <v>21.501010000000001</v>
      </c>
      <c r="E12">
        <v>0.2060535</v>
      </c>
      <c r="F12">
        <v>9.5834349999999995E-3</v>
      </c>
      <c r="G12">
        <v>62.246960000000001</v>
      </c>
      <c r="H12">
        <v>-0.74118539999999999</v>
      </c>
      <c r="I12">
        <v>-1.1907173E-2</v>
      </c>
      <c r="J12">
        <v>-0.53513189999999999</v>
      </c>
      <c r="K12">
        <v>-6.3897761999999999E-3</v>
      </c>
      <c r="L12">
        <v>77.428089999999997</v>
      </c>
      <c r="M12">
        <v>1.8987601999999999E-2</v>
      </c>
      <c r="N12">
        <v>4.4416118999999997E-3</v>
      </c>
      <c r="O12">
        <v>6.3199990000000001</v>
      </c>
      <c r="P12">
        <v>-7.2572892999999998E-3</v>
      </c>
      <c r="Q12">
        <v>-1.698743E-3</v>
      </c>
      <c r="R12">
        <v>-4.5866061E-2</v>
      </c>
      <c r="S12">
        <v>1.4701740000000001</v>
      </c>
    </row>
    <row r="13" spans="1:19">
      <c r="A13" t="s">
        <v>11</v>
      </c>
      <c r="B13">
        <v>957</v>
      </c>
      <c r="C13">
        <v>86.966160000000002</v>
      </c>
      <c r="D13">
        <v>29.188020000000002</v>
      </c>
      <c r="E13">
        <v>0.39775500000000003</v>
      </c>
      <c r="F13">
        <v>1.3627337999999999E-2</v>
      </c>
      <c r="G13">
        <v>57.777970000000003</v>
      </c>
      <c r="H13">
        <v>-0.69430270000000005</v>
      </c>
      <c r="I13">
        <v>-1.2016737E-2</v>
      </c>
      <c r="J13">
        <v>-0.29654770000000003</v>
      </c>
      <c r="K13">
        <v>-3.4099205E-3</v>
      </c>
      <c r="L13">
        <v>82.768119999999996</v>
      </c>
      <c r="M13">
        <v>2.0089941E-2</v>
      </c>
      <c r="N13">
        <v>4.6971939000000004E-3</v>
      </c>
      <c r="O13">
        <v>4.1979990000000003</v>
      </c>
      <c r="P13">
        <v>-7.4323610999999998E-3</v>
      </c>
      <c r="Q13">
        <v>-1.7333915000000001E-3</v>
      </c>
      <c r="R13">
        <v>-3.1201047999999999E-2</v>
      </c>
      <c r="S13">
        <v>1.6628069999999999</v>
      </c>
    </row>
    <row r="14" spans="1:19">
      <c r="A14" t="s">
        <v>12</v>
      </c>
      <c r="B14">
        <v>1894</v>
      </c>
      <c r="C14">
        <v>295.6506</v>
      </c>
      <c r="D14">
        <v>107.97110000000001</v>
      </c>
      <c r="E14">
        <v>1.0416129999999999</v>
      </c>
      <c r="F14">
        <v>9.6471477000000007E-3</v>
      </c>
      <c r="G14">
        <v>187.6797</v>
      </c>
      <c r="H14">
        <v>-1.6688259999999999</v>
      </c>
      <c r="I14">
        <v>-8.8918824000000004E-3</v>
      </c>
      <c r="J14">
        <v>-0.62721309999999997</v>
      </c>
      <c r="K14">
        <v>-2.1214673999999998E-3</v>
      </c>
      <c r="L14">
        <v>270.68860000000001</v>
      </c>
      <c r="M14">
        <v>1.8766901999999999E-2</v>
      </c>
      <c r="N14">
        <v>4.4135423E-3</v>
      </c>
      <c r="O14">
        <v>24.962</v>
      </c>
      <c r="P14">
        <v>-8.1003010000000007E-3</v>
      </c>
      <c r="Q14">
        <v>-1.9075445999999999E-3</v>
      </c>
      <c r="R14">
        <v>-0.20219970000000001</v>
      </c>
      <c r="S14">
        <v>5.079987</v>
      </c>
    </row>
    <row r="15" spans="1:19">
      <c r="A15" t="s">
        <v>13</v>
      </c>
      <c r="B15">
        <v>2192</v>
      </c>
      <c r="C15">
        <v>176.21109999999999</v>
      </c>
      <c r="D15">
        <v>48.213000000000001</v>
      </c>
      <c r="E15">
        <v>0.89301249999999999</v>
      </c>
      <c r="F15">
        <v>1.8522236000000001E-2</v>
      </c>
      <c r="G15">
        <v>127.99850000000001</v>
      </c>
      <c r="H15">
        <v>-1.4713590000000001</v>
      </c>
      <c r="I15">
        <v>-1.1495127000000001E-2</v>
      </c>
      <c r="J15">
        <v>-0.57834680000000005</v>
      </c>
      <c r="K15">
        <v>-3.2821253E-3</v>
      </c>
      <c r="L15">
        <v>166.36709999999999</v>
      </c>
      <c r="M15">
        <v>2.4527136000000001E-2</v>
      </c>
      <c r="N15">
        <v>5.7310518000000003E-3</v>
      </c>
      <c r="O15">
        <v>9.8440010000000004</v>
      </c>
      <c r="P15">
        <v>-1.1285681000000001E-2</v>
      </c>
      <c r="Q15">
        <v>-2.6451488999999998E-3</v>
      </c>
      <c r="R15">
        <v>-0.1110963</v>
      </c>
      <c r="S15">
        <v>4.0805090000000002</v>
      </c>
    </row>
    <row r="16" spans="1:19">
      <c r="A16" t="s">
        <v>14</v>
      </c>
      <c r="B16">
        <v>2192</v>
      </c>
      <c r="C16">
        <v>178.13509999999999</v>
      </c>
      <c r="D16">
        <v>45.015009999999997</v>
      </c>
      <c r="E16">
        <v>0.81427360000000004</v>
      </c>
      <c r="F16">
        <v>1.8088936999999999E-2</v>
      </c>
      <c r="G16">
        <v>133.12049999999999</v>
      </c>
      <c r="H16">
        <v>-1.473034</v>
      </c>
      <c r="I16">
        <v>-1.1065424000000001E-2</v>
      </c>
      <c r="J16">
        <v>-0.65876069999999998</v>
      </c>
      <c r="K16">
        <v>-3.6980951999999998E-3</v>
      </c>
      <c r="L16">
        <v>166.82910000000001</v>
      </c>
      <c r="M16">
        <v>2.4492737000000001E-2</v>
      </c>
      <c r="N16">
        <v>5.7228315E-3</v>
      </c>
      <c r="O16">
        <v>11.305999999999999</v>
      </c>
      <c r="P16">
        <v>-1.0425202E-2</v>
      </c>
      <c r="Q16">
        <v>-2.4555693E-3</v>
      </c>
      <c r="R16">
        <v>-0.11786729999999999</v>
      </c>
      <c r="S16">
        <v>4.0861020000000003</v>
      </c>
    </row>
    <row r="17" spans="1:19">
      <c r="A17" t="s">
        <v>15</v>
      </c>
      <c r="B17">
        <v>2201</v>
      </c>
      <c r="C17">
        <v>176.81610000000001</v>
      </c>
      <c r="D17">
        <v>57.189979999999998</v>
      </c>
      <c r="E17">
        <v>0.87624009999999997</v>
      </c>
      <c r="F17">
        <v>1.5321568000000001E-2</v>
      </c>
      <c r="G17">
        <v>119.62649999999999</v>
      </c>
      <c r="H17">
        <v>-1.3851249999999999</v>
      </c>
      <c r="I17">
        <v>-1.1578747E-2</v>
      </c>
      <c r="J17">
        <v>-0.50888440000000001</v>
      </c>
      <c r="K17">
        <v>-2.8780430999999999E-3</v>
      </c>
      <c r="L17">
        <v>162.47720000000001</v>
      </c>
      <c r="M17">
        <v>2.5365538999999999E-2</v>
      </c>
      <c r="N17">
        <v>5.9299599000000001E-3</v>
      </c>
      <c r="O17">
        <v>14.339</v>
      </c>
      <c r="P17">
        <v>-1.2120519999999999E-2</v>
      </c>
      <c r="Q17">
        <v>-2.8491166999999999E-3</v>
      </c>
      <c r="R17">
        <v>-0.17379610000000001</v>
      </c>
      <c r="S17">
        <v>4.1213220000000002</v>
      </c>
    </row>
    <row r="18" spans="1:19">
      <c r="A18" t="s">
        <v>16</v>
      </c>
      <c r="B18">
        <v>4326</v>
      </c>
      <c r="C18">
        <v>430.83730000000003</v>
      </c>
      <c r="D18">
        <v>109.30289999999999</v>
      </c>
      <c r="E18">
        <v>1.701535</v>
      </c>
      <c r="F18">
        <v>1.5567146E-2</v>
      </c>
      <c r="G18">
        <v>321.53449999999998</v>
      </c>
      <c r="H18">
        <v>-2.6101480000000001</v>
      </c>
      <c r="I18">
        <v>-8.1177847000000001E-3</v>
      </c>
      <c r="J18">
        <v>-0.90861320000000001</v>
      </c>
      <c r="K18">
        <v>-2.1089476000000001E-3</v>
      </c>
      <c r="L18">
        <v>410.83010000000002</v>
      </c>
      <c r="M18">
        <v>2.3474583E-2</v>
      </c>
      <c r="N18">
        <v>5.5362032999999996E-3</v>
      </c>
      <c r="O18">
        <v>20.007000000000001</v>
      </c>
      <c r="P18">
        <v>-9.1400361000000003E-3</v>
      </c>
      <c r="Q18">
        <v>-2.1513490999999999E-3</v>
      </c>
      <c r="R18">
        <v>-0.18286469999999999</v>
      </c>
      <c r="S18">
        <v>9.6440660000000005</v>
      </c>
    </row>
    <row r="19" spans="1:19">
      <c r="A19" t="s">
        <v>17</v>
      </c>
      <c r="B19">
        <v>4366</v>
      </c>
      <c r="C19">
        <v>438.25259999999997</v>
      </c>
      <c r="D19">
        <v>116.8331</v>
      </c>
      <c r="E19">
        <v>1.887864</v>
      </c>
      <c r="F19">
        <v>1.6158644E-2</v>
      </c>
      <c r="G19">
        <v>321.42009999999999</v>
      </c>
      <c r="H19">
        <v>-2.565995</v>
      </c>
      <c r="I19">
        <v>-7.9833063999999992E-3</v>
      </c>
      <c r="J19">
        <v>-0.67813120000000005</v>
      </c>
      <c r="K19">
        <v>-1.5473523E-3</v>
      </c>
      <c r="L19">
        <v>419.55360000000002</v>
      </c>
      <c r="M19">
        <v>2.3051133000000001E-2</v>
      </c>
      <c r="N19">
        <v>5.4363053999999999E-3</v>
      </c>
      <c r="O19">
        <v>18.699000000000002</v>
      </c>
      <c r="P19">
        <v>-9.6501847999999994E-3</v>
      </c>
      <c r="Q19">
        <v>-2.2841615E-3</v>
      </c>
      <c r="R19">
        <v>-0.18044879999999999</v>
      </c>
      <c r="S19">
        <v>9.6711869999999998</v>
      </c>
    </row>
    <row r="20" spans="1:19">
      <c r="A20" t="s">
        <v>18</v>
      </c>
      <c r="B20">
        <v>4368</v>
      </c>
      <c r="C20">
        <v>441.57749999999999</v>
      </c>
      <c r="D20">
        <v>115.992</v>
      </c>
      <c r="E20">
        <v>1.906102</v>
      </c>
      <c r="F20">
        <v>1.6433043000000001E-2</v>
      </c>
      <c r="G20">
        <v>325.58620000000002</v>
      </c>
      <c r="H20">
        <v>-2.5971489999999999</v>
      </c>
      <c r="I20">
        <v>-7.9768411999999993E-3</v>
      </c>
      <c r="J20">
        <v>-0.69104719999999997</v>
      </c>
      <c r="K20">
        <v>-1.5649513000000001E-3</v>
      </c>
      <c r="L20">
        <v>422.65429999999998</v>
      </c>
      <c r="M20">
        <v>2.3184517000000002E-2</v>
      </c>
      <c r="N20">
        <v>5.4743225E-3</v>
      </c>
      <c r="O20">
        <v>18.922989999999999</v>
      </c>
      <c r="P20">
        <v>-9.6104080000000008E-3</v>
      </c>
      <c r="Q20">
        <v>-2.2732210000000002E-3</v>
      </c>
      <c r="R20">
        <v>-0.18185770000000001</v>
      </c>
      <c r="S20">
        <v>9.7990370000000002</v>
      </c>
    </row>
    <row r="21" spans="1:19">
      <c r="A21" t="s">
        <v>19</v>
      </c>
      <c r="B21">
        <v>4368</v>
      </c>
      <c r="C21">
        <v>438.7072</v>
      </c>
      <c r="D21">
        <v>113.708</v>
      </c>
      <c r="E21">
        <v>1.638701</v>
      </c>
      <c r="F21">
        <v>1.4411491E-2</v>
      </c>
      <c r="G21">
        <v>324.99919999999997</v>
      </c>
      <c r="H21">
        <v>-2.5681780000000001</v>
      </c>
      <c r="I21">
        <v>-7.9021062999999996E-3</v>
      </c>
      <c r="J21">
        <v>-0.929477</v>
      </c>
      <c r="K21">
        <v>-2.1186727000000001E-3</v>
      </c>
      <c r="L21">
        <v>418.10199999999998</v>
      </c>
      <c r="M21">
        <v>2.3083208000000001E-2</v>
      </c>
      <c r="N21">
        <v>5.4526185E-3</v>
      </c>
      <c r="O21">
        <v>20.604990000000001</v>
      </c>
      <c r="P21">
        <v>-9.3157551999999994E-3</v>
      </c>
      <c r="Q21">
        <v>-2.2063338999999999E-3</v>
      </c>
      <c r="R21">
        <v>-0.19195110000000001</v>
      </c>
      <c r="S21">
        <v>9.6511340000000008</v>
      </c>
    </row>
    <row r="22" spans="1:19">
      <c r="A22" t="s">
        <v>20</v>
      </c>
      <c r="B22">
        <v>4376</v>
      </c>
      <c r="C22">
        <v>436.04450000000003</v>
      </c>
      <c r="D22">
        <v>116.40009999999999</v>
      </c>
      <c r="E22">
        <v>1.9082220000000001</v>
      </c>
      <c r="F22">
        <v>1.6393654000000001E-2</v>
      </c>
      <c r="G22">
        <v>319.64499999999998</v>
      </c>
      <c r="H22">
        <v>-2.5724649999999998</v>
      </c>
      <c r="I22">
        <v>-8.0478796999999998E-3</v>
      </c>
      <c r="J22">
        <v>-0.66424229999999995</v>
      </c>
      <c r="K22">
        <v>-1.5233359000000001E-3</v>
      </c>
      <c r="L22">
        <v>416.67360000000002</v>
      </c>
      <c r="M22">
        <v>2.3251465999999998E-2</v>
      </c>
      <c r="N22">
        <v>5.4859975E-3</v>
      </c>
      <c r="O22">
        <v>19.370989999999999</v>
      </c>
      <c r="P22">
        <v>-9.3100023999999997E-3</v>
      </c>
      <c r="Q22">
        <v>-2.1993171000000001E-3</v>
      </c>
      <c r="R22">
        <v>-0.180344</v>
      </c>
      <c r="S22">
        <v>9.6882719999999996</v>
      </c>
    </row>
    <row r="23" spans="1:19">
      <c r="A23" t="s">
        <v>21</v>
      </c>
      <c r="B23">
        <v>4382</v>
      </c>
      <c r="C23">
        <v>444.29860000000002</v>
      </c>
      <c r="D23">
        <v>113.23699999999999</v>
      </c>
      <c r="E23">
        <v>1.680213</v>
      </c>
      <c r="F23">
        <v>1.4838021E-2</v>
      </c>
      <c r="G23">
        <v>331.06130000000002</v>
      </c>
      <c r="H23">
        <v>-2.498821</v>
      </c>
      <c r="I23">
        <v>-7.5479108E-3</v>
      </c>
      <c r="J23">
        <v>-0.81860829999999996</v>
      </c>
      <c r="K23">
        <v>-1.8424731999999999E-3</v>
      </c>
      <c r="L23">
        <v>424.87759999999997</v>
      </c>
      <c r="M23">
        <v>2.2939872E-2</v>
      </c>
      <c r="N23">
        <v>5.4117920999999999E-3</v>
      </c>
      <c r="O23">
        <v>19.42099</v>
      </c>
      <c r="P23">
        <v>-9.4290702000000004E-3</v>
      </c>
      <c r="Q23">
        <v>-2.2331934999999998E-3</v>
      </c>
      <c r="R23">
        <v>-0.1831219</v>
      </c>
      <c r="S23">
        <v>9.7466369999999998</v>
      </c>
    </row>
    <row r="24" spans="1:19">
      <c r="A24" t="s">
        <v>34</v>
      </c>
      <c r="B24">
        <v>4382</v>
      </c>
      <c r="C24">
        <v>438.26839999999999</v>
      </c>
      <c r="D24">
        <v>117.029</v>
      </c>
      <c r="E24">
        <v>1.96261</v>
      </c>
      <c r="F24">
        <v>1.677029E-2</v>
      </c>
      <c r="G24">
        <v>321.23970000000003</v>
      </c>
      <c r="H24">
        <v>-2.5913029999999999</v>
      </c>
      <c r="I24">
        <v>-8.0665722000000002E-3</v>
      </c>
      <c r="J24">
        <v>-0.62869269999999999</v>
      </c>
      <c r="K24">
        <v>-1.4344925000000001E-3</v>
      </c>
      <c r="L24">
        <v>420.57209999999998</v>
      </c>
      <c r="M24">
        <v>2.3166539E-2</v>
      </c>
      <c r="N24">
        <v>5.4644988999999998E-3</v>
      </c>
      <c r="O24">
        <v>17.695989999999998</v>
      </c>
      <c r="P24">
        <v>-9.3035511999999994E-3</v>
      </c>
      <c r="Q24">
        <v>-2.1951409999999998E-3</v>
      </c>
      <c r="R24">
        <v>-0.16463559999999999</v>
      </c>
      <c r="S24">
        <v>9.7432009999999991</v>
      </c>
    </row>
    <row r="25" spans="1:19">
      <c r="A25" t="s">
        <v>22</v>
      </c>
      <c r="B25">
        <v>4384</v>
      </c>
      <c r="C25">
        <v>241.2996</v>
      </c>
      <c r="D25">
        <v>79.525090000000006</v>
      </c>
      <c r="E25">
        <v>1.6022369999999999</v>
      </c>
      <c r="F25">
        <v>2.0147564E-2</v>
      </c>
      <c r="G25">
        <v>161.77500000000001</v>
      </c>
      <c r="H25">
        <v>-1.776948</v>
      </c>
      <c r="I25">
        <v>-1.0984069000000001E-2</v>
      </c>
      <c r="J25">
        <v>-0.17471110000000001</v>
      </c>
      <c r="K25">
        <v>-7.2404217999999998E-4</v>
      </c>
      <c r="L25">
        <v>232.40960000000001</v>
      </c>
      <c r="M25">
        <v>2.5023688999999998E-2</v>
      </c>
      <c r="N25">
        <v>5.8508520000000001E-3</v>
      </c>
      <c r="O25">
        <v>8.89</v>
      </c>
      <c r="P25">
        <v>-9.8514007000000004E-3</v>
      </c>
      <c r="Q25">
        <v>-2.3047095E-3</v>
      </c>
      <c r="R25">
        <v>-8.7578959999999997E-2</v>
      </c>
      <c r="S25">
        <v>5.815747</v>
      </c>
    </row>
    <row r="26" spans="1:19">
      <c r="A26" t="s">
        <v>23</v>
      </c>
      <c r="B26">
        <v>4386</v>
      </c>
      <c r="C26">
        <v>435.74090000000001</v>
      </c>
      <c r="D26">
        <v>109.774</v>
      </c>
      <c r="E26">
        <v>1.6070549999999999</v>
      </c>
      <c r="F26">
        <v>1.4639664E-2</v>
      </c>
      <c r="G26">
        <v>325.96730000000002</v>
      </c>
      <c r="H26">
        <v>-2.5528680000000001</v>
      </c>
      <c r="I26">
        <v>-7.8316693999999996E-3</v>
      </c>
      <c r="J26">
        <v>-0.94581329999999997</v>
      </c>
      <c r="K26">
        <v>-2.1705863000000001E-3</v>
      </c>
      <c r="L26">
        <v>415.8578</v>
      </c>
      <c r="M26">
        <v>2.2962224E-2</v>
      </c>
      <c r="N26">
        <v>5.4194205000000001E-3</v>
      </c>
      <c r="O26">
        <v>19.882989999999999</v>
      </c>
      <c r="P26">
        <v>-9.6210976999999993E-3</v>
      </c>
      <c r="Q26">
        <v>-2.2773359E-3</v>
      </c>
      <c r="R26">
        <v>-0.1912962</v>
      </c>
      <c r="S26">
        <v>9.5490189999999995</v>
      </c>
    </row>
    <row r="27" spans="1:19">
      <c r="A27" t="s">
        <v>24</v>
      </c>
      <c r="B27">
        <v>4386</v>
      </c>
      <c r="C27">
        <v>441.06920000000002</v>
      </c>
      <c r="D27">
        <v>118.304</v>
      </c>
      <c r="E27">
        <v>1.893967</v>
      </c>
      <c r="F27">
        <v>1.6009325000000001E-2</v>
      </c>
      <c r="G27">
        <v>322.76479999999998</v>
      </c>
      <c r="H27">
        <v>-2.4728059999999998</v>
      </c>
      <c r="I27">
        <v>-7.6613254000000002E-3</v>
      </c>
      <c r="J27">
        <v>-0.57883910000000005</v>
      </c>
      <c r="K27">
        <v>-1.3123542E-3</v>
      </c>
      <c r="L27">
        <v>422.89109999999999</v>
      </c>
      <c r="M27">
        <v>2.3146291999999999E-2</v>
      </c>
      <c r="N27">
        <v>5.4561658999999997E-3</v>
      </c>
      <c r="O27">
        <v>18.177990000000001</v>
      </c>
      <c r="P27">
        <v>-9.1521134999999997E-3</v>
      </c>
      <c r="Q27">
        <v>-2.1606109000000002E-3</v>
      </c>
      <c r="R27">
        <v>-0.16636699999999999</v>
      </c>
      <c r="S27">
        <v>9.7883619999999993</v>
      </c>
    </row>
    <row r="28" spans="1:19">
      <c r="A28" t="s">
        <v>25</v>
      </c>
      <c r="B28">
        <v>4396</v>
      </c>
      <c r="C28">
        <v>497.21899999999999</v>
      </c>
      <c r="D28">
        <v>112.158</v>
      </c>
      <c r="E28">
        <v>1.6471690000000001</v>
      </c>
      <c r="F28">
        <v>1.4686144999999999E-2</v>
      </c>
      <c r="G28">
        <v>385.06130000000002</v>
      </c>
      <c r="H28">
        <v>-2.8439969999999999</v>
      </c>
      <c r="I28">
        <v>-7.3858270999999998E-3</v>
      </c>
      <c r="J28">
        <v>-1.196828</v>
      </c>
      <c r="K28">
        <v>-2.4070439000000001E-3</v>
      </c>
      <c r="L28">
        <v>479.30380000000002</v>
      </c>
      <c r="M28">
        <v>2.2138918E-2</v>
      </c>
      <c r="N28">
        <v>5.2401326E-3</v>
      </c>
      <c r="O28">
        <v>17.914999999999999</v>
      </c>
      <c r="P28">
        <v>-1.5291587000000001E-2</v>
      </c>
      <c r="Q28">
        <v>-3.6045881000000002E-3</v>
      </c>
      <c r="R28">
        <v>-0.27394869999999999</v>
      </c>
      <c r="S28">
        <v>10.611269999999999</v>
      </c>
    </row>
    <row r="29" spans="1:19">
      <c r="A29" t="s">
        <v>26</v>
      </c>
      <c r="B29">
        <v>4496</v>
      </c>
      <c r="C29">
        <v>348.32089999999999</v>
      </c>
      <c r="D29">
        <v>50.490009999999998</v>
      </c>
      <c r="E29">
        <v>0.63314000000000004</v>
      </c>
      <c r="F29">
        <v>1.2539906999999999E-2</v>
      </c>
      <c r="G29">
        <v>297.8306</v>
      </c>
      <c r="H29">
        <v>-2.9475210000000001</v>
      </c>
      <c r="I29">
        <v>-9.8966369000000002E-3</v>
      </c>
      <c r="J29">
        <v>-2.314381</v>
      </c>
      <c r="K29">
        <v>-6.6443937999999996E-3</v>
      </c>
      <c r="L29">
        <v>336.63479999999998</v>
      </c>
      <c r="M29">
        <v>2.9032364000000001E-2</v>
      </c>
      <c r="N29">
        <v>6.8536485000000001E-3</v>
      </c>
      <c r="O29">
        <v>11.686</v>
      </c>
      <c r="P29">
        <v>-7.4789039999999998E-3</v>
      </c>
      <c r="Q29">
        <v>-1.7836417999999999E-3</v>
      </c>
      <c r="R29">
        <v>-8.7398447000000004E-2</v>
      </c>
      <c r="S29">
        <v>9.7733030000000003</v>
      </c>
    </row>
    <row r="30" spans="1:19">
      <c r="A30" t="s">
        <v>27</v>
      </c>
      <c r="B30">
        <v>4616</v>
      </c>
      <c r="C30">
        <v>343.80009999999999</v>
      </c>
      <c r="D30">
        <v>78.337069999999997</v>
      </c>
      <c r="E30">
        <v>1.5566120000000001</v>
      </c>
      <c r="F30">
        <v>1.9870692999999998E-2</v>
      </c>
      <c r="G30">
        <v>265.46370000000002</v>
      </c>
      <c r="H30">
        <v>-2.9367719999999999</v>
      </c>
      <c r="I30">
        <v>-1.1062799E-2</v>
      </c>
      <c r="J30">
        <v>-1.3801600000000001</v>
      </c>
      <c r="K30">
        <v>-4.0144268E-3</v>
      </c>
      <c r="L30">
        <v>290.27719999999999</v>
      </c>
      <c r="M30">
        <v>2.8338111999999999E-2</v>
      </c>
      <c r="N30">
        <v>6.6606536999999997E-3</v>
      </c>
      <c r="O30">
        <v>53.523000000000003</v>
      </c>
      <c r="P30">
        <v>-1.2671533E-2</v>
      </c>
      <c r="Q30">
        <v>-3.0009667000000001E-3</v>
      </c>
      <c r="R30">
        <v>-0.67821849999999995</v>
      </c>
      <c r="S30">
        <v>8.2259069999999994</v>
      </c>
    </row>
    <row r="31" spans="1:19">
      <c r="A31" t="s">
        <v>28</v>
      </c>
      <c r="B31">
        <v>4599</v>
      </c>
      <c r="C31">
        <v>202.88489999999999</v>
      </c>
      <c r="D31">
        <v>59.590989999999998</v>
      </c>
      <c r="E31">
        <v>1.3071269999999999</v>
      </c>
      <c r="F31">
        <v>2.1934968999999999E-2</v>
      </c>
      <c r="G31">
        <v>143.29429999999999</v>
      </c>
      <c r="H31">
        <v>-2.6739419999999998</v>
      </c>
      <c r="I31">
        <v>-1.8660491000000001E-2</v>
      </c>
      <c r="J31">
        <v>-1.3668149999999999</v>
      </c>
      <c r="K31">
        <v>-6.7369001999999997E-3</v>
      </c>
      <c r="L31">
        <v>199.15389999999999</v>
      </c>
      <c r="M31">
        <v>3.2135230000000001E-2</v>
      </c>
      <c r="N31">
        <v>7.5203949000000004E-3</v>
      </c>
      <c r="O31">
        <v>3.7309990000000002</v>
      </c>
      <c r="P31">
        <v>-6.5970546999999996E-3</v>
      </c>
      <c r="Q31">
        <v>-1.5383504999999999E-3</v>
      </c>
      <c r="R31">
        <v>-2.4613607999999999E-2</v>
      </c>
      <c r="S31">
        <v>6.3998559999999998</v>
      </c>
    </row>
    <row r="32" spans="1:19">
      <c r="A32" t="s">
        <v>29</v>
      </c>
      <c r="B32">
        <v>4600</v>
      </c>
      <c r="C32">
        <v>194.1327</v>
      </c>
      <c r="D32">
        <v>53.74597</v>
      </c>
      <c r="E32">
        <v>1.2871840000000001</v>
      </c>
      <c r="F32">
        <v>2.3949413999999999E-2</v>
      </c>
      <c r="G32">
        <v>140.38730000000001</v>
      </c>
      <c r="H32">
        <v>-2.5872130000000002</v>
      </c>
      <c r="I32">
        <v>-1.8429108E-2</v>
      </c>
      <c r="J32">
        <v>-1.3000290000000001</v>
      </c>
      <c r="K32">
        <v>-6.6965990999999997E-3</v>
      </c>
      <c r="L32">
        <v>190.6217</v>
      </c>
      <c r="M32">
        <v>3.2955605999999998E-2</v>
      </c>
      <c r="N32">
        <v>7.7080433E-3</v>
      </c>
      <c r="O32">
        <v>3.510999</v>
      </c>
      <c r="P32">
        <v>-1.1031348E-2</v>
      </c>
      <c r="Q32">
        <v>-2.5820703999999998E-3</v>
      </c>
      <c r="R32">
        <v>-3.8731056999999999E-2</v>
      </c>
      <c r="S32">
        <v>6.2820549999999997</v>
      </c>
    </row>
    <row r="33" spans="1:19">
      <c r="A33" t="s">
        <v>30</v>
      </c>
      <c r="B33">
        <v>4599</v>
      </c>
      <c r="C33">
        <v>194.23869999999999</v>
      </c>
      <c r="D33">
        <v>53.241970000000002</v>
      </c>
      <c r="E33">
        <v>1.2540610000000001</v>
      </c>
      <c r="F33">
        <v>2.3553994000000002E-2</v>
      </c>
      <c r="G33">
        <v>140.9973</v>
      </c>
      <c r="H33">
        <v>-2.57016</v>
      </c>
      <c r="I33">
        <v>-1.8228436000000001E-2</v>
      </c>
      <c r="J33">
        <v>-1.3160989999999999</v>
      </c>
      <c r="K33">
        <v>-6.7756776999999997E-3</v>
      </c>
      <c r="L33">
        <v>191.66079999999999</v>
      </c>
      <c r="M33">
        <v>3.2831277999999998E-2</v>
      </c>
      <c r="N33">
        <v>7.6831114000000004E-3</v>
      </c>
      <c r="O33">
        <v>2.5779999999999998</v>
      </c>
      <c r="P33">
        <v>-9.6551720000000001E-3</v>
      </c>
      <c r="Q33">
        <v>-2.2628212E-3</v>
      </c>
      <c r="R33">
        <v>-2.4891032E-2</v>
      </c>
      <c r="S33">
        <v>6.2924680000000004</v>
      </c>
    </row>
    <row r="34" spans="1:19">
      <c r="A34" t="s">
        <v>31</v>
      </c>
      <c r="B34">
        <v>10032</v>
      </c>
      <c r="C34">
        <v>831.67750000000001</v>
      </c>
      <c r="D34">
        <v>288.20909999999998</v>
      </c>
      <c r="E34">
        <v>2.5712109999999999</v>
      </c>
      <c r="F34">
        <v>8.9213373000000002E-3</v>
      </c>
      <c r="G34">
        <v>543.46799999999996</v>
      </c>
      <c r="H34">
        <v>-5.4868420000000002</v>
      </c>
      <c r="I34">
        <v>-1.0095979999999999E-2</v>
      </c>
      <c r="J34">
        <v>-2.9156309999999999</v>
      </c>
      <c r="K34">
        <v>-3.5057231000000001E-3</v>
      </c>
      <c r="L34">
        <v>723.11609999999996</v>
      </c>
      <c r="M34">
        <v>2.1211331999999999E-2</v>
      </c>
      <c r="N34">
        <v>4.9734940000000002E-3</v>
      </c>
      <c r="O34">
        <v>108.56100000000001</v>
      </c>
      <c r="P34">
        <v>-8.1113874999999992E-3</v>
      </c>
      <c r="Q34">
        <v>-1.9310968E-3</v>
      </c>
      <c r="R34">
        <v>-0.88058009999999998</v>
      </c>
      <c r="S34">
        <v>15.33825</v>
      </c>
    </row>
    <row r="35" spans="1:19">
      <c r="A35" t="s">
        <v>32</v>
      </c>
      <c r="B35">
        <v>10214</v>
      </c>
      <c r="C35">
        <v>916.55880000000002</v>
      </c>
      <c r="D35">
        <v>282.88740000000001</v>
      </c>
      <c r="E35">
        <v>3.2726510000000002</v>
      </c>
      <c r="F35">
        <v>1.1568742999999999E-2</v>
      </c>
      <c r="G35">
        <v>633.66909999999996</v>
      </c>
      <c r="H35">
        <v>-6.4136160000000002</v>
      </c>
      <c r="I35">
        <v>-1.0121397000000001E-2</v>
      </c>
      <c r="J35">
        <v>-3.140965</v>
      </c>
      <c r="K35">
        <v>-3.4269104000000002E-3</v>
      </c>
      <c r="L35">
        <v>798.21730000000002</v>
      </c>
      <c r="M35">
        <v>2.1914333000000001E-2</v>
      </c>
      <c r="N35">
        <v>5.1554375999999999E-3</v>
      </c>
      <c r="O35">
        <v>118.3419</v>
      </c>
      <c r="P35">
        <v>-1.0329372E-2</v>
      </c>
      <c r="Q35">
        <v>-2.4447949E-3</v>
      </c>
      <c r="R35">
        <v>-1.222397</v>
      </c>
      <c r="S35">
        <v>17.4924</v>
      </c>
    </row>
    <row r="36" spans="1:19">
      <c r="A36" t="s">
        <v>33</v>
      </c>
      <c r="B36">
        <v>10355</v>
      </c>
      <c r="C36">
        <v>1042.115</v>
      </c>
      <c r="D36">
        <v>409.15370000000001</v>
      </c>
      <c r="E36">
        <v>4.2403880000000003</v>
      </c>
      <c r="F36">
        <v>1.0363802E-2</v>
      </c>
      <c r="G36">
        <v>632.95950000000005</v>
      </c>
      <c r="H36">
        <v>-5.7773389999999996</v>
      </c>
      <c r="I36">
        <v>-9.1275004999999999E-3</v>
      </c>
      <c r="J36">
        <v>-1.53695</v>
      </c>
      <c r="K36">
        <v>-1.4748369999999999E-3</v>
      </c>
      <c r="L36">
        <v>873.39570000000003</v>
      </c>
      <c r="M36">
        <v>1.9779155E-2</v>
      </c>
      <c r="N36">
        <v>4.6214628999999997E-3</v>
      </c>
      <c r="O36">
        <v>168.7217</v>
      </c>
      <c r="P36">
        <v>-1.2663755E-2</v>
      </c>
      <c r="Q36">
        <v>-2.9967040999999998E-3</v>
      </c>
      <c r="R36">
        <v>-2.1366499999999999</v>
      </c>
      <c r="S36">
        <v>17.275030000000001</v>
      </c>
    </row>
  </sheetData>
  <phoneticPr fontId="0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89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138.601</v>
      </c>
      <c r="D2">
        <v>46.778970000000001</v>
      </c>
      <c r="E2">
        <v>0.57167539999999994</v>
      </c>
      <c r="F2">
        <v>1.2220778E-2</v>
      </c>
      <c r="G2">
        <v>91.821920000000006</v>
      </c>
      <c r="H2">
        <v>-1.043561</v>
      </c>
      <c r="I2">
        <v>-1.1365055000000001E-2</v>
      </c>
      <c r="J2">
        <v>-0.47188590000000002</v>
      </c>
      <c r="K2">
        <v>-3.4046364000000001E-3</v>
      </c>
      <c r="L2">
        <v>118.017</v>
      </c>
      <c r="M2">
        <v>2.8608266E-2</v>
      </c>
      <c r="N2">
        <v>6.6856657999999998E-3</v>
      </c>
      <c r="O2">
        <v>20.58399</v>
      </c>
      <c r="P2">
        <v>-1.5104611E-2</v>
      </c>
      <c r="Q2">
        <v>-3.5737155E-3</v>
      </c>
      <c r="R2">
        <v>-0.3109132</v>
      </c>
      <c r="S2">
        <v>3.376261</v>
      </c>
    </row>
    <row r="3" spans="1:19">
      <c r="A3" t="s">
        <v>1</v>
      </c>
      <c r="B3">
        <v>1248</v>
      </c>
      <c r="C3">
        <v>154.77180000000001</v>
      </c>
      <c r="D3">
        <v>37.710999999999999</v>
      </c>
      <c r="E3">
        <v>0.60577130000000001</v>
      </c>
      <c r="F3">
        <v>1.6063518999999998E-2</v>
      </c>
      <c r="G3">
        <v>117.0609</v>
      </c>
      <c r="H3">
        <v>-1.2413000000000001</v>
      </c>
      <c r="I3">
        <v>-1.0603882E-2</v>
      </c>
      <c r="J3">
        <v>-0.63552830000000005</v>
      </c>
      <c r="K3">
        <v>-4.1062282E-3</v>
      </c>
      <c r="L3">
        <v>116.0669</v>
      </c>
      <c r="M3">
        <v>2.8087502E-2</v>
      </c>
      <c r="N3">
        <v>6.5594134000000002E-3</v>
      </c>
      <c r="O3">
        <v>38.704979999999999</v>
      </c>
      <c r="P3">
        <v>-1.1215170999999999E-2</v>
      </c>
      <c r="Q3">
        <v>-2.6630857000000002E-3</v>
      </c>
      <c r="R3">
        <v>-0.434083</v>
      </c>
      <c r="S3">
        <v>3.2600280000000001</v>
      </c>
    </row>
    <row r="4" spans="1:19">
      <c r="A4" t="s">
        <v>2</v>
      </c>
      <c r="B4">
        <v>2468</v>
      </c>
      <c r="C4">
        <v>289.88409999999999</v>
      </c>
      <c r="D4">
        <v>83.097040000000007</v>
      </c>
      <c r="E4">
        <v>1.489301</v>
      </c>
      <c r="F4">
        <v>1.7922430999999999E-2</v>
      </c>
      <c r="G4">
        <v>206.78639999999999</v>
      </c>
      <c r="H4">
        <v>-2.7747929999999998</v>
      </c>
      <c r="I4">
        <v>-1.3418642999999999E-2</v>
      </c>
      <c r="J4">
        <v>-1.2854920000000001</v>
      </c>
      <c r="K4">
        <v>-4.4345036000000004E-3</v>
      </c>
      <c r="L4">
        <v>272.53190000000001</v>
      </c>
      <c r="M4">
        <v>2.9103569999999999E-2</v>
      </c>
      <c r="N4">
        <v>6.8082841999999996E-3</v>
      </c>
      <c r="O4">
        <v>17.352</v>
      </c>
      <c r="P4">
        <v>-1.5614187999999999E-2</v>
      </c>
      <c r="Q4">
        <v>-3.7114711000000001E-3</v>
      </c>
      <c r="R4">
        <v>-0.27093739999999999</v>
      </c>
      <c r="S4">
        <v>7.9316509999999996</v>
      </c>
    </row>
    <row r="5" spans="1:19">
      <c r="A5" t="s">
        <v>3</v>
      </c>
      <c r="B5">
        <v>993</v>
      </c>
      <c r="C5">
        <v>76.837100000000007</v>
      </c>
      <c r="D5">
        <v>37.79298</v>
      </c>
      <c r="E5">
        <v>0.25606319999999999</v>
      </c>
      <c r="F5">
        <v>6.7754160000000003E-3</v>
      </c>
      <c r="G5">
        <v>39.043999999999997</v>
      </c>
      <c r="H5">
        <v>-0.47616140000000001</v>
      </c>
      <c r="I5">
        <v>-1.2195506E-2</v>
      </c>
      <c r="J5">
        <v>-0.22009819999999999</v>
      </c>
      <c r="K5">
        <v>-2.8644779000000001E-3</v>
      </c>
      <c r="L5">
        <v>72.626080000000002</v>
      </c>
      <c r="M5">
        <v>1.8321820999999999E-2</v>
      </c>
      <c r="N5">
        <v>4.2785918000000003E-3</v>
      </c>
      <c r="O5">
        <v>4.2110000000000003</v>
      </c>
      <c r="P5">
        <v>-1.2310117000000001E-2</v>
      </c>
      <c r="Q5">
        <v>-2.8798833999999999E-3</v>
      </c>
      <c r="R5">
        <v>-5.1837902999999998E-2</v>
      </c>
      <c r="S5">
        <v>1.3306420000000001</v>
      </c>
    </row>
    <row r="6" spans="1:19">
      <c r="A6" t="s">
        <v>4</v>
      </c>
      <c r="B6">
        <v>994</v>
      </c>
      <c r="C6">
        <v>72.079089999999994</v>
      </c>
      <c r="D6">
        <v>27.51098</v>
      </c>
      <c r="E6">
        <v>0.26997460000000001</v>
      </c>
      <c r="F6">
        <v>9.8133413000000003E-3</v>
      </c>
      <c r="G6">
        <v>44.568010000000001</v>
      </c>
      <c r="H6">
        <v>-0.4772864</v>
      </c>
      <c r="I6">
        <v>-1.0709168999999999E-2</v>
      </c>
      <c r="J6">
        <v>-0.20731169999999999</v>
      </c>
      <c r="K6">
        <v>-2.8761702E-3</v>
      </c>
      <c r="L6">
        <v>68.811070000000001</v>
      </c>
      <c r="M6">
        <v>2.0220492E-2</v>
      </c>
      <c r="N6">
        <v>4.7165886000000001E-3</v>
      </c>
      <c r="O6">
        <v>3.2679999999999998</v>
      </c>
      <c r="P6">
        <v>-1.1039767000000001E-2</v>
      </c>
      <c r="Q6">
        <v>-2.5769972999999998E-3</v>
      </c>
      <c r="R6">
        <v>-3.6077960999999999E-2</v>
      </c>
      <c r="S6">
        <v>1.391394</v>
      </c>
    </row>
    <row r="7" spans="1:19">
      <c r="A7" t="s">
        <v>5</v>
      </c>
      <c r="B7">
        <v>1001</v>
      </c>
      <c r="C7">
        <v>78.926150000000007</v>
      </c>
      <c r="D7">
        <v>41.315989999999999</v>
      </c>
      <c r="E7">
        <v>0.23073940000000001</v>
      </c>
      <c r="F7">
        <v>5.5847485000000002E-3</v>
      </c>
      <c r="G7">
        <v>37.610010000000003</v>
      </c>
      <c r="H7">
        <v>-0.45633469999999998</v>
      </c>
      <c r="I7">
        <v>-1.2133329E-2</v>
      </c>
      <c r="J7">
        <v>-0.2255952</v>
      </c>
      <c r="K7">
        <v>-2.8583078999999999E-3</v>
      </c>
      <c r="L7">
        <v>75.679119999999998</v>
      </c>
      <c r="M7">
        <v>1.8146293000000001E-2</v>
      </c>
      <c r="N7">
        <v>4.2385664000000002E-3</v>
      </c>
      <c r="O7">
        <v>3.2469999999999999</v>
      </c>
      <c r="P7">
        <v>-1.2239547E-2</v>
      </c>
      <c r="Q7">
        <v>-2.8387005000000002E-3</v>
      </c>
      <c r="R7">
        <v>-3.9741806999999997E-2</v>
      </c>
      <c r="S7">
        <v>1.3732960000000001</v>
      </c>
    </row>
    <row r="8" spans="1:19">
      <c r="A8" t="s">
        <v>6</v>
      </c>
      <c r="B8">
        <v>1001</v>
      </c>
      <c r="C8">
        <v>80.070149999999998</v>
      </c>
      <c r="D8">
        <v>38.070990000000002</v>
      </c>
      <c r="E8">
        <v>0.28499720000000001</v>
      </c>
      <c r="F8">
        <v>7.4859423999999999E-3</v>
      </c>
      <c r="G8">
        <v>41.999029999999998</v>
      </c>
      <c r="H8">
        <v>-0.47406910000000002</v>
      </c>
      <c r="I8">
        <v>-1.128762E-2</v>
      </c>
      <c r="J8">
        <v>-0.18907189999999999</v>
      </c>
      <c r="K8">
        <v>-2.3613276000000001E-3</v>
      </c>
      <c r="L8">
        <v>75.640110000000007</v>
      </c>
      <c r="M8">
        <v>1.8558549000000001E-2</v>
      </c>
      <c r="N8">
        <v>4.3326257999999999E-3</v>
      </c>
      <c r="O8">
        <v>4.43</v>
      </c>
      <c r="P8">
        <v>-1.2681639999999999E-2</v>
      </c>
      <c r="Q8">
        <v>-2.9568244E-3</v>
      </c>
      <c r="R8">
        <v>-5.6179660999999999E-2</v>
      </c>
      <c r="S8">
        <v>1.4037710000000001</v>
      </c>
    </row>
    <row r="9" spans="1:19">
      <c r="A9" t="s">
        <v>7</v>
      </c>
      <c r="B9">
        <v>1305</v>
      </c>
      <c r="C9">
        <v>88.393230000000003</v>
      </c>
      <c r="D9">
        <v>35.498980000000003</v>
      </c>
      <c r="E9">
        <v>0.41249770000000002</v>
      </c>
      <c r="F9">
        <v>1.1619987999999999E-2</v>
      </c>
      <c r="G9">
        <v>52.894010000000002</v>
      </c>
      <c r="H9">
        <v>-0.60358889999999998</v>
      </c>
      <c r="I9">
        <v>-1.1411291E-2</v>
      </c>
      <c r="J9">
        <v>-0.19109119999999999</v>
      </c>
      <c r="K9">
        <v>-2.1618310999999999E-3</v>
      </c>
      <c r="L9">
        <v>82.495189999999994</v>
      </c>
      <c r="M9">
        <v>2.3589282999999999E-2</v>
      </c>
      <c r="N9">
        <v>5.4971813E-3</v>
      </c>
      <c r="O9">
        <v>5.8979990000000004</v>
      </c>
      <c r="P9">
        <v>-1.0853056999999999E-2</v>
      </c>
      <c r="Q9">
        <v>-2.5604527999999998E-3</v>
      </c>
      <c r="R9">
        <v>-6.4011319999999997E-2</v>
      </c>
      <c r="S9">
        <v>1.946002</v>
      </c>
    </row>
    <row r="10" spans="1:19">
      <c r="A10" t="s">
        <v>8</v>
      </c>
      <c r="B10">
        <v>1309</v>
      </c>
      <c r="C10">
        <v>87.057249999999996</v>
      </c>
      <c r="D10">
        <v>36.267980000000001</v>
      </c>
      <c r="E10">
        <v>0.50482369999999999</v>
      </c>
      <c r="F10">
        <v>1.3919267000000001E-2</v>
      </c>
      <c r="G10">
        <v>50.789009999999998</v>
      </c>
      <c r="H10">
        <v>-0.65828679999999995</v>
      </c>
      <c r="I10">
        <v>-1.2961204E-2</v>
      </c>
      <c r="J10">
        <v>-0.15346309999999999</v>
      </c>
      <c r="K10">
        <v>-1.7627833000000001E-3</v>
      </c>
      <c r="L10">
        <v>84.739220000000003</v>
      </c>
      <c r="M10">
        <v>2.3110926E-2</v>
      </c>
      <c r="N10">
        <v>5.3950463999999998E-3</v>
      </c>
      <c r="O10">
        <v>2.3180000000000001</v>
      </c>
      <c r="P10">
        <v>-9.8776734000000001E-3</v>
      </c>
      <c r="Q10">
        <v>-2.2896447000000002E-3</v>
      </c>
      <c r="R10">
        <v>-2.2896446000000001E-2</v>
      </c>
      <c r="S10">
        <v>1.958402</v>
      </c>
    </row>
    <row r="11" spans="1:19">
      <c r="A11" t="s">
        <v>9</v>
      </c>
      <c r="B11">
        <v>951</v>
      </c>
      <c r="C11">
        <v>77.931129999999996</v>
      </c>
      <c r="D11">
        <v>19.542000000000002</v>
      </c>
      <c r="E11">
        <v>0.1814877</v>
      </c>
      <c r="F11">
        <v>9.2870621E-3</v>
      </c>
      <c r="G11">
        <v>58.38897</v>
      </c>
      <c r="H11">
        <v>-0.67198440000000004</v>
      </c>
      <c r="I11">
        <v>-1.1508755000000001E-2</v>
      </c>
      <c r="J11">
        <v>-0.49049670000000001</v>
      </c>
      <c r="K11">
        <v>-6.2939767000000004E-3</v>
      </c>
      <c r="L11">
        <v>71.87406</v>
      </c>
      <c r="M11">
        <v>1.9227061E-2</v>
      </c>
      <c r="N11">
        <v>4.4867759999999996E-3</v>
      </c>
      <c r="O11">
        <v>6.0569990000000002</v>
      </c>
      <c r="P11">
        <v>-7.2279177000000002E-3</v>
      </c>
      <c r="Q11">
        <v>-1.6838267000000001E-3</v>
      </c>
      <c r="R11">
        <v>-4.3779492000000003E-2</v>
      </c>
      <c r="S11">
        <v>1.3819269999999999</v>
      </c>
    </row>
    <row r="12" spans="1:19">
      <c r="A12" t="s">
        <v>10</v>
      </c>
      <c r="B12">
        <v>956</v>
      </c>
      <c r="C12">
        <v>77.057130000000001</v>
      </c>
      <c r="D12">
        <v>19.829999999999998</v>
      </c>
      <c r="E12">
        <v>0.1990519</v>
      </c>
      <c r="F12">
        <v>1.0037918E-2</v>
      </c>
      <c r="G12">
        <v>57.226999999999997</v>
      </c>
      <c r="H12">
        <v>-0.67445580000000005</v>
      </c>
      <c r="I12">
        <v>-1.1785621E-2</v>
      </c>
      <c r="J12">
        <v>-0.47540389999999999</v>
      </c>
      <c r="K12">
        <v>-6.1694988999999997E-3</v>
      </c>
      <c r="L12">
        <v>70.742059999999995</v>
      </c>
      <c r="M12">
        <v>1.8717896000000001E-2</v>
      </c>
      <c r="N12">
        <v>4.3701073000000003E-3</v>
      </c>
      <c r="O12">
        <v>6.3150000000000004</v>
      </c>
      <c r="P12">
        <v>-7.2068096999999996E-3</v>
      </c>
      <c r="Q12">
        <v>-1.6855926000000001E-3</v>
      </c>
      <c r="R12">
        <v>-4.5511000000000003E-2</v>
      </c>
      <c r="S12">
        <v>1.3241419999999999</v>
      </c>
    </row>
    <row r="13" spans="1:19">
      <c r="A13" t="s">
        <v>11</v>
      </c>
      <c r="B13">
        <v>957</v>
      </c>
      <c r="C13">
        <v>79.817139999999995</v>
      </c>
      <c r="D13">
        <v>27.282</v>
      </c>
      <c r="E13">
        <v>0.38823340000000001</v>
      </c>
      <c r="F13">
        <v>1.4230388E-2</v>
      </c>
      <c r="G13">
        <v>52.534999999999997</v>
      </c>
      <c r="H13">
        <v>-0.63062759999999995</v>
      </c>
      <c r="I13">
        <v>-1.2003952E-2</v>
      </c>
      <c r="J13">
        <v>-0.2423942</v>
      </c>
      <c r="K13">
        <v>-3.0368688000000001E-3</v>
      </c>
      <c r="L13">
        <v>76.100089999999994</v>
      </c>
      <c r="M13">
        <v>2.0582339000000002E-2</v>
      </c>
      <c r="N13">
        <v>4.8046559000000004E-3</v>
      </c>
      <c r="O13">
        <v>3.7170000000000001</v>
      </c>
      <c r="P13">
        <v>-7.4473443000000004E-3</v>
      </c>
      <c r="Q13">
        <v>-1.7301110000000001E-3</v>
      </c>
      <c r="R13">
        <v>-2.7681774999999999E-2</v>
      </c>
      <c r="S13">
        <v>1.5663180000000001</v>
      </c>
    </row>
    <row r="14" spans="1:19">
      <c r="A14" t="s">
        <v>12</v>
      </c>
      <c r="B14">
        <v>1894</v>
      </c>
      <c r="C14">
        <v>274.64179999999999</v>
      </c>
      <c r="D14">
        <v>102.45910000000001</v>
      </c>
      <c r="E14">
        <v>1.010459</v>
      </c>
      <c r="F14">
        <v>9.8620774000000005E-3</v>
      </c>
      <c r="G14">
        <v>172.18270000000001</v>
      </c>
      <c r="H14">
        <v>-1.5599400000000001</v>
      </c>
      <c r="I14">
        <v>-9.0597960999999998E-3</v>
      </c>
      <c r="J14">
        <v>-0.54948039999999998</v>
      </c>
      <c r="K14">
        <v>-2.0007166999999998E-3</v>
      </c>
      <c r="L14">
        <v>252.5325</v>
      </c>
      <c r="M14">
        <v>1.9330261000000001E-2</v>
      </c>
      <c r="N14">
        <v>4.5367274000000001E-3</v>
      </c>
      <c r="O14">
        <v>22.109000000000002</v>
      </c>
      <c r="P14">
        <v>-7.8717796E-3</v>
      </c>
      <c r="Q14">
        <v>-1.8514597E-3</v>
      </c>
      <c r="R14">
        <v>-0.1740372</v>
      </c>
      <c r="S14">
        <v>4.8815189999999999</v>
      </c>
    </row>
    <row r="15" spans="1:19">
      <c r="A15" t="s">
        <v>13</v>
      </c>
      <c r="B15">
        <v>2192</v>
      </c>
      <c r="C15">
        <v>161.69749999999999</v>
      </c>
      <c r="D15">
        <v>43.713999999999999</v>
      </c>
      <c r="E15">
        <v>0.81191659999999999</v>
      </c>
      <c r="F15">
        <v>1.8573376999999999E-2</v>
      </c>
      <c r="G15">
        <v>117.98350000000001</v>
      </c>
      <c r="H15">
        <v>-1.36358</v>
      </c>
      <c r="I15">
        <v>-1.1557375E-2</v>
      </c>
      <c r="J15">
        <v>-0.55166340000000003</v>
      </c>
      <c r="K15">
        <v>-3.4117002999999998E-3</v>
      </c>
      <c r="L15">
        <v>152.78649999999999</v>
      </c>
      <c r="M15">
        <v>2.4913145000000001E-2</v>
      </c>
      <c r="N15">
        <v>5.8112876000000003E-3</v>
      </c>
      <c r="O15">
        <v>8.9110010000000006</v>
      </c>
      <c r="P15">
        <v>-1.0973412E-2</v>
      </c>
      <c r="Q15">
        <v>-2.5732655000000001E-3</v>
      </c>
      <c r="R15">
        <v>-9.7784087000000006E-2</v>
      </c>
      <c r="S15">
        <v>3.8063929999999999</v>
      </c>
    </row>
    <row r="16" spans="1:19">
      <c r="A16" t="s">
        <v>14</v>
      </c>
      <c r="B16">
        <v>2192</v>
      </c>
      <c r="C16">
        <v>165.64340000000001</v>
      </c>
      <c r="D16">
        <v>41.408990000000003</v>
      </c>
      <c r="E16">
        <v>0.74915290000000001</v>
      </c>
      <c r="F16">
        <v>1.8091550000000001E-2</v>
      </c>
      <c r="G16">
        <v>124.2346</v>
      </c>
      <c r="H16">
        <v>-1.398668</v>
      </c>
      <c r="I16">
        <v>-1.1258281E-2</v>
      </c>
      <c r="J16">
        <v>-0.64951530000000002</v>
      </c>
      <c r="K16">
        <v>-3.9211647000000002E-3</v>
      </c>
      <c r="L16">
        <v>155.9975</v>
      </c>
      <c r="M16">
        <v>2.4692011999999999E-2</v>
      </c>
      <c r="N16">
        <v>5.7576867000000004E-3</v>
      </c>
      <c r="O16">
        <v>9.646001</v>
      </c>
      <c r="P16">
        <v>-1.0294757999999999E-2</v>
      </c>
      <c r="Q16">
        <v>-2.4220301E-3</v>
      </c>
      <c r="R16">
        <v>-9.9303238000000002E-2</v>
      </c>
      <c r="S16">
        <v>3.8518919999999999</v>
      </c>
    </row>
    <row r="17" spans="1:19">
      <c r="A17" t="s">
        <v>15</v>
      </c>
      <c r="B17">
        <v>2201</v>
      </c>
      <c r="C17">
        <v>163.38040000000001</v>
      </c>
      <c r="D17">
        <v>51.964959999999998</v>
      </c>
      <c r="E17">
        <v>0.78400000000000003</v>
      </c>
      <c r="F17">
        <v>1.5087089E-2</v>
      </c>
      <c r="G17">
        <v>111.41549999999999</v>
      </c>
      <c r="H17">
        <v>-1.304354</v>
      </c>
      <c r="I17">
        <v>-1.1707113999999999E-2</v>
      </c>
      <c r="J17">
        <v>-0.52035399999999998</v>
      </c>
      <c r="K17">
        <v>-3.1849222999999999E-3</v>
      </c>
      <c r="L17">
        <v>150.2346</v>
      </c>
      <c r="M17">
        <v>2.5367897E-2</v>
      </c>
      <c r="N17">
        <v>5.9179113999999998E-3</v>
      </c>
      <c r="O17">
        <v>13.146000000000001</v>
      </c>
      <c r="P17">
        <v>-1.1627576000000001E-2</v>
      </c>
      <c r="Q17">
        <v>-2.7295727999999998E-3</v>
      </c>
      <c r="R17">
        <v>-0.15285609999999999</v>
      </c>
      <c r="S17">
        <v>3.8111350000000002</v>
      </c>
    </row>
    <row r="18" spans="1:19">
      <c r="A18" t="s">
        <v>16</v>
      </c>
      <c r="B18">
        <v>4326</v>
      </c>
      <c r="C18">
        <v>401.76150000000001</v>
      </c>
      <c r="D18">
        <v>101.258</v>
      </c>
      <c r="E18">
        <v>1.5780369999999999</v>
      </c>
      <c r="F18">
        <v>1.5584317E-2</v>
      </c>
      <c r="G18">
        <v>300.50240000000002</v>
      </c>
      <c r="H18">
        <v>-2.4296500000000001</v>
      </c>
      <c r="I18">
        <v>-8.0852917999999999E-3</v>
      </c>
      <c r="J18">
        <v>-0.85161299999999995</v>
      </c>
      <c r="K18">
        <v>-2.1196979000000001E-3</v>
      </c>
      <c r="L18">
        <v>383.66329999999999</v>
      </c>
      <c r="M18">
        <v>2.3551216E-2</v>
      </c>
      <c r="N18">
        <v>5.5468002999999998E-3</v>
      </c>
      <c r="O18">
        <v>18.097999999999999</v>
      </c>
      <c r="P18">
        <v>-9.1295661E-3</v>
      </c>
      <c r="Q18">
        <v>-2.1458033E-3</v>
      </c>
      <c r="R18">
        <v>-0.16522690000000001</v>
      </c>
      <c r="S18">
        <v>9.0357380000000003</v>
      </c>
    </row>
    <row r="19" spans="1:19">
      <c r="A19" t="s">
        <v>17</v>
      </c>
      <c r="B19">
        <v>4366</v>
      </c>
      <c r="C19">
        <v>401.07490000000001</v>
      </c>
      <c r="D19">
        <v>106.7071</v>
      </c>
      <c r="E19">
        <v>1.761261</v>
      </c>
      <c r="F19">
        <v>1.6505571E-2</v>
      </c>
      <c r="G19">
        <v>294.36770000000001</v>
      </c>
      <c r="H19">
        <v>-2.333631</v>
      </c>
      <c r="I19">
        <v>-7.9276059000000006E-3</v>
      </c>
      <c r="J19">
        <v>-0.57237039999999995</v>
      </c>
      <c r="K19">
        <v>-1.4270910999999999E-3</v>
      </c>
      <c r="L19">
        <v>383.8449</v>
      </c>
      <c r="M19">
        <v>2.3288514E-2</v>
      </c>
      <c r="N19">
        <v>5.4807956000000003E-3</v>
      </c>
      <c r="O19">
        <v>17.23</v>
      </c>
      <c r="P19">
        <v>-9.6787288999999992E-3</v>
      </c>
      <c r="Q19">
        <v>-2.2844448999999999E-3</v>
      </c>
      <c r="R19">
        <v>-0.16676450000000001</v>
      </c>
      <c r="S19">
        <v>8.9391780000000001</v>
      </c>
    </row>
    <row r="20" spans="1:19">
      <c r="A20" t="s">
        <v>18</v>
      </c>
      <c r="B20">
        <v>4368</v>
      </c>
      <c r="C20">
        <v>411.71910000000003</v>
      </c>
      <c r="D20">
        <v>108.4391</v>
      </c>
      <c r="E20">
        <v>1.8053330000000001</v>
      </c>
      <c r="F20">
        <v>1.6648362999999999E-2</v>
      </c>
      <c r="G20">
        <v>303.27960000000002</v>
      </c>
      <c r="H20">
        <v>-2.3975759999999999</v>
      </c>
      <c r="I20">
        <v>-7.9054981E-3</v>
      </c>
      <c r="J20">
        <v>-0.59224299999999996</v>
      </c>
      <c r="K20">
        <v>-1.4384636000000001E-3</v>
      </c>
      <c r="L20">
        <v>394.4821</v>
      </c>
      <c r="M20">
        <v>2.3309881000000001E-2</v>
      </c>
      <c r="N20">
        <v>5.4930294999999997E-3</v>
      </c>
      <c r="O20">
        <v>17.236999999999998</v>
      </c>
      <c r="P20">
        <v>-9.8780802999999997E-3</v>
      </c>
      <c r="Q20">
        <v>-2.3324448000000002E-3</v>
      </c>
      <c r="R20">
        <v>-0.17026849999999999</v>
      </c>
      <c r="S20">
        <v>9.1953320000000005</v>
      </c>
    </row>
    <row r="21" spans="1:19">
      <c r="A21" t="s">
        <v>19</v>
      </c>
      <c r="B21">
        <v>4368</v>
      </c>
      <c r="C21">
        <v>408.56900000000002</v>
      </c>
      <c r="D21">
        <v>108.218</v>
      </c>
      <c r="E21">
        <v>1.564727</v>
      </c>
      <c r="F21">
        <v>1.4459029999999999E-2</v>
      </c>
      <c r="G21">
        <v>300.35050000000001</v>
      </c>
      <c r="H21">
        <v>-2.3664900000000002</v>
      </c>
      <c r="I21">
        <v>-7.8790952000000001E-3</v>
      </c>
      <c r="J21">
        <v>-0.80176320000000001</v>
      </c>
      <c r="K21">
        <v>-1.9623688000000002E-3</v>
      </c>
      <c r="L21">
        <v>390.57170000000002</v>
      </c>
      <c r="M21">
        <v>2.3170573999999999E-2</v>
      </c>
      <c r="N21">
        <v>5.4648370000000002E-3</v>
      </c>
      <c r="O21">
        <v>17.99699</v>
      </c>
      <c r="P21">
        <v>-9.419363E-3</v>
      </c>
      <c r="Q21">
        <v>-2.2305291999999998E-3</v>
      </c>
      <c r="R21">
        <v>-0.16952020000000001</v>
      </c>
      <c r="S21">
        <v>9.0497700000000005</v>
      </c>
    </row>
    <row r="22" spans="1:19">
      <c r="A22" t="s">
        <v>20</v>
      </c>
      <c r="B22">
        <v>4376</v>
      </c>
      <c r="C22">
        <v>405.3229</v>
      </c>
      <c r="D22">
        <v>108.592</v>
      </c>
      <c r="E22">
        <v>1.813299</v>
      </c>
      <c r="F22">
        <v>1.6698265E-2</v>
      </c>
      <c r="G22">
        <v>296.73090000000002</v>
      </c>
      <c r="H22">
        <v>-2.3735010000000001</v>
      </c>
      <c r="I22">
        <v>-7.9988316000000007E-3</v>
      </c>
      <c r="J22">
        <v>-0.56020199999999998</v>
      </c>
      <c r="K22">
        <v>-1.3821127E-3</v>
      </c>
      <c r="L22">
        <v>387.16379999999998</v>
      </c>
      <c r="M22">
        <v>2.3297569000000001E-2</v>
      </c>
      <c r="N22">
        <v>5.4866037999999999E-3</v>
      </c>
      <c r="O22">
        <v>18.158999999999999</v>
      </c>
      <c r="P22">
        <v>-9.3859042999999993E-3</v>
      </c>
      <c r="Q22">
        <v>-2.2134883000000001E-3</v>
      </c>
      <c r="R22">
        <v>-0.1704386</v>
      </c>
      <c r="S22">
        <v>9.0199770000000008</v>
      </c>
    </row>
    <row r="23" spans="1:19">
      <c r="A23" t="s">
        <v>21</v>
      </c>
      <c r="B23">
        <v>4382</v>
      </c>
      <c r="C23">
        <v>412.74669999999998</v>
      </c>
      <c r="D23">
        <v>104.65900000000001</v>
      </c>
      <c r="E23">
        <v>1.562073</v>
      </c>
      <c r="F23">
        <v>1.4925357E-2</v>
      </c>
      <c r="G23">
        <v>308.08670000000001</v>
      </c>
      <c r="H23">
        <v>-2.3489460000000002</v>
      </c>
      <c r="I23">
        <v>-7.6243020999999999E-3</v>
      </c>
      <c r="J23">
        <v>-0.78687359999999995</v>
      </c>
      <c r="K23">
        <v>-1.906432E-3</v>
      </c>
      <c r="L23">
        <v>394.78949999999998</v>
      </c>
      <c r="M23">
        <v>2.3170883E-2</v>
      </c>
      <c r="N23">
        <v>5.4547531000000002E-3</v>
      </c>
      <c r="O23">
        <v>17.956990000000001</v>
      </c>
      <c r="P23">
        <v>-9.2160003000000008E-3</v>
      </c>
      <c r="Q23">
        <v>-2.1775216000000002E-3</v>
      </c>
      <c r="R23">
        <v>-0.16549159999999999</v>
      </c>
      <c r="S23">
        <v>9.1476209999999991</v>
      </c>
    </row>
    <row r="24" spans="1:19">
      <c r="A24" t="s">
        <v>34</v>
      </c>
      <c r="B24">
        <v>4382</v>
      </c>
      <c r="C24">
        <v>404.65839999999997</v>
      </c>
      <c r="D24">
        <v>108.07599999999999</v>
      </c>
      <c r="E24">
        <v>1.779666</v>
      </c>
      <c r="F24">
        <v>1.64668E-2</v>
      </c>
      <c r="G24">
        <v>296.58179999999999</v>
      </c>
      <c r="H24">
        <v>-2.3862559999999999</v>
      </c>
      <c r="I24">
        <v>-8.0458614999999994E-3</v>
      </c>
      <c r="J24">
        <v>-0.60658979999999996</v>
      </c>
      <c r="K24">
        <v>-1.4990168E-3</v>
      </c>
      <c r="L24">
        <v>389.12209999999999</v>
      </c>
      <c r="M24">
        <v>2.3213287999999999E-2</v>
      </c>
      <c r="N24">
        <v>5.4644905000000004E-3</v>
      </c>
      <c r="O24">
        <v>15.536</v>
      </c>
      <c r="P24">
        <v>-9.3943896000000006E-3</v>
      </c>
      <c r="Q24">
        <v>-2.2113824000000002E-3</v>
      </c>
      <c r="R24">
        <v>-0.1459512</v>
      </c>
      <c r="S24">
        <v>9.0328029999999995</v>
      </c>
    </row>
    <row r="25" spans="1:19">
      <c r="A25" t="s">
        <v>22</v>
      </c>
      <c r="B25">
        <v>4384</v>
      </c>
      <c r="C25">
        <v>223.82849999999999</v>
      </c>
      <c r="D25">
        <v>74.728059999999999</v>
      </c>
      <c r="E25">
        <v>1.5138799999999999</v>
      </c>
      <c r="F25">
        <v>2.0258519999999999E-2</v>
      </c>
      <c r="G25">
        <v>149.10059999999999</v>
      </c>
      <c r="H25">
        <v>-1.6353800000000001</v>
      </c>
      <c r="I25">
        <v>-1.0968298E-2</v>
      </c>
      <c r="J25">
        <v>-0.12149989999999999</v>
      </c>
      <c r="K25">
        <v>-5.4282579000000002E-4</v>
      </c>
      <c r="L25">
        <v>216.1105</v>
      </c>
      <c r="M25">
        <v>2.5211767999999999E-2</v>
      </c>
      <c r="N25">
        <v>5.8839410000000002E-3</v>
      </c>
      <c r="O25">
        <v>7.7180010000000001</v>
      </c>
      <c r="P25">
        <v>-9.2406430999999994E-3</v>
      </c>
      <c r="Q25">
        <v>-2.1611906000000001E-3</v>
      </c>
      <c r="R25">
        <v>-7.1319289999999994E-2</v>
      </c>
      <c r="S25">
        <v>5.4485289999999997</v>
      </c>
    </row>
    <row r="26" spans="1:19">
      <c r="A26" t="s">
        <v>23</v>
      </c>
      <c r="B26">
        <v>4386</v>
      </c>
      <c r="C26">
        <v>402.9402</v>
      </c>
      <c r="D26">
        <v>100.9641</v>
      </c>
      <c r="E26">
        <v>1.475754</v>
      </c>
      <c r="F26">
        <v>1.4616624999999999E-2</v>
      </c>
      <c r="G26">
        <v>301.97570000000002</v>
      </c>
      <c r="H26">
        <v>-2.378139</v>
      </c>
      <c r="I26">
        <v>-7.8752645999999992E-3</v>
      </c>
      <c r="J26">
        <v>-0.90238459999999998</v>
      </c>
      <c r="K26">
        <v>-2.2395001999999998E-3</v>
      </c>
      <c r="L26">
        <v>384.77109999999999</v>
      </c>
      <c r="M26">
        <v>2.3038263E-2</v>
      </c>
      <c r="N26">
        <v>5.4283263000000003E-3</v>
      </c>
      <c r="O26">
        <v>18.168990000000001</v>
      </c>
      <c r="P26">
        <v>-9.7801024000000007E-3</v>
      </c>
      <c r="Q26">
        <v>-2.3077220999999999E-3</v>
      </c>
      <c r="R26">
        <v>-0.17769460000000001</v>
      </c>
      <c r="S26">
        <v>8.8644569999999998</v>
      </c>
    </row>
    <row r="27" spans="1:19">
      <c r="A27" t="s">
        <v>24</v>
      </c>
      <c r="B27">
        <v>4386</v>
      </c>
      <c r="C27">
        <v>407.42840000000001</v>
      </c>
      <c r="D27">
        <v>110.244</v>
      </c>
      <c r="E27">
        <v>1.7591619999999999</v>
      </c>
      <c r="F27">
        <v>1.5956977000000001E-2</v>
      </c>
      <c r="G27">
        <v>297.18349999999998</v>
      </c>
      <c r="H27">
        <v>-2.2665630000000001</v>
      </c>
      <c r="I27">
        <v>-7.6268142999999997E-3</v>
      </c>
      <c r="J27">
        <v>-0.50740180000000001</v>
      </c>
      <c r="K27">
        <v>-1.2453765E-3</v>
      </c>
      <c r="L27">
        <v>391.1671</v>
      </c>
      <c r="M27">
        <v>2.3232834000000001E-2</v>
      </c>
      <c r="N27">
        <v>5.4647741E-3</v>
      </c>
      <c r="O27">
        <v>16.26099</v>
      </c>
      <c r="P27">
        <v>-9.1708107000000004E-3</v>
      </c>
      <c r="Q27">
        <v>-2.1612536999999999E-3</v>
      </c>
      <c r="R27">
        <v>-0.1491265</v>
      </c>
      <c r="S27">
        <v>9.0879189999999994</v>
      </c>
    </row>
    <row r="28" spans="1:19">
      <c r="A28" t="s">
        <v>25</v>
      </c>
      <c r="B28">
        <v>4396</v>
      </c>
      <c r="C28">
        <v>458.815</v>
      </c>
      <c r="D28">
        <v>102.1071</v>
      </c>
      <c r="E28">
        <v>1.5084090000000001</v>
      </c>
      <c r="F28">
        <v>1.4772805999999999E-2</v>
      </c>
      <c r="G28">
        <v>356.70800000000003</v>
      </c>
      <c r="H28">
        <v>-2.63287</v>
      </c>
      <c r="I28">
        <v>-7.3810233999999997E-3</v>
      </c>
      <c r="J28">
        <v>-1.1244609999999999</v>
      </c>
      <c r="K28">
        <v>-2.4507946999999999E-3</v>
      </c>
      <c r="L28">
        <v>441.87150000000003</v>
      </c>
      <c r="M28">
        <v>2.2172180999999999E-2</v>
      </c>
      <c r="N28">
        <v>5.2391738E-3</v>
      </c>
      <c r="O28">
        <v>16.943999999999999</v>
      </c>
      <c r="P28">
        <v>-1.4954281E-2</v>
      </c>
      <c r="Q28">
        <v>-3.5192403E-3</v>
      </c>
      <c r="R28">
        <v>-0.25338529999999998</v>
      </c>
      <c r="S28">
        <v>9.7972549999999998</v>
      </c>
    </row>
    <row r="29" spans="1:19">
      <c r="A29" t="s">
        <v>26</v>
      </c>
      <c r="B29">
        <v>4496</v>
      </c>
      <c r="C29">
        <v>317.7432</v>
      </c>
      <c r="D29">
        <v>46.502000000000002</v>
      </c>
      <c r="E29">
        <v>0.56384889999999999</v>
      </c>
      <c r="F29">
        <v>1.2125263000000001E-2</v>
      </c>
      <c r="G29">
        <v>271.24079999999998</v>
      </c>
      <c r="H29">
        <v>-2.7173120000000002</v>
      </c>
      <c r="I29">
        <v>-1.001808E-2</v>
      </c>
      <c r="J29">
        <v>-2.1534629999999999</v>
      </c>
      <c r="K29">
        <v>-6.7773707999999998E-3</v>
      </c>
      <c r="L29">
        <v>307.00490000000002</v>
      </c>
      <c r="M29">
        <v>2.8904071E-2</v>
      </c>
      <c r="N29">
        <v>6.8154321000000002E-3</v>
      </c>
      <c r="O29">
        <v>10.738</v>
      </c>
      <c r="P29">
        <v>-7.4736433999999996E-3</v>
      </c>
      <c r="Q29">
        <v>-1.7833772999999999E-3</v>
      </c>
      <c r="R29">
        <v>-8.0251977000000002E-2</v>
      </c>
      <c r="S29">
        <v>8.8736929999999994</v>
      </c>
    </row>
    <row r="30" spans="1:19">
      <c r="A30" t="s">
        <v>27</v>
      </c>
      <c r="B30">
        <v>4616</v>
      </c>
      <c r="C30">
        <v>313.71069999999997</v>
      </c>
      <c r="D30">
        <v>72.585080000000005</v>
      </c>
      <c r="E30">
        <v>1.432024</v>
      </c>
      <c r="F30">
        <v>1.9728902999999999E-2</v>
      </c>
      <c r="G30">
        <v>241.12549999999999</v>
      </c>
      <c r="H30">
        <v>-2.6578439999999999</v>
      </c>
      <c r="I30">
        <v>-1.1022656E-2</v>
      </c>
      <c r="J30">
        <v>-1.2258199999999999</v>
      </c>
      <c r="K30">
        <v>-3.9074840000000001E-3</v>
      </c>
      <c r="L30">
        <v>264.0616</v>
      </c>
      <c r="M30">
        <v>2.8468771E-2</v>
      </c>
      <c r="N30">
        <v>6.6762962E-3</v>
      </c>
      <c r="O30">
        <v>49.648980000000002</v>
      </c>
      <c r="P30">
        <v>-1.2522083E-2</v>
      </c>
      <c r="Q30">
        <v>-2.9605174999999999E-3</v>
      </c>
      <c r="R30">
        <v>-0.6217087</v>
      </c>
      <c r="S30">
        <v>7.5175090000000004</v>
      </c>
    </row>
    <row r="31" spans="1:19">
      <c r="A31" t="s">
        <v>28</v>
      </c>
      <c r="B31">
        <v>4599</v>
      </c>
      <c r="C31">
        <v>181.8014</v>
      </c>
      <c r="D31">
        <v>54.375999999999998</v>
      </c>
      <c r="E31">
        <v>1.18526</v>
      </c>
      <c r="F31">
        <v>2.1797489E-2</v>
      </c>
      <c r="G31">
        <v>127.42570000000001</v>
      </c>
      <c r="H31">
        <v>-2.4108999999999998</v>
      </c>
      <c r="I31">
        <v>-1.8920045E-2</v>
      </c>
      <c r="J31">
        <v>-1.2256389999999999</v>
      </c>
      <c r="K31">
        <v>-6.7416378000000002E-3</v>
      </c>
      <c r="L31">
        <v>179.24539999999999</v>
      </c>
      <c r="M31">
        <v>3.2189883000000002E-2</v>
      </c>
      <c r="N31">
        <v>7.5226724000000003E-3</v>
      </c>
      <c r="O31">
        <v>2.556</v>
      </c>
      <c r="P31">
        <v>-6.3600753999999999E-3</v>
      </c>
      <c r="Q31">
        <v>-1.4778501E-3</v>
      </c>
      <c r="R31">
        <v>-1.6256350999999999E-2</v>
      </c>
      <c r="S31">
        <v>5.7698900000000002</v>
      </c>
    </row>
    <row r="32" spans="1:19">
      <c r="A32" t="s">
        <v>29</v>
      </c>
      <c r="B32">
        <v>4600</v>
      </c>
      <c r="C32">
        <v>175.0575</v>
      </c>
      <c r="D32">
        <v>49.399990000000003</v>
      </c>
      <c r="E32">
        <v>1.184053</v>
      </c>
      <c r="F32">
        <v>2.3968678E-2</v>
      </c>
      <c r="G32">
        <v>125.6576</v>
      </c>
      <c r="H32">
        <v>-2.3454790000000001</v>
      </c>
      <c r="I32">
        <v>-1.8665629E-2</v>
      </c>
      <c r="J32">
        <v>-1.1614260000000001</v>
      </c>
      <c r="K32">
        <v>-6.6345413000000004E-3</v>
      </c>
      <c r="L32">
        <v>172.0215</v>
      </c>
      <c r="M32">
        <v>3.3126712000000003E-2</v>
      </c>
      <c r="N32">
        <v>7.7320313999999996E-3</v>
      </c>
      <c r="O32">
        <v>3.036</v>
      </c>
      <c r="P32">
        <v>-1.1503161E-2</v>
      </c>
      <c r="Q32">
        <v>-2.6864300000000001E-3</v>
      </c>
      <c r="R32">
        <v>-3.4923590999999997E-2</v>
      </c>
      <c r="S32">
        <v>5.6985070000000002</v>
      </c>
    </row>
    <row r="33" spans="1:19">
      <c r="A33" t="s">
        <v>30</v>
      </c>
      <c r="B33">
        <v>4599</v>
      </c>
      <c r="C33">
        <v>180.00450000000001</v>
      </c>
      <c r="D33">
        <v>50.753999999999998</v>
      </c>
      <c r="E33">
        <v>1.1908019999999999</v>
      </c>
      <c r="F33">
        <v>2.3462218999999999E-2</v>
      </c>
      <c r="G33">
        <v>129.25059999999999</v>
      </c>
      <c r="H33">
        <v>-2.3553519999999999</v>
      </c>
      <c r="I33">
        <v>-1.8223137E-2</v>
      </c>
      <c r="J33">
        <v>-1.1645509999999999</v>
      </c>
      <c r="K33">
        <v>-6.4695645000000003E-3</v>
      </c>
      <c r="L33">
        <v>177.43549999999999</v>
      </c>
      <c r="M33">
        <v>3.2851933999999999E-2</v>
      </c>
      <c r="N33">
        <v>7.6698666000000002E-3</v>
      </c>
      <c r="O33">
        <v>2.569</v>
      </c>
      <c r="P33">
        <v>-9.5303374999999996E-3</v>
      </c>
      <c r="Q33">
        <v>-2.2257669E-3</v>
      </c>
      <c r="R33">
        <v>-2.4483437E-2</v>
      </c>
      <c r="S33">
        <v>5.8290990000000003</v>
      </c>
    </row>
    <row r="34" spans="1:19">
      <c r="A34" t="s">
        <v>31</v>
      </c>
      <c r="B34">
        <v>10032</v>
      </c>
      <c r="C34">
        <v>758.55550000000005</v>
      </c>
      <c r="D34">
        <v>267.59859999999998</v>
      </c>
      <c r="E34">
        <v>2.3645779999999998</v>
      </c>
      <c r="F34">
        <v>8.8362861000000001E-3</v>
      </c>
      <c r="G34">
        <v>490.95940000000002</v>
      </c>
      <c r="H34">
        <v>-4.9737130000000001</v>
      </c>
      <c r="I34">
        <v>-1.0130600999999999E-2</v>
      </c>
      <c r="J34">
        <v>-2.6091359999999999</v>
      </c>
      <c r="K34">
        <v>-3.4396111E-3</v>
      </c>
      <c r="L34">
        <v>662.00540000000001</v>
      </c>
      <c r="M34">
        <v>2.1056438E-2</v>
      </c>
      <c r="N34">
        <v>4.9256100000000004E-3</v>
      </c>
      <c r="O34">
        <v>96.55095</v>
      </c>
      <c r="P34">
        <v>-7.9193757999999996E-3</v>
      </c>
      <c r="Q34">
        <v>-1.8833083999999999E-3</v>
      </c>
      <c r="R34">
        <v>-0.76462319999999995</v>
      </c>
      <c r="S34">
        <v>13.93948</v>
      </c>
    </row>
    <row r="35" spans="1:19">
      <c r="A35" t="s">
        <v>32</v>
      </c>
      <c r="B35">
        <v>10214</v>
      </c>
      <c r="C35">
        <v>834.68679999999995</v>
      </c>
      <c r="D35">
        <v>255.34630000000001</v>
      </c>
      <c r="E35">
        <v>2.9632360000000002</v>
      </c>
      <c r="F35">
        <v>1.1604774999999999E-2</v>
      </c>
      <c r="G35">
        <v>579.33759999999995</v>
      </c>
      <c r="H35">
        <v>-5.9061659999999998</v>
      </c>
      <c r="I35">
        <v>-1.0194686999999999E-2</v>
      </c>
      <c r="J35">
        <v>-2.9429289999999999</v>
      </c>
      <c r="K35">
        <v>-3.5257889000000001E-3</v>
      </c>
      <c r="L35">
        <v>728.80160000000001</v>
      </c>
      <c r="M35">
        <v>2.2167797999999999E-2</v>
      </c>
      <c r="N35">
        <v>5.2065508999999998E-3</v>
      </c>
      <c r="O35">
        <v>105.8839</v>
      </c>
      <c r="P35">
        <v>-1.0085369E-2</v>
      </c>
      <c r="Q35">
        <v>-2.3836575000000001E-3</v>
      </c>
      <c r="R35">
        <v>-1.067879</v>
      </c>
      <c r="S35">
        <v>16.155930000000001</v>
      </c>
    </row>
    <row r="36" spans="1:19">
      <c r="A36" t="s">
        <v>33</v>
      </c>
      <c r="B36">
        <v>10355</v>
      </c>
      <c r="C36">
        <v>954.12990000000002</v>
      </c>
      <c r="D36">
        <v>380.62720000000002</v>
      </c>
      <c r="E36">
        <v>3.932976</v>
      </c>
      <c r="F36">
        <v>1.0332882999999999E-2</v>
      </c>
      <c r="G36">
        <v>573.50289999999995</v>
      </c>
      <c r="H36">
        <v>-5.2375080000000001</v>
      </c>
      <c r="I36">
        <v>-9.1324886000000004E-3</v>
      </c>
      <c r="J36">
        <v>-1.304532</v>
      </c>
      <c r="K36">
        <v>-1.3672477000000001E-3</v>
      </c>
      <c r="L36">
        <v>800.79240000000004</v>
      </c>
      <c r="M36">
        <v>1.9631315E-2</v>
      </c>
      <c r="N36">
        <v>4.5779287E-3</v>
      </c>
      <c r="O36">
        <v>153.33770000000001</v>
      </c>
      <c r="P36">
        <v>-1.2423831E-2</v>
      </c>
      <c r="Q36">
        <v>-2.9353489999999999E-3</v>
      </c>
      <c r="R36">
        <v>-1.905041</v>
      </c>
      <c r="S36">
        <v>15.720610000000001</v>
      </c>
    </row>
  </sheetData>
  <phoneticPr fontId="0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90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129.03980000000001</v>
      </c>
      <c r="D2">
        <v>43.244979999999998</v>
      </c>
      <c r="E2">
        <v>0.52913359999999998</v>
      </c>
      <c r="F2">
        <v>1.2235723E-2</v>
      </c>
      <c r="G2">
        <v>85.794899999999998</v>
      </c>
      <c r="H2">
        <v>-0.98653550000000001</v>
      </c>
      <c r="I2">
        <v>-1.1498766000000001E-2</v>
      </c>
      <c r="J2">
        <v>-0.45740189999999997</v>
      </c>
      <c r="K2">
        <v>-3.5446574999999998E-3</v>
      </c>
      <c r="L2">
        <v>111.3429</v>
      </c>
      <c r="M2">
        <v>2.8550688000000001E-2</v>
      </c>
      <c r="N2">
        <v>6.6643943999999998E-3</v>
      </c>
      <c r="O2">
        <v>17.696999999999999</v>
      </c>
      <c r="P2">
        <v>-1.5011962E-2</v>
      </c>
      <c r="Q2">
        <v>-3.5422225E-3</v>
      </c>
      <c r="R2">
        <v>-0.26566669999999998</v>
      </c>
      <c r="S2">
        <v>3.1789160000000001</v>
      </c>
    </row>
    <row r="3" spans="1:19">
      <c r="A3" t="s">
        <v>1</v>
      </c>
      <c r="B3">
        <v>1248</v>
      </c>
      <c r="C3">
        <v>144.71690000000001</v>
      </c>
      <c r="D3">
        <v>34.914000000000001</v>
      </c>
      <c r="E3">
        <v>0.568523</v>
      </c>
      <c r="F3">
        <v>1.6283525E-2</v>
      </c>
      <c r="G3">
        <v>109.8028</v>
      </c>
      <c r="H3">
        <v>-1.1708179999999999</v>
      </c>
      <c r="I3">
        <v>-1.0662909E-2</v>
      </c>
      <c r="J3">
        <v>-0.60229460000000001</v>
      </c>
      <c r="K3">
        <v>-4.1618827000000002E-3</v>
      </c>
      <c r="L3">
        <v>108.9349</v>
      </c>
      <c r="M3">
        <v>2.8454780999999998E-2</v>
      </c>
      <c r="N3">
        <v>6.6375108000000004E-3</v>
      </c>
      <c r="O3">
        <v>35.782020000000003</v>
      </c>
      <c r="P3">
        <v>-1.1216357999999999E-2</v>
      </c>
      <c r="Q3">
        <v>-2.6579072999999998E-3</v>
      </c>
      <c r="R3">
        <v>-0.40134399999999998</v>
      </c>
      <c r="S3">
        <v>3.0997180000000002</v>
      </c>
    </row>
    <row r="4" spans="1:19">
      <c r="A4" t="s">
        <v>2</v>
      </c>
      <c r="B4">
        <v>2468</v>
      </c>
      <c r="C4">
        <v>267.74090000000001</v>
      </c>
      <c r="D4">
        <v>77.888030000000001</v>
      </c>
      <c r="E4">
        <v>1.417562</v>
      </c>
      <c r="F4">
        <v>1.8199999000000001E-2</v>
      </c>
      <c r="G4">
        <v>189.8528</v>
      </c>
      <c r="H4">
        <v>-2.5635940000000002</v>
      </c>
      <c r="I4">
        <v>-1.3503061E-2</v>
      </c>
      <c r="J4">
        <v>-1.1460319999999999</v>
      </c>
      <c r="K4">
        <v>-4.2803776000000003E-3</v>
      </c>
      <c r="L4">
        <v>253.00880000000001</v>
      </c>
      <c r="M4">
        <v>2.9327751999999999E-2</v>
      </c>
      <c r="N4">
        <v>6.8451837000000001E-3</v>
      </c>
      <c r="O4">
        <v>14.731999999999999</v>
      </c>
      <c r="P4">
        <v>-1.5476835E-2</v>
      </c>
      <c r="Q4">
        <v>-3.6774950999999998E-3</v>
      </c>
      <c r="R4">
        <v>-0.2280047</v>
      </c>
      <c r="S4">
        <v>7.4201790000000001</v>
      </c>
    </row>
    <row r="5" spans="1:19">
      <c r="A5" t="s">
        <v>3</v>
      </c>
      <c r="B5">
        <v>993</v>
      </c>
      <c r="C5">
        <v>70.88306</v>
      </c>
      <c r="D5">
        <v>35.399990000000003</v>
      </c>
      <c r="E5">
        <v>0.24555080000000001</v>
      </c>
      <c r="F5">
        <v>6.9364654000000003E-3</v>
      </c>
      <c r="G5">
        <v>35.482999999999997</v>
      </c>
      <c r="H5">
        <v>-0.42828100000000002</v>
      </c>
      <c r="I5">
        <v>-1.2070033000000001E-2</v>
      </c>
      <c r="J5">
        <v>-0.18273020000000001</v>
      </c>
      <c r="K5">
        <v>-2.5779103999999998E-3</v>
      </c>
      <c r="L5">
        <v>66.926050000000004</v>
      </c>
      <c r="M5">
        <v>1.8141747999999999E-2</v>
      </c>
      <c r="N5">
        <v>4.2305071999999997E-3</v>
      </c>
      <c r="O5">
        <v>3.9569999999999999</v>
      </c>
      <c r="P5">
        <v>-1.2219097E-2</v>
      </c>
      <c r="Q5">
        <v>-2.8441743999999998E-3</v>
      </c>
      <c r="R5">
        <v>-4.8350964000000003E-2</v>
      </c>
      <c r="S5">
        <v>1.214156</v>
      </c>
    </row>
    <row r="6" spans="1:19">
      <c r="A6" t="s">
        <v>4</v>
      </c>
      <c r="B6">
        <v>994</v>
      </c>
      <c r="C6">
        <v>68.029079999999993</v>
      </c>
      <c r="D6">
        <v>25.117979999999999</v>
      </c>
      <c r="E6">
        <v>0.24041419999999999</v>
      </c>
      <c r="F6">
        <v>9.5713958000000002E-3</v>
      </c>
      <c r="G6">
        <v>42.911000000000001</v>
      </c>
      <c r="H6">
        <v>-0.45276889999999997</v>
      </c>
      <c r="I6">
        <v>-1.0551347000000001E-2</v>
      </c>
      <c r="J6">
        <v>-0.21235470000000001</v>
      </c>
      <c r="K6">
        <v>-3.1215288E-3</v>
      </c>
      <c r="L6">
        <v>64.993049999999997</v>
      </c>
      <c r="M6">
        <v>2.0145087999999998E-2</v>
      </c>
      <c r="N6">
        <v>4.6927985000000004E-3</v>
      </c>
      <c r="O6">
        <v>3.036</v>
      </c>
      <c r="P6">
        <v>-1.0774235E-2</v>
      </c>
      <c r="Q6">
        <v>-2.5161984E-3</v>
      </c>
      <c r="R6">
        <v>-3.2710577999999997E-2</v>
      </c>
      <c r="S6">
        <v>1.309291</v>
      </c>
    </row>
    <row r="7" spans="1:19">
      <c r="A7" t="s">
        <v>5</v>
      </c>
      <c r="B7">
        <v>1001</v>
      </c>
      <c r="C7">
        <v>74.175120000000007</v>
      </c>
      <c r="D7">
        <v>38.93</v>
      </c>
      <c r="E7">
        <v>0.21274689999999999</v>
      </c>
      <c r="F7">
        <v>5.4648583999999997E-3</v>
      </c>
      <c r="G7">
        <v>35.244990000000001</v>
      </c>
      <c r="H7">
        <v>-0.4241489</v>
      </c>
      <c r="I7">
        <v>-1.2034303999999999E-2</v>
      </c>
      <c r="J7">
        <v>-0.21140200000000001</v>
      </c>
      <c r="K7">
        <v>-2.8500386999999999E-3</v>
      </c>
      <c r="L7">
        <v>71.857119999999995</v>
      </c>
      <c r="M7">
        <v>1.7940714999999999E-2</v>
      </c>
      <c r="N7">
        <v>4.1856113999999998E-3</v>
      </c>
      <c r="O7">
        <v>2.3180000000000001</v>
      </c>
      <c r="P7">
        <v>-1.1436185999999999E-2</v>
      </c>
      <c r="Q7">
        <v>-2.6509076999999999E-3</v>
      </c>
      <c r="R7">
        <v>-2.6509075999999999E-2</v>
      </c>
      <c r="S7">
        <v>1.2891680000000001</v>
      </c>
    </row>
    <row r="8" spans="1:19">
      <c r="A8" t="s">
        <v>6</v>
      </c>
      <c r="B8">
        <v>1001</v>
      </c>
      <c r="C8">
        <v>74.599109999999996</v>
      </c>
      <c r="D8">
        <v>36.136989999999997</v>
      </c>
      <c r="E8">
        <v>0.26592769999999999</v>
      </c>
      <c r="F8">
        <v>7.3588797999999999E-3</v>
      </c>
      <c r="G8">
        <v>38.462000000000003</v>
      </c>
      <c r="H8">
        <v>-0.44006499999999998</v>
      </c>
      <c r="I8">
        <v>-1.1441553E-2</v>
      </c>
      <c r="J8">
        <v>-0.17413729999999999</v>
      </c>
      <c r="K8">
        <v>-2.3343074E-3</v>
      </c>
      <c r="L8">
        <v>70.649090000000001</v>
      </c>
      <c r="M8">
        <v>1.8253756999999999E-2</v>
      </c>
      <c r="N8">
        <v>4.2561428000000004E-3</v>
      </c>
      <c r="O8">
        <v>3.95</v>
      </c>
      <c r="P8">
        <v>-1.2934892E-2</v>
      </c>
      <c r="Q8">
        <v>-3.0054601000000002E-3</v>
      </c>
      <c r="R8">
        <v>-5.1092822000000003E-2</v>
      </c>
      <c r="S8">
        <v>1.2896110000000001</v>
      </c>
    </row>
    <row r="9" spans="1:19">
      <c r="A9" t="s">
        <v>7</v>
      </c>
      <c r="B9">
        <v>1305</v>
      </c>
      <c r="C9">
        <v>83.891210000000001</v>
      </c>
      <c r="D9">
        <v>34.289990000000003</v>
      </c>
      <c r="E9">
        <v>0.38563140000000001</v>
      </c>
      <c r="F9">
        <v>1.124618E-2</v>
      </c>
      <c r="G9">
        <v>49.601019999999998</v>
      </c>
      <c r="H9">
        <v>-0.5593861</v>
      </c>
      <c r="I9">
        <v>-1.1277715000000001E-2</v>
      </c>
      <c r="J9">
        <v>-0.17375470000000001</v>
      </c>
      <c r="K9">
        <v>-2.0711909E-3</v>
      </c>
      <c r="L9">
        <v>78.694159999999997</v>
      </c>
      <c r="M9">
        <v>2.3415617999999999E-2</v>
      </c>
      <c r="N9">
        <v>5.4516931999999997E-3</v>
      </c>
      <c r="O9">
        <v>5.1970000000000001</v>
      </c>
      <c r="P9">
        <v>-1.1401514E-2</v>
      </c>
      <c r="Q9">
        <v>-2.6933481E-3</v>
      </c>
      <c r="R9">
        <v>-5.9253659E-2</v>
      </c>
      <c r="S9">
        <v>1.8426720000000001</v>
      </c>
    </row>
    <row r="10" spans="1:19">
      <c r="A10" t="s">
        <v>8</v>
      </c>
      <c r="B10">
        <v>1309</v>
      </c>
      <c r="C10">
        <v>80.41319</v>
      </c>
      <c r="D10">
        <v>34.587989999999998</v>
      </c>
      <c r="E10">
        <v>0.47487010000000002</v>
      </c>
      <c r="F10">
        <v>1.3729335E-2</v>
      </c>
      <c r="G10">
        <v>45.825009999999999</v>
      </c>
      <c r="H10">
        <v>-0.58271600000000001</v>
      </c>
      <c r="I10">
        <v>-1.2716115E-2</v>
      </c>
      <c r="J10">
        <v>-0.107846</v>
      </c>
      <c r="K10">
        <v>-1.3411482E-3</v>
      </c>
      <c r="L10">
        <v>78.333179999999999</v>
      </c>
      <c r="M10">
        <v>2.2844698E-2</v>
      </c>
      <c r="N10">
        <v>5.3258860000000002E-3</v>
      </c>
      <c r="O10">
        <v>2.08</v>
      </c>
      <c r="P10">
        <v>-1.0349267000000001E-2</v>
      </c>
      <c r="Q10">
        <v>-2.3918305999999999E-3</v>
      </c>
      <c r="R10">
        <v>-2.1526475E-2</v>
      </c>
      <c r="S10">
        <v>1.789498</v>
      </c>
    </row>
    <row r="11" spans="1:19">
      <c r="A11" t="s">
        <v>9</v>
      </c>
      <c r="B11">
        <v>951</v>
      </c>
      <c r="C11">
        <v>72.737110000000001</v>
      </c>
      <c r="D11">
        <v>17.89199</v>
      </c>
      <c r="E11">
        <v>0.1664899</v>
      </c>
      <c r="F11">
        <v>9.3052741000000001E-3</v>
      </c>
      <c r="G11">
        <v>54.84498</v>
      </c>
      <c r="H11">
        <v>-0.63209490000000002</v>
      </c>
      <c r="I11">
        <v>-1.1525119E-2</v>
      </c>
      <c r="J11">
        <v>-0.46560499999999999</v>
      </c>
      <c r="K11">
        <v>-6.4012026000000001E-3</v>
      </c>
      <c r="L11">
        <v>67.156040000000004</v>
      </c>
      <c r="M11">
        <v>1.9175746E-2</v>
      </c>
      <c r="N11">
        <v>4.4714137999999999E-3</v>
      </c>
      <c r="O11">
        <v>5.5810000000000004</v>
      </c>
      <c r="P11">
        <v>-7.3882508999999997E-3</v>
      </c>
      <c r="Q11">
        <v>-1.7180762999999999E-3</v>
      </c>
      <c r="R11">
        <v>-4.1233829999999999E-2</v>
      </c>
      <c r="S11">
        <v>1.2877670000000001</v>
      </c>
    </row>
    <row r="12" spans="1:19">
      <c r="A12" t="s">
        <v>10</v>
      </c>
      <c r="B12">
        <v>956</v>
      </c>
      <c r="C12">
        <v>73.232100000000003</v>
      </c>
      <c r="D12">
        <v>18.873989999999999</v>
      </c>
      <c r="E12">
        <v>0.1904766</v>
      </c>
      <c r="F12">
        <v>1.0092014999999999E-2</v>
      </c>
      <c r="G12">
        <v>54.357999999999997</v>
      </c>
      <c r="H12">
        <v>-0.64494899999999999</v>
      </c>
      <c r="I12">
        <v>-1.186484E-2</v>
      </c>
      <c r="J12">
        <v>-0.4544724</v>
      </c>
      <c r="K12">
        <v>-6.2059172999999997E-3</v>
      </c>
      <c r="L12">
        <v>67.160030000000006</v>
      </c>
      <c r="M12">
        <v>1.9061637999999999E-2</v>
      </c>
      <c r="N12">
        <v>4.4450699000000002E-3</v>
      </c>
      <c r="O12">
        <v>6.0720000000000001</v>
      </c>
      <c r="P12">
        <v>-7.3545253999999999E-3</v>
      </c>
      <c r="Q12">
        <v>-1.7175643999999999E-3</v>
      </c>
      <c r="R12">
        <v>-4.4656675E-2</v>
      </c>
      <c r="S12">
        <v>1.2801800000000001</v>
      </c>
    </row>
    <row r="13" spans="1:19">
      <c r="A13" t="s">
        <v>11</v>
      </c>
      <c r="B13">
        <v>957</v>
      </c>
      <c r="C13">
        <v>75.28013</v>
      </c>
      <c r="D13">
        <v>24.919</v>
      </c>
      <c r="E13">
        <v>0.35743419999999998</v>
      </c>
      <c r="F13">
        <v>1.4343842000000001E-2</v>
      </c>
      <c r="G13">
        <v>50.360990000000001</v>
      </c>
      <c r="H13">
        <v>-0.60992579999999996</v>
      </c>
      <c r="I13">
        <v>-1.2111077E-2</v>
      </c>
      <c r="J13">
        <v>-0.25249169999999999</v>
      </c>
      <c r="K13">
        <v>-3.3540279000000002E-3</v>
      </c>
      <c r="L13">
        <v>71.799090000000007</v>
      </c>
      <c r="M13">
        <v>2.0575501E-2</v>
      </c>
      <c r="N13">
        <v>4.7964356000000001E-3</v>
      </c>
      <c r="O13">
        <v>3.4809999999999999</v>
      </c>
      <c r="P13">
        <v>-7.6164617000000004E-3</v>
      </c>
      <c r="Q13">
        <v>-1.7675268E-3</v>
      </c>
      <c r="R13">
        <v>-2.6512902000000001E-2</v>
      </c>
      <c r="S13">
        <v>1.4773019999999999</v>
      </c>
    </row>
    <row r="14" spans="1:19">
      <c r="A14" t="s">
        <v>12</v>
      </c>
      <c r="B14">
        <v>1894</v>
      </c>
      <c r="C14">
        <v>257.19670000000002</v>
      </c>
      <c r="D14">
        <v>94.799109999999999</v>
      </c>
      <c r="E14">
        <v>0.92156899999999997</v>
      </c>
      <c r="F14">
        <v>9.7212837999999992E-3</v>
      </c>
      <c r="G14">
        <v>162.39779999999999</v>
      </c>
      <c r="H14">
        <v>-1.4807140000000001</v>
      </c>
      <c r="I14">
        <v>-9.1178193999999994E-3</v>
      </c>
      <c r="J14">
        <v>-0.5591448</v>
      </c>
      <c r="K14">
        <v>-2.173997E-3</v>
      </c>
      <c r="L14">
        <v>237.23269999999999</v>
      </c>
      <c r="M14">
        <v>1.9344585000000001E-2</v>
      </c>
      <c r="N14">
        <v>4.5482344000000001E-3</v>
      </c>
      <c r="O14">
        <v>19.963999999999999</v>
      </c>
      <c r="P14">
        <v>-7.8972056999999998E-3</v>
      </c>
      <c r="Q14">
        <v>-1.8548217E-3</v>
      </c>
      <c r="R14">
        <v>-0.15765979999999999</v>
      </c>
      <c r="S14">
        <v>4.5891690000000001</v>
      </c>
    </row>
    <row r="15" spans="1:19">
      <c r="A15" t="s">
        <v>13</v>
      </c>
      <c r="B15">
        <v>2192</v>
      </c>
      <c r="C15">
        <v>151.04050000000001</v>
      </c>
      <c r="D15">
        <v>41.808</v>
      </c>
      <c r="E15">
        <v>0.78737190000000001</v>
      </c>
      <c r="F15">
        <v>1.8833045E-2</v>
      </c>
      <c r="G15">
        <v>109.2325</v>
      </c>
      <c r="H15">
        <v>-1.247635</v>
      </c>
      <c r="I15">
        <v>-1.1421832E-2</v>
      </c>
      <c r="J15">
        <v>-0.46026309999999998</v>
      </c>
      <c r="K15">
        <v>-3.0472816E-3</v>
      </c>
      <c r="L15">
        <v>143.3126</v>
      </c>
      <c r="M15">
        <v>2.5012853000000002E-2</v>
      </c>
      <c r="N15">
        <v>5.8287112000000004E-3</v>
      </c>
      <c r="O15">
        <v>7.7280009999999999</v>
      </c>
      <c r="P15">
        <v>-1.0568648999999999E-2</v>
      </c>
      <c r="Q15">
        <v>-2.4749858000000001E-3</v>
      </c>
      <c r="R15">
        <v>-8.1674530999999995E-2</v>
      </c>
      <c r="S15">
        <v>3.584657</v>
      </c>
    </row>
    <row r="16" spans="1:19">
      <c r="A16" t="s">
        <v>14</v>
      </c>
      <c r="B16">
        <v>2192</v>
      </c>
      <c r="C16">
        <v>154.6986</v>
      </c>
      <c r="D16">
        <v>38.797989999999999</v>
      </c>
      <c r="E16">
        <v>0.70392299999999997</v>
      </c>
      <c r="F16">
        <v>1.8143283E-2</v>
      </c>
      <c r="G16">
        <v>115.9006</v>
      </c>
      <c r="H16">
        <v>-1.3141050000000001</v>
      </c>
      <c r="I16">
        <v>-1.133821E-2</v>
      </c>
      <c r="J16">
        <v>-0.61018220000000001</v>
      </c>
      <c r="K16">
        <v>-3.9443298999999998E-3</v>
      </c>
      <c r="L16">
        <v>145.30459999999999</v>
      </c>
      <c r="M16">
        <v>2.5136016000000001E-2</v>
      </c>
      <c r="N16">
        <v>5.8531724000000004E-3</v>
      </c>
      <c r="O16">
        <v>9.3940009999999994</v>
      </c>
      <c r="P16">
        <v>-1.0470119999999999E-2</v>
      </c>
      <c r="Q16">
        <v>-2.4589081000000001E-3</v>
      </c>
      <c r="R16">
        <v>-9.8356320999999997E-2</v>
      </c>
      <c r="S16">
        <v>3.65238</v>
      </c>
    </row>
    <row r="17" spans="1:19">
      <c r="A17" t="s">
        <v>15</v>
      </c>
      <c r="B17">
        <v>2201</v>
      </c>
      <c r="C17">
        <v>153.91460000000001</v>
      </c>
      <c r="D17">
        <v>50.040990000000001</v>
      </c>
      <c r="E17">
        <v>0.74541690000000005</v>
      </c>
      <c r="F17">
        <v>1.4896126000000001E-2</v>
      </c>
      <c r="G17">
        <v>103.87350000000001</v>
      </c>
      <c r="H17">
        <v>-1.2273240000000001</v>
      </c>
      <c r="I17">
        <v>-1.1815565E-2</v>
      </c>
      <c r="J17">
        <v>-0.48190670000000002</v>
      </c>
      <c r="K17">
        <v>-3.131001E-3</v>
      </c>
      <c r="L17">
        <v>142.64760000000001</v>
      </c>
      <c r="M17">
        <v>2.5411405000000001E-2</v>
      </c>
      <c r="N17">
        <v>5.9230005999999997E-3</v>
      </c>
      <c r="O17">
        <v>11.266999999999999</v>
      </c>
      <c r="P17">
        <v>-1.1496195000000001E-2</v>
      </c>
      <c r="Q17">
        <v>-2.6984913E-3</v>
      </c>
      <c r="R17">
        <v>-0.12952759999999999</v>
      </c>
      <c r="S17">
        <v>3.624876</v>
      </c>
    </row>
    <row r="18" spans="1:19">
      <c r="A18" t="s">
        <v>16</v>
      </c>
      <c r="B18">
        <v>4326</v>
      </c>
      <c r="C18">
        <v>375.25659999999999</v>
      </c>
      <c r="D18">
        <v>95.399990000000003</v>
      </c>
      <c r="E18">
        <v>1.5159480000000001</v>
      </c>
      <c r="F18">
        <v>1.5890444E-2</v>
      </c>
      <c r="G18">
        <v>279.85610000000003</v>
      </c>
      <c r="H18">
        <v>-2.289358</v>
      </c>
      <c r="I18">
        <v>-8.1804822999999999E-3</v>
      </c>
      <c r="J18">
        <v>-0.77341000000000004</v>
      </c>
      <c r="K18">
        <v>-2.0610161999999998E-3</v>
      </c>
      <c r="L18">
        <v>359.79320000000001</v>
      </c>
      <c r="M18">
        <v>2.3831846E-2</v>
      </c>
      <c r="N18">
        <v>5.6006106999999996E-3</v>
      </c>
      <c r="O18">
        <v>15.462999999999999</v>
      </c>
      <c r="P18">
        <v>-9.4145415E-3</v>
      </c>
      <c r="Q18">
        <v>-2.2057131999999998E-3</v>
      </c>
      <c r="R18">
        <v>-0.14557709999999999</v>
      </c>
      <c r="S18">
        <v>8.5745349999999991</v>
      </c>
    </row>
    <row r="19" spans="1:19">
      <c r="A19" t="s">
        <v>17</v>
      </c>
      <c r="B19">
        <v>4366</v>
      </c>
      <c r="C19">
        <v>374.40899999999999</v>
      </c>
      <c r="D19">
        <v>99.345039999999997</v>
      </c>
      <c r="E19">
        <v>1.6462600000000001</v>
      </c>
      <c r="F19">
        <v>1.6571140000000002E-2</v>
      </c>
      <c r="G19">
        <v>275.06400000000002</v>
      </c>
      <c r="H19">
        <v>-2.1371760000000002</v>
      </c>
      <c r="I19">
        <v>-7.769743E-3</v>
      </c>
      <c r="J19">
        <v>-0.49091580000000001</v>
      </c>
      <c r="K19">
        <v>-1.3111753E-3</v>
      </c>
      <c r="L19">
        <v>358.4289</v>
      </c>
      <c r="M19">
        <v>2.3225961E-2</v>
      </c>
      <c r="N19">
        <v>5.4625031000000001E-3</v>
      </c>
      <c r="O19">
        <v>15.98</v>
      </c>
      <c r="P19">
        <v>-9.7245425000000007E-3</v>
      </c>
      <c r="Q19">
        <v>-2.2852679E-3</v>
      </c>
      <c r="R19">
        <v>-0.15539819999999999</v>
      </c>
      <c r="S19">
        <v>8.3248549999999994</v>
      </c>
    </row>
    <row r="20" spans="1:19">
      <c r="A20" t="s">
        <v>18</v>
      </c>
      <c r="B20">
        <v>4368</v>
      </c>
      <c r="C20">
        <v>383.10899999999998</v>
      </c>
      <c r="D20">
        <v>101.35509999999999</v>
      </c>
      <c r="E20">
        <v>1.68943</v>
      </c>
      <c r="F20">
        <v>1.6668427999999999E-2</v>
      </c>
      <c r="G20">
        <v>281.75380000000001</v>
      </c>
      <c r="H20">
        <v>-2.2418849999999999</v>
      </c>
      <c r="I20">
        <v>-7.9568932000000005E-3</v>
      </c>
      <c r="J20">
        <v>-0.55245480000000002</v>
      </c>
      <c r="K20">
        <v>-1.4420304000000001E-3</v>
      </c>
      <c r="L20">
        <v>367.84570000000002</v>
      </c>
      <c r="M20">
        <v>2.3303276000000001E-2</v>
      </c>
      <c r="N20">
        <v>5.4808239999999996E-3</v>
      </c>
      <c r="O20">
        <v>15.263</v>
      </c>
      <c r="P20">
        <v>-1.0033431000000001E-2</v>
      </c>
      <c r="Q20">
        <v>-2.3560043999999998E-3</v>
      </c>
      <c r="R20">
        <v>-0.15314030000000001</v>
      </c>
      <c r="S20">
        <v>8.5720089999999995</v>
      </c>
    </row>
    <row r="21" spans="1:19">
      <c r="A21" t="s">
        <v>19</v>
      </c>
      <c r="B21">
        <v>4368</v>
      </c>
      <c r="C21">
        <v>382.97089999999997</v>
      </c>
      <c r="D21">
        <v>101.822</v>
      </c>
      <c r="E21">
        <v>1.487986</v>
      </c>
      <c r="F21">
        <v>1.4613596E-2</v>
      </c>
      <c r="G21">
        <v>281.149</v>
      </c>
      <c r="H21">
        <v>-2.2149230000000002</v>
      </c>
      <c r="I21">
        <v>-7.878108E-3</v>
      </c>
      <c r="J21">
        <v>-0.72693649999999999</v>
      </c>
      <c r="K21">
        <v>-1.8981506999999999E-3</v>
      </c>
      <c r="L21">
        <v>366.90679999999998</v>
      </c>
      <c r="M21">
        <v>2.3257498000000001E-2</v>
      </c>
      <c r="N21">
        <v>5.4735946000000002E-3</v>
      </c>
      <c r="O21">
        <v>16.064</v>
      </c>
      <c r="P21">
        <v>-9.3765371000000004E-3</v>
      </c>
      <c r="Q21">
        <v>-2.2150688E-3</v>
      </c>
      <c r="R21">
        <v>-0.1506247</v>
      </c>
      <c r="S21">
        <v>8.533334</v>
      </c>
    </row>
    <row r="22" spans="1:19">
      <c r="A22" t="s">
        <v>20</v>
      </c>
      <c r="B22">
        <v>4376</v>
      </c>
      <c r="C22">
        <v>376.15010000000001</v>
      </c>
      <c r="D22">
        <v>99.905050000000003</v>
      </c>
      <c r="E22">
        <v>1.676887</v>
      </c>
      <c r="F22">
        <v>1.6784807999999998E-2</v>
      </c>
      <c r="G22">
        <v>276.24509999999998</v>
      </c>
      <c r="H22">
        <v>-2.1844420000000002</v>
      </c>
      <c r="I22">
        <v>-7.9076244000000004E-3</v>
      </c>
      <c r="J22">
        <v>-0.50755490000000003</v>
      </c>
      <c r="K22">
        <v>-1.3493412000000001E-3</v>
      </c>
      <c r="L22">
        <v>361.12700000000001</v>
      </c>
      <c r="M22">
        <v>2.3368389999999999E-2</v>
      </c>
      <c r="N22">
        <v>5.4976922000000003E-3</v>
      </c>
      <c r="O22">
        <v>15.023</v>
      </c>
      <c r="P22">
        <v>-1.0001029E-2</v>
      </c>
      <c r="Q22">
        <v>-2.347586E-3</v>
      </c>
      <c r="R22">
        <v>-0.1502455</v>
      </c>
      <c r="S22">
        <v>8.4389570000000003</v>
      </c>
    </row>
    <row r="23" spans="1:19">
      <c r="A23" t="s">
        <v>21</v>
      </c>
      <c r="B23">
        <v>4382</v>
      </c>
      <c r="C23">
        <v>385.99709999999999</v>
      </c>
      <c r="D23">
        <v>97.093010000000007</v>
      </c>
      <c r="E23">
        <v>1.4863919999999999</v>
      </c>
      <c r="F23">
        <v>1.5308946E-2</v>
      </c>
      <c r="G23">
        <v>288.9042</v>
      </c>
      <c r="H23">
        <v>-2.198788</v>
      </c>
      <c r="I23">
        <v>-7.6107872E-3</v>
      </c>
      <c r="J23">
        <v>-0.71239669999999999</v>
      </c>
      <c r="K23">
        <v>-1.8456010999999999E-3</v>
      </c>
      <c r="L23">
        <v>369.5179</v>
      </c>
      <c r="M23">
        <v>2.3356535000000001E-2</v>
      </c>
      <c r="N23">
        <v>5.4902405999999997E-3</v>
      </c>
      <c r="O23">
        <v>16.478999999999999</v>
      </c>
      <c r="P23">
        <v>-9.4871065000000001E-3</v>
      </c>
      <c r="Q23">
        <v>-2.2334002E-3</v>
      </c>
      <c r="R23">
        <v>-0.156338</v>
      </c>
      <c r="S23">
        <v>8.6306580000000004</v>
      </c>
    </row>
    <row r="24" spans="1:19">
      <c r="A24" t="s">
        <v>34</v>
      </c>
      <c r="B24">
        <v>4382</v>
      </c>
      <c r="C24">
        <v>377.5401</v>
      </c>
      <c r="D24">
        <v>100.33</v>
      </c>
      <c r="E24">
        <v>1.6333610000000001</v>
      </c>
      <c r="F24">
        <v>1.627988E-2</v>
      </c>
      <c r="G24">
        <v>277.21010000000001</v>
      </c>
      <c r="H24">
        <v>-2.2298930000000001</v>
      </c>
      <c r="I24">
        <v>-8.0440518999999999E-3</v>
      </c>
      <c r="J24">
        <v>-0.59653210000000001</v>
      </c>
      <c r="K24">
        <v>-1.5800495E-3</v>
      </c>
      <c r="L24">
        <v>362.50580000000002</v>
      </c>
      <c r="M24">
        <v>2.3278759999999999E-2</v>
      </c>
      <c r="N24">
        <v>5.4796649999999999E-3</v>
      </c>
      <c r="O24">
        <v>15.034000000000001</v>
      </c>
      <c r="P24">
        <v>-9.5216100999999994E-3</v>
      </c>
      <c r="Q24">
        <v>-2.2366858999999998E-3</v>
      </c>
      <c r="R24">
        <v>-0.14314789999999999</v>
      </c>
      <c r="S24">
        <v>8.4386840000000003</v>
      </c>
    </row>
    <row r="25" spans="1:19">
      <c r="A25" t="s">
        <v>22</v>
      </c>
      <c r="B25">
        <v>4384</v>
      </c>
      <c r="C25">
        <v>207.49420000000001</v>
      </c>
      <c r="D25">
        <v>69.983050000000006</v>
      </c>
      <c r="E25">
        <v>1.4162440000000001</v>
      </c>
      <c r="F25">
        <v>2.0236956E-2</v>
      </c>
      <c r="G25">
        <v>137.51159999999999</v>
      </c>
      <c r="H25">
        <v>-1.5082439999999999</v>
      </c>
      <c r="I25">
        <v>-1.0968123999999999E-2</v>
      </c>
      <c r="J25">
        <v>-9.2000245999999994E-2</v>
      </c>
      <c r="K25">
        <v>-4.4338705000000002E-4</v>
      </c>
      <c r="L25">
        <v>200.02420000000001</v>
      </c>
      <c r="M25">
        <v>2.5275443000000002E-2</v>
      </c>
      <c r="N25">
        <v>5.8924258E-3</v>
      </c>
      <c r="O25">
        <v>7.470002</v>
      </c>
      <c r="P25">
        <v>-9.3840481999999999E-3</v>
      </c>
      <c r="Q25">
        <v>-2.1905891999999998E-3</v>
      </c>
      <c r="R25">
        <v>-7.0098855000000002E-2</v>
      </c>
      <c r="S25">
        <v>5.055701</v>
      </c>
    </row>
    <row r="26" spans="1:19">
      <c r="A26" t="s">
        <v>23</v>
      </c>
      <c r="B26">
        <v>4386</v>
      </c>
      <c r="C26">
        <v>382.52409999999998</v>
      </c>
      <c r="D26">
        <v>94.858099999999993</v>
      </c>
      <c r="E26">
        <v>1.385999</v>
      </c>
      <c r="F26">
        <v>1.4611291E-2</v>
      </c>
      <c r="G26">
        <v>287.666</v>
      </c>
      <c r="H26">
        <v>-2.244605</v>
      </c>
      <c r="I26">
        <v>-7.8028170000000001E-3</v>
      </c>
      <c r="J26">
        <v>-0.85860550000000002</v>
      </c>
      <c r="K26">
        <v>-2.2445786999999999E-3</v>
      </c>
      <c r="L26">
        <v>365.33690000000001</v>
      </c>
      <c r="M26">
        <v>2.30853E-2</v>
      </c>
      <c r="N26">
        <v>5.4342211E-3</v>
      </c>
      <c r="O26">
        <v>17.187000000000001</v>
      </c>
      <c r="P26">
        <v>-9.8834075E-3</v>
      </c>
      <c r="Q26">
        <v>-2.3269330000000002E-3</v>
      </c>
      <c r="R26">
        <v>-0.16986609999999999</v>
      </c>
      <c r="S26">
        <v>8.4339110000000002</v>
      </c>
    </row>
    <row r="27" spans="1:19">
      <c r="A27" t="s">
        <v>24</v>
      </c>
      <c r="B27">
        <v>4386</v>
      </c>
      <c r="C27">
        <v>377.82530000000003</v>
      </c>
      <c r="D27">
        <v>100.1161</v>
      </c>
      <c r="E27">
        <v>1.59924</v>
      </c>
      <c r="F27">
        <v>1.5973854999999999E-2</v>
      </c>
      <c r="G27">
        <v>277.70940000000002</v>
      </c>
      <c r="H27">
        <v>-2.1171959999999999</v>
      </c>
      <c r="I27">
        <v>-7.6237804999999999E-3</v>
      </c>
      <c r="J27">
        <v>-0.51795599999999997</v>
      </c>
      <c r="K27">
        <v>-1.3708874E-3</v>
      </c>
      <c r="L27">
        <v>362.56299999999999</v>
      </c>
      <c r="M27">
        <v>2.3288341000000001E-2</v>
      </c>
      <c r="N27">
        <v>5.4650428000000001E-3</v>
      </c>
      <c r="O27">
        <v>15.262</v>
      </c>
      <c r="P27">
        <v>-9.2327808999999993E-3</v>
      </c>
      <c r="Q27">
        <v>-2.167857E-3</v>
      </c>
      <c r="R27">
        <v>-0.1409107</v>
      </c>
      <c r="S27">
        <v>8.4434909999999999</v>
      </c>
    </row>
    <row r="28" spans="1:19">
      <c r="A28" t="s">
        <v>25</v>
      </c>
      <c r="B28">
        <v>4396</v>
      </c>
      <c r="C28">
        <v>428.47480000000002</v>
      </c>
      <c r="D28">
        <v>95.777109999999993</v>
      </c>
      <c r="E28">
        <v>1.420588</v>
      </c>
      <c r="F28">
        <v>1.4832226E-2</v>
      </c>
      <c r="G28">
        <v>332.69810000000001</v>
      </c>
      <c r="H28">
        <v>-2.4528400000000001</v>
      </c>
      <c r="I28">
        <v>-7.3725698000000001E-3</v>
      </c>
      <c r="J28">
        <v>-1.0322519999999999</v>
      </c>
      <c r="K28">
        <v>-2.4091312999999998E-3</v>
      </c>
      <c r="L28">
        <v>412.7448</v>
      </c>
      <c r="M28">
        <v>2.2363871E-2</v>
      </c>
      <c r="N28">
        <v>5.2746125000000003E-3</v>
      </c>
      <c r="O28">
        <v>15.73</v>
      </c>
      <c r="P28">
        <v>-1.4956855999999999E-2</v>
      </c>
      <c r="Q28">
        <v>-3.5115120000000001E-3</v>
      </c>
      <c r="R28">
        <v>-0.23527129999999999</v>
      </c>
      <c r="S28">
        <v>9.2305720000000004</v>
      </c>
    </row>
    <row r="29" spans="1:19">
      <c r="A29" t="s">
        <v>26</v>
      </c>
      <c r="B29">
        <v>4496</v>
      </c>
      <c r="C29">
        <v>297.22019999999998</v>
      </c>
      <c r="D29">
        <v>43.677019999999999</v>
      </c>
      <c r="E29">
        <v>0.51843470000000003</v>
      </c>
      <c r="F29">
        <v>1.1869736000000001E-2</v>
      </c>
      <c r="G29">
        <v>253.54310000000001</v>
      </c>
      <c r="H29">
        <v>-2.537598</v>
      </c>
      <c r="I29">
        <v>-1.0008547E-2</v>
      </c>
      <c r="J29">
        <v>-2.0191629999999998</v>
      </c>
      <c r="K29">
        <v>-6.7934928999999998E-3</v>
      </c>
      <c r="L29">
        <v>287.22930000000002</v>
      </c>
      <c r="M29">
        <v>2.9140157999999999E-2</v>
      </c>
      <c r="N29">
        <v>6.8549602000000003E-3</v>
      </c>
      <c r="O29">
        <v>9.9909999999999997</v>
      </c>
      <c r="P29">
        <v>-7.5883799999999996E-3</v>
      </c>
      <c r="Q29">
        <v>-1.8051311E-3</v>
      </c>
      <c r="R29">
        <v>-7.5815506000000005E-2</v>
      </c>
      <c r="S29">
        <v>8.3699060000000003</v>
      </c>
    </row>
    <row r="30" spans="1:19">
      <c r="A30" t="s">
        <v>27</v>
      </c>
      <c r="B30">
        <v>4616</v>
      </c>
      <c r="C30">
        <v>286.91609999999997</v>
      </c>
      <c r="D30">
        <v>66.078029999999998</v>
      </c>
      <c r="E30">
        <v>1.3005500000000001</v>
      </c>
      <c r="F30">
        <v>1.9682036999999999E-2</v>
      </c>
      <c r="G30">
        <v>220.83779999999999</v>
      </c>
      <c r="H30">
        <v>-2.44983</v>
      </c>
      <c r="I30">
        <v>-1.1093344999999999E-2</v>
      </c>
      <c r="J30">
        <v>-1.1492789999999999</v>
      </c>
      <c r="K30">
        <v>-4.0056286E-3</v>
      </c>
      <c r="L30">
        <v>243.01079999999999</v>
      </c>
      <c r="M30">
        <v>2.8647531E-2</v>
      </c>
      <c r="N30">
        <v>6.7068003000000003E-3</v>
      </c>
      <c r="O30">
        <v>43.905009999999997</v>
      </c>
      <c r="P30">
        <v>-1.2751658000000001E-2</v>
      </c>
      <c r="Q30">
        <v>-3.0100092000000002E-3</v>
      </c>
      <c r="R30">
        <v>-0.55986170000000002</v>
      </c>
      <c r="S30">
        <v>6.961659</v>
      </c>
    </row>
    <row r="31" spans="1:19">
      <c r="A31" t="s">
        <v>28</v>
      </c>
      <c r="B31">
        <v>4599</v>
      </c>
      <c r="C31">
        <v>168.5745</v>
      </c>
      <c r="D31">
        <v>51.997010000000003</v>
      </c>
      <c r="E31">
        <v>1.1556150000000001</v>
      </c>
      <c r="F31">
        <v>2.2224648E-2</v>
      </c>
      <c r="G31">
        <v>116.5776</v>
      </c>
      <c r="H31">
        <v>-2.213873</v>
      </c>
      <c r="I31">
        <v>-1.8990552000000001E-2</v>
      </c>
      <c r="J31">
        <v>-1.0582579999999999</v>
      </c>
      <c r="K31">
        <v>-6.2776841E-3</v>
      </c>
      <c r="L31">
        <v>166.2525</v>
      </c>
      <c r="M31">
        <v>3.2671726999999998E-2</v>
      </c>
      <c r="N31">
        <v>7.6288730000000004E-3</v>
      </c>
      <c r="O31">
        <v>2.3220000000000001</v>
      </c>
      <c r="P31">
        <v>-7.0562973000000001E-3</v>
      </c>
      <c r="Q31">
        <v>-1.6384721E-3</v>
      </c>
      <c r="R31">
        <v>-1.6384721000000001E-2</v>
      </c>
      <c r="S31">
        <v>5.4317570000000002</v>
      </c>
    </row>
    <row r="32" spans="1:19">
      <c r="A32" t="s">
        <v>29</v>
      </c>
      <c r="B32">
        <v>4600</v>
      </c>
      <c r="C32">
        <v>162.52549999999999</v>
      </c>
      <c r="D32">
        <v>45.623019999999997</v>
      </c>
      <c r="E32">
        <v>1.091566</v>
      </c>
      <c r="F32">
        <v>2.3925774E-2</v>
      </c>
      <c r="G32">
        <v>116.90260000000001</v>
      </c>
      <c r="H32">
        <v>-2.2010640000000001</v>
      </c>
      <c r="I32">
        <v>-1.8828188999999999E-2</v>
      </c>
      <c r="J32">
        <v>-1.1094980000000001</v>
      </c>
      <c r="K32">
        <v>-6.8266046999999998E-3</v>
      </c>
      <c r="L32">
        <v>159.9606</v>
      </c>
      <c r="M32">
        <v>3.3509754000000003E-2</v>
      </c>
      <c r="N32">
        <v>7.8137590999999996E-3</v>
      </c>
      <c r="O32">
        <v>2.5649999999999999</v>
      </c>
      <c r="P32">
        <v>-1.0491032000000001E-2</v>
      </c>
      <c r="Q32">
        <v>-2.4463178000000002E-3</v>
      </c>
      <c r="R32">
        <v>-2.6909494999999999E-2</v>
      </c>
      <c r="S32">
        <v>5.360239</v>
      </c>
    </row>
    <row r="33" spans="1:19">
      <c r="A33" t="s">
        <v>30</v>
      </c>
      <c r="B33">
        <v>4599</v>
      </c>
      <c r="C33">
        <v>165.62450000000001</v>
      </c>
      <c r="D33">
        <v>47.414999999999999</v>
      </c>
      <c r="E33">
        <v>1.1107009999999999</v>
      </c>
      <c r="F33">
        <v>2.3425090999999999E-2</v>
      </c>
      <c r="G33">
        <v>118.20959999999999</v>
      </c>
      <c r="H33">
        <v>-2.1690290000000001</v>
      </c>
      <c r="I33">
        <v>-1.8349014E-2</v>
      </c>
      <c r="J33">
        <v>-1.0583279999999999</v>
      </c>
      <c r="K33">
        <v>-6.3899253E-3</v>
      </c>
      <c r="L33">
        <v>163.29150000000001</v>
      </c>
      <c r="M33">
        <v>3.3416551000000003E-2</v>
      </c>
      <c r="N33">
        <v>7.7951988E-3</v>
      </c>
      <c r="O33">
        <v>2.3330000000000002</v>
      </c>
      <c r="P33">
        <v>-9.8995770999999993E-3</v>
      </c>
      <c r="Q33">
        <v>-2.3095712999999999E-3</v>
      </c>
      <c r="R33">
        <v>-2.3095712000000001E-2</v>
      </c>
      <c r="S33">
        <v>5.456639</v>
      </c>
    </row>
    <row r="34" spans="1:19">
      <c r="A34" t="s">
        <v>31</v>
      </c>
      <c r="B34">
        <v>10032</v>
      </c>
      <c r="C34">
        <v>700.60749999999996</v>
      </c>
      <c r="D34">
        <v>248.15649999999999</v>
      </c>
      <c r="E34">
        <v>2.2006260000000002</v>
      </c>
      <c r="F34">
        <v>8.8678961999999993E-3</v>
      </c>
      <c r="G34">
        <v>452.45240000000001</v>
      </c>
      <c r="H34">
        <v>-4.6062409999999998</v>
      </c>
      <c r="I34">
        <v>-1.0180609E-2</v>
      </c>
      <c r="J34">
        <v>-2.4056150000000001</v>
      </c>
      <c r="K34">
        <v>-3.4336130999999999E-3</v>
      </c>
      <c r="L34">
        <v>610.45979999999997</v>
      </c>
      <c r="M34">
        <v>2.1062332999999999E-2</v>
      </c>
      <c r="N34">
        <v>4.9187861999999997E-3</v>
      </c>
      <c r="O34">
        <v>90.147829999999999</v>
      </c>
      <c r="P34">
        <v>-7.8903510999999999E-3</v>
      </c>
      <c r="Q34">
        <v>-1.8718369999999999E-3</v>
      </c>
      <c r="R34">
        <v>-0.71129799999999999</v>
      </c>
      <c r="S34">
        <v>12.857710000000001</v>
      </c>
    </row>
    <row r="35" spans="1:19">
      <c r="A35" t="s">
        <v>32</v>
      </c>
      <c r="B35">
        <v>10214</v>
      </c>
      <c r="C35">
        <v>770.41729999999995</v>
      </c>
      <c r="D35">
        <v>237.19980000000001</v>
      </c>
      <c r="E35">
        <v>2.764087</v>
      </c>
      <c r="F35">
        <v>1.1652988E-2</v>
      </c>
      <c r="G35">
        <v>533.22069999999997</v>
      </c>
      <c r="H35">
        <v>-5.4793700000000003</v>
      </c>
      <c r="I35">
        <v>-1.0275988999999999E-2</v>
      </c>
      <c r="J35">
        <v>-2.7152829999999999</v>
      </c>
      <c r="K35">
        <v>-3.5244317E-3</v>
      </c>
      <c r="L35">
        <v>673.38599999999997</v>
      </c>
      <c r="M35">
        <v>2.2336023E-2</v>
      </c>
      <c r="N35">
        <v>5.2370359E-3</v>
      </c>
      <c r="O35">
        <v>97.031840000000003</v>
      </c>
      <c r="P35">
        <v>-1.0138724999999999E-2</v>
      </c>
      <c r="Q35">
        <v>-2.3936231000000001E-3</v>
      </c>
      <c r="R35">
        <v>-0.98377910000000002</v>
      </c>
      <c r="S35">
        <v>15.04077</v>
      </c>
    </row>
    <row r="36" spans="1:19">
      <c r="A36" t="s">
        <v>33</v>
      </c>
      <c r="B36">
        <v>10355</v>
      </c>
      <c r="C36">
        <v>876.77419999999995</v>
      </c>
      <c r="D36">
        <v>353.50979999999998</v>
      </c>
      <c r="E36">
        <v>3.5886140000000002</v>
      </c>
      <c r="F36">
        <v>1.0151383E-2</v>
      </c>
      <c r="G36">
        <v>523.26930000000004</v>
      </c>
      <c r="H36">
        <v>-4.7901030000000002</v>
      </c>
      <c r="I36">
        <v>-9.1541819000000007E-3</v>
      </c>
      <c r="J36">
        <v>-1.201489</v>
      </c>
      <c r="K36">
        <v>-1.3703521000000001E-3</v>
      </c>
      <c r="L36">
        <v>737.08669999999995</v>
      </c>
      <c r="M36">
        <v>1.9485695000000001E-2</v>
      </c>
      <c r="N36">
        <v>4.5365281000000002E-3</v>
      </c>
      <c r="O36">
        <v>139.68870000000001</v>
      </c>
      <c r="P36">
        <v>-1.2589144E-2</v>
      </c>
      <c r="Q36">
        <v>-2.9705415999999999E-3</v>
      </c>
      <c r="R36">
        <v>-1.758561</v>
      </c>
      <c r="S36">
        <v>14.36265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X37"/>
  <sheetViews>
    <sheetView zoomScale="75" zoomScaleNormal="75" workbookViewId="0">
      <selection activeCell="AB34" sqref="AB34"/>
    </sheetView>
  </sheetViews>
  <sheetFormatPr defaultRowHeight="15"/>
  <sheetData>
    <row r="1" spans="1:24">
      <c r="A1" s="1"/>
      <c r="B1" s="1" t="str">
        <f>"AA_pho_pat_1.4A"</f>
        <v>AA_pho_pat_1.4A</v>
      </c>
      <c r="C1" s="1" t="str">
        <f>"AA_pho_pat_2A"</f>
        <v>AA_pho_pat_2A</v>
      </c>
      <c r="D1" s="1" t="str">
        <f>"AA_pho_pat_3A"</f>
        <v>AA_pho_pat_3A</v>
      </c>
      <c r="E1" s="1" t="str">
        <f>"AA_pho_pat_4A"</f>
        <v>AA_pho_pat_4A</v>
      </c>
      <c r="F1" s="1" t="str">
        <f>"AA_pho_pat_5A"</f>
        <v>AA_pho_pat_5A</v>
      </c>
      <c r="G1" s="1" t="str">
        <f>"AA_pho_pat_6A"</f>
        <v>AA_pho_pat_6A</v>
      </c>
      <c r="H1" s="1" t="str">
        <f>"AA_pho_pat_7A"</f>
        <v>AA_pho_pat_7A</v>
      </c>
      <c r="I1" s="1" t="str">
        <f>"AA_pho_pat_8A"</f>
        <v>AA_pho_pat_8A</v>
      </c>
      <c r="J1" s="1" t="str">
        <f>"AA_pho_pat_9A"</f>
        <v>AA_pho_pat_9A</v>
      </c>
      <c r="K1" s="1" t="str">
        <f>"AA_pho_pat_10A"</f>
        <v>AA_pho_pat_10A</v>
      </c>
      <c r="L1" s="1" t="str">
        <f>"AA_pho_pat_11A"</f>
        <v>AA_pho_pat_11A</v>
      </c>
      <c r="M1" s="1" t="str">
        <f>"AA_pho_pat_12A"</f>
        <v>AA_pho_pat_12A</v>
      </c>
      <c r="N1" s="1" t="str">
        <f>"AA_pho_pat_13A"</f>
        <v>AA_pho_pat_13A</v>
      </c>
      <c r="O1" s="1" t="str">
        <f>"AA_pho_pat_14A"</f>
        <v>AA_pho_pat_14A</v>
      </c>
      <c r="P1" s="1" t="str">
        <f>"AA_pho_pat_15A"</f>
        <v>AA_pho_pat_15A</v>
      </c>
      <c r="Q1" s="1" t="str">
        <f>"AA_pho_pat_16A"</f>
        <v>AA_pho_pat_16A</v>
      </c>
      <c r="R1" s="1" t="str">
        <f>"AA_pho_pat_17A"</f>
        <v>AA_pho_pat_17A</v>
      </c>
      <c r="S1" s="1" t="str">
        <f>"AA_pho_pat_18A"</f>
        <v>AA_pho_pat_18A</v>
      </c>
      <c r="T1" s="1" t="str">
        <f>"AA_pho_pat_19A"</f>
        <v>AA_pho_pat_19A</v>
      </c>
      <c r="U1" s="1" t="str">
        <f>"AA_pho_pat_20A"</f>
        <v>AA_pho_pat_20A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-3.5693366E-3</v>
      </c>
      <c r="C3">
        <v>-3.6278637000000001E-3</v>
      </c>
      <c r="D3">
        <v>-3.6349440999999998E-3</v>
      </c>
      <c r="E3">
        <v>-3.5930465000000001E-3</v>
      </c>
      <c r="F3">
        <v>-3.6005995000000001E-3</v>
      </c>
      <c r="G3">
        <v>-3.3980410000000001E-3</v>
      </c>
      <c r="H3">
        <v>-3.5188096000000001E-3</v>
      </c>
      <c r="I3">
        <v>-3.4538361000000001E-3</v>
      </c>
      <c r="J3">
        <v>-3.4436705E-3</v>
      </c>
      <c r="K3">
        <v>-3.3933282999999998E-3</v>
      </c>
      <c r="L3">
        <v>-3.3833563999999998E-3</v>
      </c>
      <c r="M3">
        <v>-3.4735642999999998E-3</v>
      </c>
      <c r="N3">
        <v>-3.6090289000000001E-3</v>
      </c>
      <c r="O3">
        <v>-3.6300845000000002E-3</v>
      </c>
      <c r="P3">
        <v>-3.5737155E-3</v>
      </c>
      <c r="Q3">
        <v>-3.5422225E-3</v>
      </c>
      <c r="R3">
        <v>-3.4312392000000001E-3</v>
      </c>
      <c r="S3">
        <v>-3.4307379E-3</v>
      </c>
      <c r="T3">
        <v>-3.4526998999999999E-3</v>
      </c>
      <c r="U3">
        <v>-3.4415091000000002E-3</v>
      </c>
    </row>
    <row r="4" spans="1:24">
      <c r="A4" t="s">
        <v>1</v>
      </c>
      <c r="B4">
        <v>-3.0248377000000001E-3</v>
      </c>
      <c r="C4">
        <v>-2.9835075E-3</v>
      </c>
      <c r="D4">
        <v>-2.8029831999999998E-3</v>
      </c>
      <c r="E4">
        <v>-2.6888479000000002E-3</v>
      </c>
      <c r="F4">
        <v>-2.6873996999999998E-3</v>
      </c>
      <c r="G4">
        <v>-2.5669192E-3</v>
      </c>
      <c r="H4">
        <v>-2.6031170999999999E-3</v>
      </c>
      <c r="I4">
        <v>-2.6159426000000002E-3</v>
      </c>
      <c r="J4">
        <v>-2.5760911E-3</v>
      </c>
      <c r="K4">
        <v>-2.5405826000000002E-3</v>
      </c>
      <c r="L4">
        <v>-2.6492846999999998E-3</v>
      </c>
      <c r="M4">
        <v>-2.7149740999999998E-3</v>
      </c>
      <c r="N4">
        <v>-2.6689208999999998E-3</v>
      </c>
      <c r="O4">
        <v>-2.6913977000000001E-3</v>
      </c>
      <c r="P4">
        <v>-2.6630857000000002E-3</v>
      </c>
      <c r="Q4">
        <v>-2.6579072999999998E-3</v>
      </c>
      <c r="R4">
        <v>-2.6243483E-3</v>
      </c>
      <c r="S4">
        <v>-2.6949001000000001E-3</v>
      </c>
      <c r="T4">
        <v>-2.7026724999999999E-3</v>
      </c>
      <c r="U4">
        <v>-2.7007174000000002E-3</v>
      </c>
    </row>
    <row r="5" spans="1:24">
      <c r="A5" t="s">
        <v>2</v>
      </c>
      <c r="B5">
        <v>-3.3816749000000002E-3</v>
      </c>
      <c r="C5">
        <v>-3.3979034E-3</v>
      </c>
      <c r="D5">
        <v>-3.4170916999999999E-3</v>
      </c>
      <c r="E5">
        <v>-3.3383097E-3</v>
      </c>
      <c r="F5">
        <v>-3.4182086E-3</v>
      </c>
      <c r="G5">
        <v>-3.3606145999999998E-3</v>
      </c>
      <c r="H5">
        <v>-3.4302780000000001E-3</v>
      </c>
      <c r="I5">
        <v>-3.5412071999999998E-3</v>
      </c>
      <c r="J5">
        <v>-3.5737659999999999E-3</v>
      </c>
      <c r="K5">
        <v>-3.5826565999999998E-3</v>
      </c>
      <c r="L5">
        <v>-3.6665338999999999E-3</v>
      </c>
      <c r="M5">
        <v>-3.8501688E-3</v>
      </c>
      <c r="N5">
        <v>-3.8734768000000001E-3</v>
      </c>
      <c r="O5">
        <v>-3.8568488999999998E-3</v>
      </c>
      <c r="P5">
        <v>-3.7114711000000001E-3</v>
      </c>
      <c r="Q5">
        <v>-3.6774950999999998E-3</v>
      </c>
      <c r="R5">
        <v>-3.6198311E-3</v>
      </c>
      <c r="S5">
        <v>-3.6318621000000001E-3</v>
      </c>
      <c r="T5">
        <v>-3.6028624000000002E-3</v>
      </c>
      <c r="U5">
        <v>-3.5892527E-3</v>
      </c>
    </row>
    <row r="6" spans="1:24">
      <c r="A6" t="s">
        <v>3</v>
      </c>
      <c r="B6">
        <v>-3.3182511E-3</v>
      </c>
      <c r="C6">
        <v>-3.2212351999999999E-3</v>
      </c>
      <c r="D6">
        <v>-3.1812074999999999E-3</v>
      </c>
      <c r="E6">
        <v>-2.9530756000000001E-3</v>
      </c>
      <c r="F6">
        <v>-2.8091415E-3</v>
      </c>
      <c r="G6">
        <v>-2.8823994E-3</v>
      </c>
      <c r="H6">
        <v>-3.0107312000000001E-3</v>
      </c>
      <c r="I6">
        <v>-2.9324087999999999E-3</v>
      </c>
      <c r="J6">
        <v>-2.9892527999999998E-3</v>
      </c>
      <c r="K6">
        <v>-2.99979E-3</v>
      </c>
      <c r="L6">
        <v>-2.9315046999999999E-3</v>
      </c>
      <c r="M6">
        <v>-2.9150089000000001E-3</v>
      </c>
      <c r="N6">
        <v>-3.0177871000000001E-3</v>
      </c>
      <c r="O6">
        <v>-3.0860265000000001E-3</v>
      </c>
      <c r="P6">
        <v>-2.8798833999999999E-3</v>
      </c>
      <c r="Q6">
        <v>-2.8441743999999998E-3</v>
      </c>
      <c r="R6">
        <v>-2.7188236999999998E-3</v>
      </c>
      <c r="S6">
        <v>-2.6996912999999998E-3</v>
      </c>
      <c r="T6">
        <v>-2.5232213000000001E-3</v>
      </c>
      <c r="U6">
        <v>-2.3984931999999999E-3</v>
      </c>
    </row>
    <row r="7" spans="1:24">
      <c r="A7" t="s">
        <v>4</v>
      </c>
      <c r="B7">
        <v>-3.3284586000000001E-3</v>
      </c>
      <c r="C7">
        <v>-3.2411991000000002E-3</v>
      </c>
      <c r="D7">
        <v>-3.1705713000000002E-3</v>
      </c>
      <c r="E7">
        <v>-2.9925606000000002E-3</v>
      </c>
      <c r="F7">
        <v>-2.9023959999999998E-3</v>
      </c>
      <c r="G7">
        <v>-2.7549333999999999E-3</v>
      </c>
      <c r="H7">
        <v>-2.8469518000000002E-3</v>
      </c>
      <c r="I7">
        <v>-2.7631619E-3</v>
      </c>
      <c r="J7">
        <v>-2.7648462000000001E-3</v>
      </c>
      <c r="K7">
        <v>-2.5001393999999999E-3</v>
      </c>
      <c r="L7">
        <v>-2.6533108000000001E-3</v>
      </c>
      <c r="M7">
        <v>-2.8152875999999999E-3</v>
      </c>
      <c r="N7">
        <v>-2.5777324999999999E-3</v>
      </c>
      <c r="O7">
        <v>-2.6253514999999999E-3</v>
      </c>
      <c r="P7">
        <v>-2.5769972999999998E-3</v>
      </c>
      <c r="Q7">
        <v>-2.5161984E-3</v>
      </c>
      <c r="R7">
        <v>-2.5281181999999998E-3</v>
      </c>
      <c r="S7">
        <v>-2.4668502000000001E-3</v>
      </c>
      <c r="T7">
        <v>-2.4965943000000001E-3</v>
      </c>
      <c r="U7">
        <v>-2.4930440999999998E-3</v>
      </c>
    </row>
    <row r="8" spans="1:24">
      <c r="A8" t="s">
        <v>5</v>
      </c>
      <c r="B8">
        <v>-3.3561655000000001E-3</v>
      </c>
      <c r="C8">
        <v>-3.3355923000000002E-3</v>
      </c>
      <c r="D8">
        <v>-3.2598239000000001E-3</v>
      </c>
      <c r="E8">
        <v>-3.0208523000000002E-3</v>
      </c>
      <c r="F8">
        <v>-3.0137674999999998E-3</v>
      </c>
      <c r="G8">
        <v>-3.0010825000000001E-3</v>
      </c>
      <c r="H8">
        <v>-3.2581487E-3</v>
      </c>
      <c r="I8">
        <v>-3.1002021999999999E-3</v>
      </c>
      <c r="J8">
        <v>-3.1662019999999999E-3</v>
      </c>
      <c r="K8">
        <v>-3.2483195000000001E-3</v>
      </c>
      <c r="L8">
        <v>-3.1197777E-3</v>
      </c>
      <c r="M8">
        <v>-3.1446683999999999E-3</v>
      </c>
      <c r="N8">
        <v>-3.0911670000000001E-3</v>
      </c>
      <c r="O8">
        <v>-3.0150687999999999E-3</v>
      </c>
      <c r="P8">
        <v>-2.8387005000000002E-3</v>
      </c>
      <c r="Q8">
        <v>-2.6509076999999999E-3</v>
      </c>
      <c r="R8">
        <v>-2.6069920999999999E-3</v>
      </c>
      <c r="S8">
        <v>-2.6638829000000001E-3</v>
      </c>
      <c r="T8">
        <v>-2.7341673000000001E-3</v>
      </c>
      <c r="U8">
        <v>-2.7304223999999998E-3</v>
      </c>
    </row>
    <row r="9" spans="1:24">
      <c r="A9" t="s">
        <v>6</v>
      </c>
      <c r="B9">
        <v>-3.2902879000000001E-3</v>
      </c>
      <c r="C9">
        <v>-3.2720688999999998E-3</v>
      </c>
      <c r="D9">
        <v>-3.1761820000000001E-3</v>
      </c>
      <c r="E9">
        <v>-2.9857459E-3</v>
      </c>
      <c r="F9">
        <v>-2.9327303999999998E-3</v>
      </c>
      <c r="G9">
        <v>-2.9803045999999998E-3</v>
      </c>
      <c r="H9">
        <v>-2.9209791999999998E-3</v>
      </c>
      <c r="I9">
        <v>-2.8699772000000002E-3</v>
      </c>
      <c r="J9">
        <v>-2.9254595000000002E-3</v>
      </c>
      <c r="K9">
        <v>-2.7029505000000001E-3</v>
      </c>
      <c r="L9">
        <v>-2.6676115E-3</v>
      </c>
      <c r="M9">
        <v>-2.8397606E-3</v>
      </c>
      <c r="N9">
        <v>-2.9123193000000001E-3</v>
      </c>
      <c r="O9">
        <v>-2.8886416000000002E-3</v>
      </c>
      <c r="P9">
        <v>-2.9568244E-3</v>
      </c>
      <c r="Q9">
        <v>-3.0054601000000002E-3</v>
      </c>
      <c r="R9">
        <v>-2.976004E-3</v>
      </c>
      <c r="S9">
        <v>-2.9426343000000001E-3</v>
      </c>
      <c r="T9">
        <v>-2.8875689E-3</v>
      </c>
      <c r="U9">
        <v>-2.8856071000000001E-3</v>
      </c>
    </row>
    <row r="10" spans="1:24">
      <c r="A10" t="s">
        <v>7</v>
      </c>
      <c r="B10">
        <v>-3.2279282000000002E-3</v>
      </c>
      <c r="C10">
        <v>-3.1147541E-3</v>
      </c>
      <c r="D10">
        <v>-2.9448733999999999E-3</v>
      </c>
      <c r="E10">
        <v>-2.6901605999999998E-3</v>
      </c>
      <c r="F10">
        <v>-2.6903300999999999E-3</v>
      </c>
      <c r="G10">
        <v>-2.5105148E-3</v>
      </c>
      <c r="H10">
        <v>-2.5676828999999998E-3</v>
      </c>
      <c r="I10">
        <v>-2.5120708000000002E-3</v>
      </c>
      <c r="J10">
        <v>-2.5486610999999998E-3</v>
      </c>
      <c r="K10">
        <v>-2.3804758999999998E-3</v>
      </c>
      <c r="L10">
        <v>-2.5038425999999998E-3</v>
      </c>
      <c r="M10">
        <v>-2.4879660999999999E-3</v>
      </c>
      <c r="N10">
        <v>-2.6006610000000002E-3</v>
      </c>
      <c r="O10">
        <v>-2.5982730999999999E-3</v>
      </c>
      <c r="P10">
        <v>-2.5604527999999998E-3</v>
      </c>
      <c r="Q10">
        <v>-2.6933481E-3</v>
      </c>
      <c r="R10">
        <v>-2.5914323E-3</v>
      </c>
      <c r="S10">
        <v>-2.7987091E-3</v>
      </c>
      <c r="T10">
        <v>-2.8201311000000001E-3</v>
      </c>
      <c r="U10">
        <v>-2.5849915000000002E-3</v>
      </c>
    </row>
    <row r="11" spans="1:24">
      <c r="A11" t="s">
        <v>8</v>
      </c>
      <c r="B11">
        <v>-3.3497137000000001E-3</v>
      </c>
      <c r="C11">
        <v>-3.2819290999999999E-3</v>
      </c>
      <c r="D11">
        <v>-3.1566976000000002E-3</v>
      </c>
      <c r="E11">
        <v>-2.9553855000000002E-3</v>
      </c>
      <c r="F11">
        <v>-2.9845962E-3</v>
      </c>
      <c r="G11">
        <v>-2.7717332999999999E-3</v>
      </c>
      <c r="H11">
        <v>-2.8157732000000002E-3</v>
      </c>
      <c r="I11">
        <v>-2.7505727E-3</v>
      </c>
      <c r="J11">
        <v>-2.7421749999999999E-3</v>
      </c>
      <c r="K11">
        <v>-2.6688341000000002E-3</v>
      </c>
      <c r="L11">
        <v>-2.5577961999999998E-3</v>
      </c>
      <c r="M11">
        <v>-2.6292284000000001E-3</v>
      </c>
      <c r="N11">
        <v>-2.4660559999999999E-3</v>
      </c>
      <c r="O11">
        <v>-2.3188865999999998E-3</v>
      </c>
      <c r="P11">
        <v>-2.2896447000000002E-3</v>
      </c>
      <c r="Q11">
        <v>-2.3918305999999999E-3</v>
      </c>
      <c r="R11">
        <v>-2.4286275999999998E-3</v>
      </c>
      <c r="S11">
        <v>-2.5798603999999999E-3</v>
      </c>
      <c r="T11">
        <v>-2.7759077E-3</v>
      </c>
      <c r="U11">
        <v>-2.7745300999999999E-3</v>
      </c>
    </row>
    <row r="12" spans="1:24">
      <c r="A12" t="s">
        <v>9</v>
      </c>
      <c r="B12">
        <v>-2.1757604999999998E-3</v>
      </c>
      <c r="C12">
        <v>-2.0529479000000002E-3</v>
      </c>
      <c r="D12">
        <v>-1.9454741E-3</v>
      </c>
      <c r="E12">
        <v>-1.8052852000000001E-3</v>
      </c>
      <c r="F12">
        <v>-1.825414E-3</v>
      </c>
      <c r="G12">
        <v>-1.7295898E-3</v>
      </c>
      <c r="H12">
        <v>-1.7404775E-3</v>
      </c>
      <c r="I12">
        <v>-1.7540351E-3</v>
      </c>
      <c r="J12">
        <v>-1.7616769999999999E-3</v>
      </c>
      <c r="K12">
        <v>-1.7295703E-3</v>
      </c>
      <c r="L12">
        <v>-1.8642222999999999E-3</v>
      </c>
      <c r="M12">
        <v>-1.7735572999999999E-3</v>
      </c>
      <c r="N12">
        <v>-1.7155153E-3</v>
      </c>
      <c r="O12">
        <v>-1.6884067E-3</v>
      </c>
      <c r="P12">
        <v>-1.6838267000000001E-3</v>
      </c>
      <c r="Q12">
        <v>-1.7180762999999999E-3</v>
      </c>
      <c r="R12">
        <v>-1.7124121E-3</v>
      </c>
      <c r="S12">
        <v>-1.7375501000000001E-3</v>
      </c>
      <c r="T12">
        <v>-1.7172673000000001E-3</v>
      </c>
      <c r="U12">
        <v>-1.7426951000000001E-3</v>
      </c>
    </row>
    <row r="13" spans="1:24">
      <c r="A13" t="s">
        <v>10</v>
      </c>
      <c r="B13">
        <v>-2.193202E-3</v>
      </c>
      <c r="C13">
        <v>-2.0558249999999998E-3</v>
      </c>
      <c r="D13">
        <v>-1.9295217E-3</v>
      </c>
      <c r="E13">
        <v>-1.826404E-3</v>
      </c>
      <c r="F13">
        <v>-1.8561275999999999E-3</v>
      </c>
      <c r="G13">
        <v>-1.7816094000000001E-3</v>
      </c>
      <c r="H13">
        <v>-1.8078956000000001E-3</v>
      </c>
      <c r="I13">
        <v>-1.7558342E-3</v>
      </c>
      <c r="J13">
        <v>-1.7725617E-3</v>
      </c>
      <c r="K13">
        <v>-1.6930267000000001E-3</v>
      </c>
      <c r="L13">
        <v>-1.7605330999999999E-3</v>
      </c>
      <c r="M13">
        <v>-1.7678227999999999E-3</v>
      </c>
      <c r="N13">
        <v>-1.7132E-3</v>
      </c>
      <c r="O13">
        <v>-1.698743E-3</v>
      </c>
      <c r="P13">
        <v>-1.6855926000000001E-3</v>
      </c>
      <c r="Q13">
        <v>-1.7175643999999999E-3</v>
      </c>
      <c r="R13">
        <v>-1.7119158000000001E-3</v>
      </c>
      <c r="S13">
        <v>-1.6491574E-3</v>
      </c>
      <c r="T13">
        <v>-1.6436955000000001E-3</v>
      </c>
      <c r="U13">
        <v>-1.6414365E-3</v>
      </c>
    </row>
    <row r="14" spans="1:24">
      <c r="A14" t="s">
        <v>11</v>
      </c>
      <c r="B14">
        <v>-2.2195608E-3</v>
      </c>
      <c r="C14">
        <v>-2.0666621E-3</v>
      </c>
      <c r="D14">
        <v>-1.9947882E-3</v>
      </c>
      <c r="E14">
        <v>-1.8673163E-3</v>
      </c>
      <c r="F14">
        <v>-1.9279150999999999E-3</v>
      </c>
      <c r="G14">
        <v>-1.8644689999999999E-3</v>
      </c>
      <c r="H14">
        <v>-1.8511377999999999E-3</v>
      </c>
      <c r="I14">
        <v>-1.7816657E-3</v>
      </c>
      <c r="J14">
        <v>-1.8039760000000001E-3</v>
      </c>
      <c r="K14">
        <v>-1.7888022E-3</v>
      </c>
      <c r="L14">
        <v>-1.8393473E-3</v>
      </c>
      <c r="M14">
        <v>-1.7949249999999999E-3</v>
      </c>
      <c r="N14">
        <v>-1.7565165E-3</v>
      </c>
      <c r="O14">
        <v>-1.7333915000000001E-3</v>
      </c>
      <c r="P14">
        <v>-1.7301110000000001E-3</v>
      </c>
      <c r="Q14">
        <v>-1.7675268E-3</v>
      </c>
      <c r="R14">
        <v>-1.7676152E-3</v>
      </c>
      <c r="S14">
        <v>-1.7788869E-3</v>
      </c>
      <c r="T14">
        <v>-1.7517342999999999E-3</v>
      </c>
      <c r="U14">
        <v>-1.7644970000000001E-3</v>
      </c>
    </row>
    <row r="15" spans="1:24">
      <c r="A15" t="s">
        <v>12</v>
      </c>
      <c r="B15">
        <v>-2.1152113999999998E-3</v>
      </c>
      <c r="C15">
        <v>-2.1140630999999998E-3</v>
      </c>
      <c r="D15">
        <v>-2.0353487E-3</v>
      </c>
      <c r="E15">
        <v>-1.9551408E-3</v>
      </c>
      <c r="F15">
        <v>-1.9554500000000001E-3</v>
      </c>
      <c r="G15">
        <v>-1.8728035999999999E-3</v>
      </c>
      <c r="H15">
        <v>-1.9368944999999999E-3</v>
      </c>
      <c r="I15">
        <v>-1.8967261999999999E-3</v>
      </c>
      <c r="J15">
        <v>-1.8993288999999999E-3</v>
      </c>
      <c r="K15">
        <v>-1.8313375999999999E-3</v>
      </c>
      <c r="L15">
        <v>-1.93652E-3</v>
      </c>
      <c r="M15">
        <v>-1.9527570000000001E-3</v>
      </c>
      <c r="N15">
        <v>-1.9291562000000001E-3</v>
      </c>
      <c r="O15">
        <v>-1.9075445999999999E-3</v>
      </c>
      <c r="P15">
        <v>-1.8514597E-3</v>
      </c>
      <c r="Q15">
        <v>-1.8548217E-3</v>
      </c>
      <c r="R15">
        <v>-1.8293445000000001E-3</v>
      </c>
      <c r="S15">
        <v>-1.8495903E-3</v>
      </c>
      <c r="T15">
        <v>-1.8257214999999999E-3</v>
      </c>
      <c r="U15">
        <v>-1.8276348999999999E-3</v>
      </c>
    </row>
    <row r="16" spans="1:24">
      <c r="A16" t="s">
        <v>13</v>
      </c>
      <c r="B16">
        <v>-3.3587837E-3</v>
      </c>
      <c r="C16">
        <v>-3.2167890999999999E-3</v>
      </c>
      <c r="D16">
        <v>-2.9686168000000001E-3</v>
      </c>
      <c r="E16">
        <v>-2.7454207E-3</v>
      </c>
      <c r="F16">
        <v>-2.5828282999999998E-3</v>
      </c>
      <c r="G16">
        <v>-2.4791751000000002E-3</v>
      </c>
      <c r="H16">
        <v>-2.5423833000000002E-3</v>
      </c>
      <c r="I16">
        <v>-2.4408606999999998E-3</v>
      </c>
      <c r="J16">
        <v>-2.4293840000000001E-3</v>
      </c>
      <c r="K16">
        <v>-2.4077676000000001E-3</v>
      </c>
      <c r="L16">
        <v>-2.4710586000000001E-3</v>
      </c>
      <c r="M16">
        <v>-2.6041465000000001E-3</v>
      </c>
      <c r="N16">
        <v>-2.6325177999999999E-3</v>
      </c>
      <c r="O16">
        <v>-2.6451488999999998E-3</v>
      </c>
      <c r="P16">
        <v>-2.5732655000000001E-3</v>
      </c>
      <c r="Q16">
        <v>-2.4749858000000001E-3</v>
      </c>
      <c r="R16">
        <v>-2.3226184E-3</v>
      </c>
      <c r="S16">
        <v>-2.3875807000000001E-3</v>
      </c>
      <c r="T16">
        <v>-2.4823699999999998E-3</v>
      </c>
      <c r="U16">
        <v>-2.5346142000000002E-3</v>
      </c>
    </row>
    <row r="17" spans="1:21">
      <c r="A17" t="s">
        <v>14</v>
      </c>
      <c r="B17">
        <v>-3.3587411000000002E-3</v>
      </c>
      <c r="C17">
        <v>-3.2265356000000002E-3</v>
      </c>
      <c r="D17">
        <v>-2.9180031000000002E-3</v>
      </c>
      <c r="E17">
        <v>-2.7395736000000001E-3</v>
      </c>
      <c r="F17">
        <v>-2.7674755999999999E-3</v>
      </c>
      <c r="G17">
        <v>-2.5064684000000001E-3</v>
      </c>
      <c r="H17">
        <v>-2.4844789999999999E-3</v>
      </c>
      <c r="I17">
        <v>-2.4944053E-3</v>
      </c>
      <c r="J17">
        <v>-2.4957695999999999E-3</v>
      </c>
      <c r="K17">
        <v>-2.5026607000000001E-3</v>
      </c>
      <c r="L17">
        <v>-2.5712687000000001E-3</v>
      </c>
      <c r="M17">
        <v>-2.5077048000000002E-3</v>
      </c>
      <c r="N17">
        <v>-2.4849083000000002E-3</v>
      </c>
      <c r="O17">
        <v>-2.4555693E-3</v>
      </c>
      <c r="P17">
        <v>-2.4220301E-3</v>
      </c>
      <c r="Q17">
        <v>-2.4589081000000001E-3</v>
      </c>
      <c r="R17">
        <v>-2.4324358E-3</v>
      </c>
      <c r="S17">
        <v>-2.5627469000000002E-3</v>
      </c>
      <c r="T17">
        <v>-2.6249088999999999E-3</v>
      </c>
      <c r="U17">
        <v>-2.6440627000000002E-3</v>
      </c>
    </row>
    <row r="18" spans="1:21">
      <c r="A18" t="s">
        <v>15</v>
      </c>
      <c r="B18">
        <v>-3.4821557E-3</v>
      </c>
      <c r="C18">
        <v>-3.4009065000000002E-3</v>
      </c>
      <c r="D18">
        <v>-3.1635427999999999E-3</v>
      </c>
      <c r="E18">
        <v>-2.9665773999999999E-3</v>
      </c>
      <c r="F18">
        <v>-2.9537742999999998E-3</v>
      </c>
      <c r="G18">
        <v>-2.8372294999999999E-3</v>
      </c>
      <c r="H18">
        <v>-2.8690051E-3</v>
      </c>
      <c r="I18">
        <v>-2.8759672000000002E-3</v>
      </c>
      <c r="J18">
        <v>-2.9060608000000001E-3</v>
      </c>
      <c r="K18">
        <v>-2.8032996000000002E-3</v>
      </c>
      <c r="L18">
        <v>-2.8495797999999999E-3</v>
      </c>
      <c r="M18">
        <v>-2.8987600999999998E-3</v>
      </c>
      <c r="N18">
        <v>-2.8829183E-3</v>
      </c>
      <c r="O18">
        <v>-2.8491166999999999E-3</v>
      </c>
      <c r="P18">
        <v>-2.7295727999999998E-3</v>
      </c>
      <c r="Q18">
        <v>-2.6984913E-3</v>
      </c>
      <c r="R18">
        <v>-2.6673934999999998E-3</v>
      </c>
      <c r="S18">
        <v>-2.7893131999999999E-3</v>
      </c>
      <c r="T18">
        <v>-2.8751285E-3</v>
      </c>
      <c r="U18">
        <v>-2.8272410999999999E-3</v>
      </c>
    </row>
    <row r="19" spans="1:21">
      <c r="A19" t="s">
        <v>16</v>
      </c>
      <c r="B19">
        <v>-3.3531623999999999E-3</v>
      </c>
      <c r="C19">
        <v>-3.2461637000000001E-3</v>
      </c>
      <c r="D19">
        <v>-2.9439141999999998E-3</v>
      </c>
      <c r="E19">
        <v>-2.6977197000000001E-3</v>
      </c>
      <c r="F19">
        <v>-2.5769868000000001E-3</v>
      </c>
      <c r="G19">
        <v>-2.3564291000000002E-3</v>
      </c>
      <c r="H19">
        <v>-2.3826808000000001E-3</v>
      </c>
      <c r="I19">
        <v>-2.2453419E-3</v>
      </c>
      <c r="J19">
        <v>-2.1998376999999999E-3</v>
      </c>
      <c r="K19">
        <v>-2.0946199000000001E-3</v>
      </c>
      <c r="L19">
        <v>-2.2055283000000001E-3</v>
      </c>
      <c r="M19">
        <v>-2.2409858999999999E-3</v>
      </c>
      <c r="N19">
        <v>-2.0713804E-3</v>
      </c>
      <c r="O19">
        <v>-2.1513490999999999E-3</v>
      </c>
      <c r="P19">
        <v>-2.1458033E-3</v>
      </c>
      <c r="Q19">
        <v>-2.2057131999999998E-3</v>
      </c>
      <c r="R19">
        <v>-2.1568126999999999E-3</v>
      </c>
      <c r="S19">
        <v>-2.1649553000000002E-3</v>
      </c>
      <c r="T19">
        <v>-2.2516020000000001E-3</v>
      </c>
      <c r="U19">
        <v>-2.2592377000000001E-3</v>
      </c>
    </row>
    <row r="20" spans="1:21">
      <c r="A20" t="s">
        <v>17</v>
      </c>
      <c r="B20">
        <v>-3.2598227000000001E-3</v>
      </c>
      <c r="C20">
        <v>-3.1840992000000002E-3</v>
      </c>
      <c r="D20">
        <v>-2.8994041E-3</v>
      </c>
      <c r="E20">
        <v>-2.6943916000000002E-3</v>
      </c>
      <c r="F20">
        <v>-2.6417999000000001E-3</v>
      </c>
      <c r="G20">
        <v>-2.3935725999999998E-3</v>
      </c>
      <c r="H20">
        <v>-2.3982269000000001E-3</v>
      </c>
      <c r="I20">
        <v>-2.372084E-3</v>
      </c>
      <c r="J20">
        <v>-2.2567533999999999E-3</v>
      </c>
      <c r="K20">
        <v>-2.1739716E-3</v>
      </c>
      <c r="L20">
        <v>-2.320094E-3</v>
      </c>
      <c r="M20">
        <v>-2.3747843000000001E-3</v>
      </c>
      <c r="N20">
        <v>-2.2449985E-3</v>
      </c>
      <c r="O20">
        <v>-2.2841615E-3</v>
      </c>
      <c r="P20">
        <v>-2.2844448999999999E-3</v>
      </c>
      <c r="Q20">
        <v>-2.2852679E-3</v>
      </c>
      <c r="R20">
        <v>-2.2446943999999999E-3</v>
      </c>
      <c r="S20">
        <v>-2.3291154999999998E-3</v>
      </c>
      <c r="T20">
        <v>-2.3727140000000002E-3</v>
      </c>
      <c r="U20">
        <v>-2.4051010000000002E-3</v>
      </c>
    </row>
    <row r="21" spans="1:21">
      <c r="A21" t="s">
        <v>18</v>
      </c>
      <c r="B21">
        <v>-3.2723416E-3</v>
      </c>
      <c r="C21">
        <v>-3.1985757000000002E-3</v>
      </c>
      <c r="D21">
        <v>-2.9062469999999998E-3</v>
      </c>
      <c r="E21">
        <v>-2.6705072E-3</v>
      </c>
      <c r="F21">
        <v>-2.6064888E-3</v>
      </c>
      <c r="G21">
        <v>-2.4060900000000001E-3</v>
      </c>
      <c r="H21">
        <v>-2.4621299999999999E-3</v>
      </c>
      <c r="I21">
        <v>-2.3429118999999999E-3</v>
      </c>
      <c r="J21">
        <v>-2.345457E-3</v>
      </c>
      <c r="K21">
        <v>-2.2013807E-3</v>
      </c>
      <c r="L21">
        <v>-2.3600038000000001E-3</v>
      </c>
      <c r="M21">
        <v>-2.3683552E-3</v>
      </c>
      <c r="N21">
        <v>-2.2653521E-3</v>
      </c>
      <c r="O21">
        <v>-2.2732210000000002E-3</v>
      </c>
      <c r="P21">
        <v>-2.3324448000000002E-3</v>
      </c>
      <c r="Q21">
        <v>-2.3560043999999998E-3</v>
      </c>
      <c r="R21">
        <v>-2.2707318000000001E-3</v>
      </c>
      <c r="S21">
        <v>-2.3080219999999999E-3</v>
      </c>
      <c r="T21">
        <v>-2.3201342999999998E-3</v>
      </c>
      <c r="U21">
        <v>-2.3394654999999999E-3</v>
      </c>
    </row>
    <row r="22" spans="1:21">
      <c r="A22" t="s">
        <v>19</v>
      </c>
      <c r="B22">
        <v>-3.2585838000000001E-3</v>
      </c>
      <c r="C22">
        <v>-3.1791821E-3</v>
      </c>
      <c r="D22">
        <v>-2.8478616999999999E-3</v>
      </c>
      <c r="E22">
        <v>-2.6131836E-3</v>
      </c>
      <c r="F22">
        <v>-2.5614342000000001E-3</v>
      </c>
      <c r="G22">
        <v>-2.3447505999999998E-3</v>
      </c>
      <c r="H22">
        <v>-2.3423328999999998E-3</v>
      </c>
      <c r="I22">
        <v>-2.2847457000000002E-3</v>
      </c>
      <c r="J22">
        <v>-2.2316725999999999E-3</v>
      </c>
      <c r="K22">
        <v>-2.1423445999999998E-3</v>
      </c>
      <c r="L22">
        <v>-2.3319141000000001E-3</v>
      </c>
      <c r="M22">
        <v>-2.3430954E-3</v>
      </c>
      <c r="N22">
        <v>-2.2202101999999999E-3</v>
      </c>
      <c r="O22">
        <v>-2.2063338999999999E-3</v>
      </c>
      <c r="P22">
        <v>-2.2305291999999998E-3</v>
      </c>
      <c r="Q22">
        <v>-2.2150688E-3</v>
      </c>
      <c r="R22">
        <v>-2.1436641E-3</v>
      </c>
      <c r="S22">
        <v>-2.2506884E-3</v>
      </c>
      <c r="T22">
        <v>-2.3382063999999999E-3</v>
      </c>
      <c r="U22">
        <v>-2.3471133000000002E-3</v>
      </c>
    </row>
    <row r="23" spans="1:21">
      <c r="A23" t="s">
        <v>20</v>
      </c>
      <c r="B23">
        <v>-3.2684181E-3</v>
      </c>
      <c r="C23">
        <v>-3.1973966000000001E-3</v>
      </c>
      <c r="D23">
        <v>-2.9025977000000001E-3</v>
      </c>
      <c r="E23">
        <v>-2.7127033E-3</v>
      </c>
      <c r="F23">
        <v>-2.6333760000000002E-3</v>
      </c>
      <c r="G23">
        <v>-2.3952143000000002E-3</v>
      </c>
      <c r="H23">
        <v>-2.4389049999999999E-3</v>
      </c>
      <c r="I23">
        <v>-2.3452860999999998E-3</v>
      </c>
      <c r="J23">
        <v>-2.2903499E-3</v>
      </c>
      <c r="K23">
        <v>-2.1944366999999999E-3</v>
      </c>
      <c r="L23">
        <v>-2.3353548999999999E-3</v>
      </c>
      <c r="M23">
        <v>-2.3427194000000002E-3</v>
      </c>
      <c r="N23">
        <v>-2.2613523E-3</v>
      </c>
      <c r="O23">
        <v>-2.1993171000000001E-3</v>
      </c>
      <c r="P23">
        <v>-2.2134883000000001E-3</v>
      </c>
      <c r="Q23">
        <v>-2.347586E-3</v>
      </c>
      <c r="R23">
        <v>-2.2974734000000001E-3</v>
      </c>
      <c r="S23">
        <v>-2.3854523999999998E-3</v>
      </c>
      <c r="T23">
        <v>-2.3663744999999998E-3</v>
      </c>
      <c r="U23">
        <v>-2.3674893000000001E-3</v>
      </c>
    </row>
    <row r="24" spans="1:21">
      <c r="A24" t="s">
        <v>21</v>
      </c>
      <c r="B24">
        <v>-3.2356179E-3</v>
      </c>
      <c r="C24">
        <v>-3.1492476999999998E-3</v>
      </c>
      <c r="D24">
        <v>-2.8290785999999998E-3</v>
      </c>
      <c r="E24">
        <v>-2.5586479000000001E-3</v>
      </c>
      <c r="F24">
        <v>-2.5113327E-3</v>
      </c>
      <c r="G24">
        <v>-2.2919872000000002E-3</v>
      </c>
      <c r="H24">
        <v>-2.2591633999999999E-3</v>
      </c>
      <c r="I24">
        <v>-2.2843647999999999E-3</v>
      </c>
      <c r="J24">
        <v>-2.1878168999999999E-3</v>
      </c>
      <c r="K24">
        <v>-2.1635081999999998E-3</v>
      </c>
      <c r="L24">
        <v>-2.3388732000000001E-3</v>
      </c>
      <c r="M24">
        <v>-2.4060635000000001E-3</v>
      </c>
      <c r="N24">
        <v>-2.2894521E-3</v>
      </c>
      <c r="O24">
        <v>-2.2331934999999998E-3</v>
      </c>
      <c r="P24">
        <v>-2.1775216000000002E-3</v>
      </c>
      <c r="Q24">
        <v>-2.2334002E-3</v>
      </c>
      <c r="R24">
        <v>-2.1634568000000001E-3</v>
      </c>
      <c r="S24">
        <v>-2.2024061000000001E-3</v>
      </c>
      <c r="T24">
        <v>-2.2913200999999999E-3</v>
      </c>
      <c r="U24">
        <v>-2.2934677999999998E-3</v>
      </c>
    </row>
    <row r="25" spans="1:21">
      <c r="A25" t="s">
        <v>34</v>
      </c>
      <c r="B25">
        <v>-3.2280617999999998E-3</v>
      </c>
      <c r="C25">
        <v>-3.1548624000000002E-3</v>
      </c>
      <c r="D25">
        <v>-2.8506368E-3</v>
      </c>
      <c r="E25">
        <v>-2.6096341E-3</v>
      </c>
      <c r="F25">
        <v>-2.545163E-3</v>
      </c>
      <c r="G25">
        <v>-2.3128020000000001E-3</v>
      </c>
      <c r="H25">
        <v>-2.3368807000000002E-3</v>
      </c>
      <c r="I25">
        <v>-2.2730951000000002E-3</v>
      </c>
      <c r="J25">
        <v>-2.1891017E-3</v>
      </c>
      <c r="K25">
        <v>-2.1035816E-3</v>
      </c>
      <c r="L25">
        <v>-2.2663361999999999E-3</v>
      </c>
      <c r="M25">
        <v>-2.3441987999999999E-3</v>
      </c>
      <c r="N25">
        <v>-2.1711731999999998E-3</v>
      </c>
      <c r="O25">
        <v>-2.1951409999999998E-3</v>
      </c>
      <c r="P25">
        <v>-2.2113824000000002E-3</v>
      </c>
      <c r="Q25">
        <v>-2.2366858999999998E-3</v>
      </c>
      <c r="R25">
        <v>-2.2028540000000002E-3</v>
      </c>
      <c r="S25">
        <v>-2.3043453999999999E-3</v>
      </c>
      <c r="T25">
        <v>-2.3485580000000002E-3</v>
      </c>
      <c r="U25">
        <v>-2.3272560999999998E-3</v>
      </c>
    </row>
    <row r="26" spans="1:21">
      <c r="A26" t="s">
        <v>22</v>
      </c>
      <c r="B26">
        <v>-3.4073668000000001E-3</v>
      </c>
      <c r="C26">
        <v>-3.3655041000000001E-3</v>
      </c>
      <c r="D26">
        <v>-3.1080285999999999E-3</v>
      </c>
      <c r="E26">
        <v>-2.8804422000000001E-3</v>
      </c>
      <c r="F26">
        <v>-2.8547687E-3</v>
      </c>
      <c r="G26">
        <v>-2.6142534000000001E-3</v>
      </c>
      <c r="H26">
        <v>-2.6827705999999999E-3</v>
      </c>
      <c r="I26">
        <v>-2.5134429000000002E-3</v>
      </c>
      <c r="J26">
        <v>-2.5041115E-3</v>
      </c>
      <c r="K26">
        <v>-2.2934514999999999E-3</v>
      </c>
      <c r="L26">
        <v>-2.3609768000000001E-3</v>
      </c>
      <c r="M26">
        <v>-2.4287517000000001E-3</v>
      </c>
      <c r="N26">
        <v>-2.3559737000000002E-3</v>
      </c>
      <c r="O26">
        <v>-2.3047095E-3</v>
      </c>
      <c r="P26">
        <v>-2.1611906000000001E-3</v>
      </c>
      <c r="Q26">
        <v>-2.1905891999999998E-3</v>
      </c>
      <c r="R26">
        <v>-2.0810745000000002E-3</v>
      </c>
      <c r="S26">
        <v>-2.0103126E-3</v>
      </c>
      <c r="T26">
        <v>-2.0941588999999999E-3</v>
      </c>
      <c r="U26">
        <v>-2.1185934999999999E-3</v>
      </c>
    </row>
    <row r="27" spans="1:21">
      <c r="A27" t="s">
        <v>23</v>
      </c>
      <c r="B27">
        <v>-3.3310293000000002E-3</v>
      </c>
      <c r="C27">
        <v>-3.2665413000000001E-3</v>
      </c>
      <c r="D27">
        <v>-2.9963194E-3</v>
      </c>
      <c r="E27">
        <v>-2.7844306999999999E-3</v>
      </c>
      <c r="F27">
        <v>-2.7607284000000002E-3</v>
      </c>
      <c r="G27">
        <v>-2.58844E-3</v>
      </c>
      <c r="H27">
        <v>-2.6153978E-3</v>
      </c>
      <c r="I27">
        <v>-2.5157501999999998E-3</v>
      </c>
      <c r="J27">
        <v>-2.4591094999999999E-3</v>
      </c>
      <c r="K27">
        <v>-2.3586443000000001E-3</v>
      </c>
      <c r="L27">
        <v>-2.4691626999999998E-3</v>
      </c>
      <c r="M27">
        <v>-2.4047610000000001E-3</v>
      </c>
      <c r="N27">
        <v>-2.2461221000000002E-3</v>
      </c>
      <c r="O27">
        <v>-2.2773359E-3</v>
      </c>
      <c r="P27">
        <v>-2.3077220999999999E-3</v>
      </c>
      <c r="Q27">
        <v>-2.3269330000000002E-3</v>
      </c>
      <c r="R27">
        <v>-2.3176681999999998E-3</v>
      </c>
      <c r="S27">
        <v>-2.2450711E-3</v>
      </c>
      <c r="T27">
        <v>-2.2870309000000001E-3</v>
      </c>
      <c r="U27">
        <v>-2.2842525999999998E-3</v>
      </c>
    </row>
    <row r="28" spans="1:21">
      <c r="A28" t="s">
        <v>24</v>
      </c>
      <c r="B28">
        <v>-3.3381639999999998E-3</v>
      </c>
      <c r="C28">
        <v>-3.2790142999999999E-3</v>
      </c>
      <c r="D28">
        <v>-3.0089854000000002E-3</v>
      </c>
      <c r="E28">
        <v>-2.7949396E-3</v>
      </c>
      <c r="F28">
        <v>-2.7320322000000002E-3</v>
      </c>
      <c r="G28">
        <v>-2.5597224000000001E-3</v>
      </c>
      <c r="H28">
        <v>-2.5298737E-3</v>
      </c>
      <c r="I28">
        <v>-2.532776E-3</v>
      </c>
      <c r="J28">
        <v>-2.4737172999999999E-3</v>
      </c>
      <c r="K28">
        <v>-2.2944910000000001E-3</v>
      </c>
      <c r="L28">
        <v>-2.3265667000000002E-3</v>
      </c>
      <c r="M28">
        <v>-2.3103438000000001E-3</v>
      </c>
      <c r="N28">
        <v>-2.1716502999999999E-3</v>
      </c>
      <c r="O28">
        <v>-2.1606109000000002E-3</v>
      </c>
      <c r="P28">
        <v>-2.1612536999999999E-3</v>
      </c>
      <c r="Q28">
        <v>-2.167857E-3</v>
      </c>
      <c r="R28">
        <v>-2.1660453999999998E-3</v>
      </c>
      <c r="S28">
        <v>-2.2032743E-3</v>
      </c>
      <c r="T28">
        <v>-2.2708174999999998E-3</v>
      </c>
      <c r="U28">
        <v>-2.2684073000000002E-3</v>
      </c>
    </row>
    <row r="29" spans="1:21">
      <c r="A29" t="s">
        <v>25</v>
      </c>
      <c r="B29">
        <v>-3.2924991E-3</v>
      </c>
      <c r="C29">
        <v>-3.2502961999999998E-3</v>
      </c>
      <c r="D29">
        <v>-3.1648343000000002E-3</v>
      </c>
      <c r="E29">
        <v>-3.0993936E-3</v>
      </c>
      <c r="F29">
        <v>-3.2188454999999999E-3</v>
      </c>
      <c r="G29">
        <v>-3.2181471999999998E-3</v>
      </c>
      <c r="H29">
        <v>-3.4401035000000001E-3</v>
      </c>
      <c r="I29">
        <v>-3.5450744999999998E-3</v>
      </c>
      <c r="J29">
        <v>-3.5930341000000002E-3</v>
      </c>
      <c r="K29">
        <v>-3.7568825999999998E-3</v>
      </c>
      <c r="L29">
        <v>-3.5513451000000001E-3</v>
      </c>
      <c r="M29">
        <v>-3.5615882000000001E-3</v>
      </c>
      <c r="N29">
        <v>-3.6194511000000001E-3</v>
      </c>
      <c r="O29">
        <v>-3.6045881000000002E-3</v>
      </c>
      <c r="P29">
        <v>-3.5192403E-3</v>
      </c>
      <c r="Q29">
        <v>-3.5115120000000001E-3</v>
      </c>
      <c r="R29">
        <v>-3.3716937000000001E-3</v>
      </c>
      <c r="S29">
        <v>-3.3516239000000001E-3</v>
      </c>
      <c r="T29">
        <v>-3.4160356000000002E-3</v>
      </c>
      <c r="U29">
        <v>-3.4093470000000001E-3</v>
      </c>
    </row>
    <row r="30" spans="1:21">
      <c r="A30" t="s">
        <v>26</v>
      </c>
      <c r="B30">
        <v>-2.8619876000000001E-3</v>
      </c>
      <c r="C30">
        <v>-2.7424904999999999E-3</v>
      </c>
      <c r="D30">
        <v>-2.4151462E-3</v>
      </c>
      <c r="E30">
        <v>-2.2482920999999999E-3</v>
      </c>
      <c r="F30">
        <v>-2.1600005999999998E-3</v>
      </c>
      <c r="G30">
        <v>-1.9244307E-3</v>
      </c>
      <c r="H30">
        <v>-1.8442426E-3</v>
      </c>
      <c r="I30">
        <v>-1.8232255999999999E-3</v>
      </c>
      <c r="J30">
        <v>-1.7665840000000001E-3</v>
      </c>
      <c r="K30">
        <v>-1.6942531E-3</v>
      </c>
      <c r="L30">
        <v>-1.9051076000000001E-3</v>
      </c>
      <c r="M30">
        <v>-1.9570447E-3</v>
      </c>
      <c r="N30">
        <v>-1.7990434000000001E-3</v>
      </c>
      <c r="O30">
        <v>-1.7836417999999999E-3</v>
      </c>
      <c r="P30">
        <v>-1.7833772999999999E-3</v>
      </c>
      <c r="Q30">
        <v>-1.8051311E-3</v>
      </c>
      <c r="R30">
        <v>-1.790828E-3</v>
      </c>
      <c r="S30">
        <v>-1.8501689E-3</v>
      </c>
      <c r="T30">
        <v>-1.9331832000000001E-3</v>
      </c>
      <c r="U30">
        <v>-1.9336482999999999E-3</v>
      </c>
    </row>
    <row r="31" spans="1:21">
      <c r="A31" t="s">
        <v>27</v>
      </c>
      <c r="B31">
        <v>-3.0508114000000002E-3</v>
      </c>
      <c r="C31">
        <v>-3.1409352000000001E-3</v>
      </c>
      <c r="D31">
        <v>-3.1220216999999998E-3</v>
      </c>
      <c r="E31">
        <v>-3.0691512000000001E-3</v>
      </c>
      <c r="F31">
        <v>-3.0892566000000001E-3</v>
      </c>
      <c r="G31">
        <v>-2.9360314000000001E-3</v>
      </c>
      <c r="H31">
        <v>-3.0336615000000002E-3</v>
      </c>
      <c r="I31">
        <v>-2.9905092000000002E-3</v>
      </c>
      <c r="J31">
        <v>-2.9630835999999998E-3</v>
      </c>
      <c r="K31">
        <v>-2.8976379000000001E-3</v>
      </c>
      <c r="L31">
        <v>-2.9593754999999999E-3</v>
      </c>
      <c r="M31">
        <v>-2.9814639E-3</v>
      </c>
      <c r="N31">
        <v>-2.9471735000000002E-3</v>
      </c>
      <c r="O31">
        <v>-3.0009667000000001E-3</v>
      </c>
      <c r="P31">
        <v>-2.9605174999999999E-3</v>
      </c>
      <c r="Q31">
        <v>-3.0100092000000002E-3</v>
      </c>
      <c r="R31">
        <v>-2.9051146000000001E-3</v>
      </c>
      <c r="S31">
        <v>-2.9241244999999999E-3</v>
      </c>
      <c r="T31">
        <v>-2.9273946E-3</v>
      </c>
      <c r="U31">
        <v>-3.0067029999999999E-3</v>
      </c>
    </row>
    <row r="32" spans="1:21">
      <c r="A32" t="s">
        <v>28</v>
      </c>
      <c r="B32">
        <v>-3.0177669000000002E-3</v>
      </c>
      <c r="C32">
        <v>-2.9418374999999998E-3</v>
      </c>
      <c r="D32">
        <v>-2.5084157999999998E-3</v>
      </c>
      <c r="E32">
        <v>-2.1451438999999998E-3</v>
      </c>
      <c r="F32">
        <v>-2.0880168000000001E-3</v>
      </c>
      <c r="G32">
        <v>-1.9958661999999999E-3</v>
      </c>
      <c r="H32">
        <v>-1.9375473000000001E-3</v>
      </c>
      <c r="I32">
        <v>-1.8644467999999999E-3</v>
      </c>
      <c r="J32">
        <v>-1.7673032000000001E-3</v>
      </c>
      <c r="K32">
        <v>-1.5689598E-3</v>
      </c>
      <c r="L32">
        <v>-1.5678554999999999E-3</v>
      </c>
      <c r="M32">
        <v>-1.6276757999999999E-3</v>
      </c>
      <c r="N32">
        <v>-1.4184652999999999E-3</v>
      </c>
      <c r="O32">
        <v>-1.5383504999999999E-3</v>
      </c>
      <c r="P32">
        <v>-1.4778501E-3</v>
      </c>
      <c r="Q32">
        <v>-1.6384721E-3</v>
      </c>
      <c r="R32">
        <v>-1.6296202000000001E-3</v>
      </c>
      <c r="S32">
        <v>-1.6873336E-3</v>
      </c>
      <c r="T32">
        <v>-1.7667711999999999E-3</v>
      </c>
      <c r="U32">
        <v>-1.7684082E-3</v>
      </c>
    </row>
    <row r="33" spans="1:21">
      <c r="A33" t="s">
        <v>29</v>
      </c>
      <c r="B33">
        <v>-3.0354703999999999E-3</v>
      </c>
      <c r="C33">
        <v>-2.8652623E-3</v>
      </c>
      <c r="D33">
        <v>-2.5562687999999998E-3</v>
      </c>
      <c r="E33">
        <v>-2.3380775999999998E-3</v>
      </c>
      <c r="F33">
        <v>-2.3474569999999998E-3</v>
      </c>
      <c r="G33">
        <v>-2.2430321999999999E-3</v>
      </c>
      <c r="H33">
        <v>-2.3321692999999999E-3</v>
      </c>
      <c r="I33">
        <v>-2.2640310000000001E-3</v>
      </c>
      <c r="J33">
        <v>-2.1993641000000001E-3</v>
      </c>
      <c r="K33">
        <v>-2.2454077999999999E-3</v>
      </c>
      <c r="L33">
        <v>-2.5245440000000001E-3</v>
      </c>
      <c r="M33">
        <v>-2.4877822000000001E-3</v>
      </c>
      <c r="N33">
        <v>-2.3891879E-3</v>
      </c>
      <c r="O33">
        <v>-2.5820703999999998E-3</v>
      </c>
      <c r="P33">
        <v>-2.6864300000000001E-3</v>
      </c>
      <c r="Q33">
        <v>-2.4463178000000002E-3</v>
      </c>
      <c r="R33">
        <v>-2.4659373000000002E-3</v>
      </c>
      <c r="S33">
        <v>-2.5261664E-3</v>
      </c>
      <c r="T33">
        <v>-2.5841838000000002E-3</v>
      </c>
      <c r="U33">
        <v>-2.5825547000000002E-3</v>
      </c>
    </row>
    <row r="34" spans="1:21">
      <c r="A34" t="s">
        <v>30</v>
      </c>
      <c r="B34">
        <v>-3.0444769999999999E-3</v>
      </c>
      <c r="C34">
        <v>-2.8661037999999999E-3</v>
      </c>
      <c r="D34">
        <v>-2.5545552000000001E-3</v>
      </c>
      <c r="E34">
        <v>-2.3308955000000001E-3</v>
      </c>
      <c r="F34">
        <v>-2.4042446E-3</v>
      </c>
      <c r="G34">
        <v>-2.2962034999999999E-3</v>
      </c>
      <c r="H34">
        <v>-2.3295350999999998E-3</v>
      </c>
      <c r="I34">
        <v>-2.3564865999999999E-3</v>
      </c>
      <c r="J34">
        <v>-2.2832283000000001E-3</v>
      </c>
      <c r="K34">
        <v>-2.2947432000000002E-3</v>
      </c>
      <c r="L34">
        <v>-2.1874212999999998E-3</v>
      </c>
      <c r="M34">
        <v>-2.3009406999999998E-3</v>
      </c>
      <c r="N34">
        <v>-2.3227871999999998E-3</v>
      </c>
      <c r="O34">
        <v>-2.2628212E-3</v>
      </c>
      <c r="P34">
        <v>-2.2257669E-3</v>
      </c>
      <c r="Q34">
        <v>-2.3095712999999999E-3</v>
      </c>
      <c r="R34">
        <v>-2.3335122999999999E-3</v>
      </c>
      <c r="S34">
        <v>-2.2273587999999999E-3</v>
      </c>
      <c r="T34">
        <v>-2.3678686000000002E-3</v>
      </c>
      <c r="U34">
        <v>-2.3678686000000002E-3</v>
      </c>
    </row>
    <row r="35" spans="1:21">
      <c r="A35" t="s">
        <v>31</v>
      </c>
      <c r="B35">
        <v>-2.7090031999999998E-3</v>
      </c>
      <c r="C35">
        <v>-2.6576695999999999E-3</v>
      </c>
      <c r="D35">
        <v>-2.5870746000000002E-3</v>
      </c>
      <c r="E35">
        <v>-2.4724600000000001E-3</v>
      </c>
      <c r="F35">
        <v>-2.4319072000000001E-3</v>
      </c>
      <c r="G35">
        <v>-2.2742215000000001E-3</v>
      </c>
      <c r="H35">
        <v>-2.2633559999999998E-3</v>
      </c>
      <c r="I35">
        <v>-2.2119866000000002E-3</v>
      </c>
      <c r="J35">
        <v>-2.1587837999999999E-3</v>
      </c>
      <c r="K35">
        <v>-2.0070096999999999E-3</v>
      </c>
      <c r="L35">
        <v>-2.0954163999999998E-3</v>
      </c>
      <c r="M35">
        <v>-2.0805950999999998E-3</v>
      </c>
      <c r="N35">
        <v>-1.9893392000000002E-3</v>
      </c>
      <c r="O35">
        <v>-1.9310968E-3</v>
      </c>
      <c r="P35">
        <v>-1.8833083999999999E-3</v>
      </c>
      <c r="Q35">
        <v>-1.8718369999999999E-3</v>
      </c>
      <c r="R35">
        <v>-1.8322165E-3</v>
      </c>
      <c r="S35">
        <v>-1.8385713000000001E-3</v>
      </c>
      <c r="T35">
        <v>-1.8271205E-3</v>
      </c>
      <c r="U35">
        <v>-1.7937052000000001E-3</v>
      </c>
    </row>
    <row r="36" spans="1:21">
      <c r="A36" t="s">
        <v>32</v>
      </c>
      <c r="B36">
        <v>-2.9867829000000002E-3</v>
      </c>
      <c r="C36">
        <v>-3.0113719E-3</v>
      </c>
      <c r="D36">
        <v>-2.9694528999999999E-3</v>
      </c>
      <c r="E36">
        <v>-2.8412398E-3</v>
      </c>
      <c r="F36">
        <v>-2.8390663E-3</v>
      </c>
      <c r="G36">
        <v>-2.6836121000000002E-3</v>
      </c>
      <c r="H36">
        <v>-2.6942631000000002E-3</v>
      </c>
      <c r="I36">
        <v>-2.6131116000000002E-3</v>
      </c>
      <c r="J36">
        <v>-2.5512887999999999E-3</v>
      </c>
      <c r="K36">
        <v>-2.4586127E-3</v>
      </c>
      <c r="L36">
        <v>-2.4759113E-3</v>
      </c>
      <c r="M36">
        <v>-2.5024881999999998E-3</v>
      </c>
      <c r="N36">
        <v>-2.4766104999999999E-3</v>
      </c>
      <c r="O36">
        <v>-2.4447949E-3</v>
      </c>
      <c r="P36">
        <v>-2.3836575000000001E-3</v>
      </c>
      <c r="Q36">
        <v>-2.3936231000000001E-3</v>
      </c>
      <c r="R36">
        <v>-2.3710271E-3</v>
      </c>
      <c r="S36">
        <v>-2.3735559000000002E-3</v>
      </c>
      <c r="T36">
        <v>-2.3470288E-3</v>
      </c>
      <c r="U36">
        <v>-2.3489613000000002E-3</v>
      </c>
    </row>
    <row r="37" spans="1:21">
      <c r="A37" t="s">
        <v>33</v>
      </c>
      <c r="B37">
        <v>-2.9691552999999999E-3</v>
      </c>
      <c r="C37">
        <v>-2.9384347E-3</v>
      </c>
      <c r="D37">
        <v>-2.8425619999999999E-3</v>
      </c>
      <c r="E37">
        <v>-2.7186021000000001E-3</v>
      </c>
      <c r="F37">
        <v>-2.7424785999999998E-3</v>
      </c>
      <c r="G37">
        <v>-2.6589977E-3</v>
      </c>
      <c r="H37">
        <v>-2.7901702999999999E-3</v>
      </c>
      <c r="I37">
        <v>-2.7928740999999999E-3</v>
      </c>
      <c r="J37">
        <v>-2.8410346999999999E-3</v>
      </c>
      <c r="K37">
        <v>-2.8494637999999998E-3</v>
      </c>
      <c r="L37">
        <v>-2.8666665000000001E-3</v>
      </c>
      <c r="M37">
        <v>-2.9170393999999999E-3</v>
      </c>
      <c r="N37">
        <v>-2.9984057999999998E-3</v>
      </c>
      <c r="O37">
        <v>-2.9967040999999998E-3</v>
      </c>
      <c r="P37">
        <v>-2.9353489999999999E-3</v>
      </c>
      <c r="Q37">
        <v>-2.9705415999999999E-3</v>
      </c>
      <c r="R37">
        <v>-2.9280698E-3</v>
      </c>
      <c r="S37">
        <v>-2.9786438999999999E-3</v>
      </c>
      <c r="T37">
        <v>-3.0251108E-3</v>
      </c>
      <c r="U37">
        <v>-3.0434699999999999E-3</v>
      </c>
    </row>
  </sheetData>
  <phoneticPr fontId="0" type="noConversion"/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91"/>
  <dimension ref="A1:S36"/>
  <sheetViews>
    <sheetView zoomScaleNormal="100"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120.8909</v>
      </c>
      <c r="D2">
        <v>40.86497</v>
      </c>
      <c r="E2">
        <v>0.49879259999999997</v>
      </c>
      <c r="F2">
        <v>1.2205871E-2</v>
      </c>
      <c r="G2">
        <v>80.025980000000004</v>
      </c>
      <c r="H2">
        <v>-0.91894169999999997</v>
      </c>
      <c r="I2">
        <v>-1.1483043E-2</v>
      </c>
      <c r="J2">
        <v>-0.4201491</v>
      </c>
      <c r="K2">
        <v>-3.4754411000000002E-3</v>
      </c>
      <c r="L2">
        <v>104.4199</v>
      </c>
      <c r="M2">
        <v>2.7839037000000001E-2</v>
      </c>
      <c r="N2">
        <v>6.5178260999999996E-3</v>
      </c>
      <c r="O2">
        <v>16.471</v>
      </c>
      <c r="P2">
        <v>-1.4582403000000001E-2</v>
      </c>
      <c r="Q2">
        <v>-3.4312392000000001E-3</v>
      </c>
      <c r="R2">
        <v>-0.2401867</v>
      </c>
      <c r="S2">
        <v>2.9069500000000001</v>
      </c>
    </row>
    <row r="3" spans="1:19">
      <c r="A3" t="s">
        <v>1</v>
      </c>
      <c r="B3">
        <v>1248</v>
      </c>
      <c r="C3">
        <v>134.51900000000001</v>
      </c>
      <c r="D3">
        <v>31.94398</v>
      </c>
      <c r="E3">
        <v>0.53592620000000002</v>
      </c>
      <c r="F3">
        <v>1.6777060999999999E-2</v>
      </c>
      <c r="G3">
        <v>102.5749</v>
      </c>
      <c r="H3">
        <v>-1.104052</v>
      </c>
      <c r="I3">
        <v>-1.0763371000000001E-2</v>
      </c>
      <c r="J3">
        <v>-0.56812569999999996</v>
      </c>
      <c r="K3">
        <v>-4.2233849E-3</v>
      </c>
      <c r="L3">
        <v>101.1459</v>
      </c>
      <c r="M3">
        <v>2.8260574E-2</v>
      </c>
      <c r="N3">
        <v>6.5862726999999996E-3</v>
      </c>
      <c r="O3">
        <v>33.373019999999997</v>
      </c>
      <c r="P3">
        <v>-1.1087792000000001E-2</v>
      </c>
      <c r="Q3">
        <v>-2.6243483E-3</v>
      </c>
      <c r="R3">
        <v>-0.3700331</v>
      </c>
      <c r="S3">
        <v>2.8584420000000001</v>
      </c>
    </row>
    <row r="4" spans="1:19">
      <c r="A4" t="s">
        <v>2</v>
      </c>
      <c r="B4">
        <v>2468</v>
      </c>
      <c r="C4">
        <v>251.8767</v>
      </c>
      <c r="D4">
        <v>75.226029999999994</v>
      </c>
      <c r="E4">
        <v>1.3589899999999999</v>
      </c>
      <c r="F4">
        <v>1.8065421000000002E-2</v>
      </c>
      <c r="G4">
        <v>176.65090000000001</v>
      </c>
      <c r="H4">
        <v>-2.3818169999999999</v>
      </c>
      <c r="I4">
        <v>-1.3483182E-2</v>
      </c>
      <c r="J4">
        <v>-1.0228269999999999</v>
      </c>
      <c r="K4">
        <v>-4.0608229999999999E-3</v>
      </c>
      <c r="L4">
        <v>237.87379999999999</v>
      </c>
      <c r="M4">
        <v>2.8343259999999999E-2</v>
      </c>
      <c r="N4">
        <v>6.6164084999999996E-3</v>
      </c>
      <c r="O4">
        <v>14.003</v>
      </c>
      <c r="P4">
        <v>-1.5251733999999999E-2</v>
      </c>
      <c r="Q4">
        <v>-3.6198311E-3</v>
      </c>
      <c r="R4">
        <v>-0.21357000000000001</v>
      </c>
      <c r="S4">
        <v>6.7421199999999999</v>
      </c>
    </row>
    <row r="5" spans="1:19">
      <c r="A5" t="s">
        <v>3</v>
      </c>
      <c r="B5">
        <v>993</v>
      </c>
      <c r="C5">
        <v>68.017020000000002</v>
      </c>
      <c r="D5">
        <v>33.960979999999999</v>
      </c>
      <c r="E5">
        <v>0.23353370000000001</v>
      </c>
      <c r="F5">
        <v>6.8765286999999996E-3</v>
      </c>
      <c r="G5">
        <v>34.055999999999997</v>
      </c>
      <c r="H5">
        <v>-0.41632609999999998</v>
      </c>
      <c r="I5">
        <v>-1.2224752E-2</v>
      </c>
      <c r="J5">
        <v>-0.1827925</v>
      </c>
      <c r="K5">
        <v>-2.6874516999999998E-3</v>
      </c>
      <c r="L5">
        <v>64.296019999999999</v>
      </c>
      <c r="M5">
        <v>1.8110767E-2</v>
      </c>
      <c r="N5">
        <v>4.2190226000000004E-3</v>
      </c>
      <c r="O5">
        <v>3.7210000000000001</v>
      </c>
      <c r="P5">
        <v>-1.1690723E-2</v>
      </c>
      <c r="Q5">
        <v>-2.7188236999999998E-3</v>
      </c>
      <c r="R5">
        <v>-4.350118E-2</v>
      </c>
      <c r="S5">
        <v>1.16445</v>
      </c>
    </row>
    <row r="6" spans="1:19">
      <c r="A6" t="s">
        <v>4</v>
      </c>
      <c r="B6">
        <v>994</v>
      </c>
      <c r="C6">
        <v>63.703049999999998</v>
      </c>
      <c r="D6">
        <v>22.99898</v>
      </c>
      <c r="E6">
        <v>0.22456380000000001</v>
      </c>
      <c r="F6">
        <v>9.7640790000000002E-3</v>
      </c>
      <c r="G6">
        <v>40.704000000000001</v>
      </c>
      <c r="H6">
        <v>-0.43104880000000001</v>
      </c>
      <c r="I6">
        <v>-1.058984E-2</v>
      </c>
      <c r="J6">
        <v>-0.206485</v>
      </c>
      <c r="K6">
        <v>-3.2413671999999998E-3</v>
      </c>
      <c r="L6">
        <v>60.919040000000003</v>
      </c>
      <c r="M6">
        <v>2.0233205000000001E-2</v>
      </c>
      <c r="N6">
        <v>4.7045322000000001E-3</v>
      </c>
      <c r="O6">
        <v>2.7839999999999998</v>
      </c>
      <c r="P6">
        <v>-1.089706E-2</v>
      </c>
      <c r="Q6">
        <v>-2.5281181999999998E-3</v>
      </c>
      <c r="R6">
        <v>-3.0337419000000001E-2</v>
      </c>
      <c r="S6">
        <v>1.2325870000000001</v>
      </c>
    </row>
    <row r="7" spans="1:19">
      <c r="A7" t="s">
        <v>5</v>
      </c>
      <c r="B7">
        <v>1001</v>
      </c>
      <c r="C7">
        <v>70.579099999999997</v>
      </c>
      <c r="D7">
        <v>37.750990000000002</v>
      </c>
      <c r="E7">
        <v>0.20725289999999999</v>
      </c>
      <c r="F7">
        <v>5.4899998999999996E-3</v>
      </c>
      <c r="G7">
        <v>32.82799</v>
      </c>
      <c r="H7">
        <v>-0.39632899999999999</v>
      </c>
      <c r="I7">
        <v>-1.2072901E-2</v>
      </c>
      <c r="J7">
        <v>-0.1890761</v>
      </c>
      <c r="K7">
        <v>-2.6789252E-3</v>
      </c>
      <c r="L7">
        <v>68.265079999999998</v>
      </c>
      <c r="M7">
        <v>1.7930979E-2</v>
      </c>
      <c r="N7">
        <v>4.1776783999999999E-3</v>
      </c>
      <c r="O7">
        <v>2.3140000000000001</v>
      </c>
      <c r="P7">
        <v>-1.1266171E-2</v>
      </c>
      <c r="Q7">
        <v>-2.6069920999999999E-3</v>
      </c>
      <c r="R7">
        <v>-2.6069920999999999E-2</v>
      </c>
      <c r="S7">
        <v>1.2240599999999999</v>
      </c>
    </row>
    <row r="8" spans="1:19">
      <c r="A8" t="s">
        <v>6</v>
      </c>
      <c r="B8">
        <v>1001</v>
      </c>
      <c r="C8">
        <v>69.609080000000006</v>
      </c>
      <c r="D8">
        <v>33.999980000000001</v>
      </c>
      <c r="E8">
        <v>0.25119760000000002</v>
      </c>
      <c r="F8">
        <v>7.3881689000000004E-3</v>
      </c>
      <c r="G8">
        <v>35.608989999999999</v>
      </c>
      <c r="H8">
        <v>-0.4019084</v>
      </c>
      <c r="I8">
        <v>-1.1286711E-2</v>
      </c>
      <c r="J8">
        <v>-0.15071090000000001</v>
      </c>
      <c r="K8">
        <v>-2.1651032999999999E-3</v>
      </c>
      <c r="L8">
        <v>66.123040000000003</v>
      </c>
      <c r="M8">
        <v>1.8063089000000001E-2</v>
      </c>
      <c r="N8">
        <v>4.2055859000000003E-3</v>
      </c>
      <c r="O8">
        <v>3.4860000000000002</v>
      </c>
      <c r="P8">
        <v>-1.2805524E-2</v>
      </c>
      <c r="Q8">
        <v>-2.976004E-3</v>
      </c>
      <c r="R8">
        <v>-4.4640061000000002E-2</v>
      </c>
      <c r="S8">
        <v>1.1943859999999999</v>
      </c>
    </row>
    <row r="9" spans="1:19">
      <c r="A9" t="s">
        <v>7</v>
      </c>
      <c r="B9">
        <v>1305</v>
      </c>
      <c r="C9">
        <v>79.092119999999994</v>
      </c>
      <c r="D9">
        <v>32.845970000000001</v>
      </c>
      <c r="E9">
        <v>0.36319879999999999</v>
      </c>
      <c r="F9">
        <v>1.1057638E-2</v>
      </c>
      <c r="G9">
        <v>46.246009999999998</v>
      </c>
      <c r="H9">
        <v>-0.52277549999999995</v>
      </c>
      <c r="I9">
        <v>-1.1304231E-2</v>
      </c>
      <c r="J9">
        <v>-0.15957669999999999</v>
      </c>
      <c r="K9">
        <v>-2.0176051E-3</v>
      </c>
      <c r="L9">
        <v>74.376140000000007</v>
      </c>
      <c r="M9">
        <v>2.2645596E-2</v>
      </c>
      <c r="N9">
        <v>5.2634123999999996E-3</v>
      </c>
      <c r="O9">
        <v>4.7160000000000002</v>
      </c>
      <c r="P9">
        <v>-1.0989957999999999E-2</v>
      </c>
      <c r="Q9">
        <v>-2.5914323E-3</v>
      </c>
      <c r="R9">
        <v>-5.1828645E-2</v>
      </c>
      <c r="S9">
        <v>1.6842919999999999</v>
      </c>
    </row>
    <row r="10" spans="1:19">
      <c r="A10" t="s">
        <v>8</v>
      </c>
      <c r="B10">
        <v>1309</v>
      </c>
      <c r="C10">
        <v>76.303030000000007</v>
      </c>
      <c r="D10">
        <v>33.375979999999998</v>
      </c>
      <c r="E10">
        <v>0.4587193</v>
      </c>
      <c r="F10">
        <v>1.3743997000000001E-2</v>
      </c>
      <c r="G10">
        <v>42.927010000000003</v>
      </c>
      <c r="H10">
        <v>-0.55231609999999998</v>
      </c>
      <c r="I10">
        <v>-1.2866401E-2</v>
      </c>
      <c r="J10">
        <v>-9.3596756000000003E-2</v>
      </c>
      <c r="K10">
        <v>-1.2266453000000001E-3</v>
      </c>
      <c r="L10">
        <v>74.461039999999997</v>
      </c>
      <c r="M10">
        <v>2.2442548999999999E-2</v>
      </c>
      <c r="N10">
        <v>5.2221739E-3</v>
      </c>
      <c r="O10">
        <v>1.8420000000000001</v>
      </c>
      <c r="P10">
        <v>-1.0547785E-2</v>
      </c>
      <c r="Q10">
        <v>-2.4286275999999998E-3</v>
      </c>
      <c r="R10">
        <v>-1.9429021000000001E-2</v>
      </c>
      <c r="S10">
        <v>1.6710959999999999</v>
      </c>
    </row>
    <row r="11" spans="1:19">
      <c r="A11" t="s">
        <v>9</v>
      </c>
      <c r="B11">
        <v>951</v>
      </c>
      <c r="C11">
        <v>69.573040000000006</v>
      </c>
      <c r="D11">
        <v>16.697990000000001</v>
      </c>
      <c r="E11">
        <v>0.15035129999999999</v>
      </c>
      <c r="F11">
        <v>9.0041532999999997E-3</v>
      </c>
      <c r="G11">
        <v>52.874989999999997</v>
      </c>
      <c r="H11">
        <v>-0.60277420000000004</v>
      </c>
      <c r="I11">
        <v>-1.1399986000000001E-2</v>
      </c>
      <c r="J11">
        <v>-0.45242290000000002</v>
      </c>
      <c r="K11">
        <v>-6.5028485999999996E-3</v>
      </c>
      <c r="L11">
        <v>64.000020000000006</v>
      </c>
      <c r="M11">
        <v>1.8523023E-2</v>
      </c>
      <c r="N11">
        <v>4.3108132999999998E-3</v>
      </c>
      <c r="O11">
        <v>5.5730000000000004</v>
      </c>
      <c r="P11">
        <v>-7.3744641000000003E-3</v>
      </c>
      <c r="Q11">
        <v>-1.7124121E-3</v>
      </c>
      <c r="R11">
        <v>-4.1097890999999998E-2</v>
      </c>
      <c r="S11">
        <v>1.1854739999999999</v>
      </c>
    </row>
    <row r="12" spans="1:19">
      <c r="A12" t="s">
        <v>10</v>
      </c>
      <c r="B12">
        <v>956</v>
      </c>
      <c r="C12">
        <v>68.188059999999993</v>
      </c>
      <c r="D12">
        <v>17.68899</v>
      </c>
      <c r="E12">
        <v>0.17527580000000001</v>
      </c>
      <c r="F12">
        <v>9.9087497000000004E-3</v>
      </c>
      <c r="G12">
        <v>50.499020000000002</v>
      </c>
      <c r="H12">
        <v>-0.59532430000000003</v>
      </c>
      <c r="I12">
        <v>-1.1788829000000001E-2</v>
      </c>
      <c r="J12">
        <v>-0.42004849999999999</v>
      </c>
      <c r="K12">
        <v>-6.1601470000000004E-3</v>
      </c>
      <c r="L12">
        <v>62.372030000000002</v>
      </c>
      <c r="M12">
        <v>1.8273205000000001E-2</v>
      </c>
      <c r="N12">
        <v>4.2527494999999998E-3</v>
      </c>
      <c r="O12">
        <v>5.8159999999999998</v>
      </c>
      <c r="P12">
        <v>-7.3586474000000004E-3</v>
      </c>
      <c r="Q12">
        <v>-1.7119158000000001E-3</v>
      </c>
      <c r="R12">
        <v>-4.2797897000000001E-2</v>
      </c>
      <c r="S12">
        <v>1.139737</v>
      </c>
    </row>
    <row r="13" spans="1:19">
      <c r="A13" t="s">
        <v>11</v>
      </c>
      <c r="B13">
        <v>957</v>
      </c>
      <c r="C13">
        <v>70.053089999999997</v>
      </c>
      <c r="D13">
        <v>23.037980000000001</v>
      </c>
      <c r="E13">
        <v>0.334698</v>
      </c>
      <c r="F13">
        <v>1.4528095E-2</v>
      </c>
      <c r="G13">
        <v>47.015000000000001</v>
      </c>
      <c r="H13">
        <v>-0.58458319999999997</v>
      </c>
      <c r="I13">
        <v>-1.2433972E-2</v>
      </c>
      <c r="J13">
        <v>-0.2498852</v>
      </c>
      <c r="K13">
        <v>-3.567083E-3</v>
      </c>
      <c r="L13">
        <v>66.811059999999998</v>
      </c>
      <c r="M13">
        <v>1.9718800000000002E-2</v>
      </c>
      <c r="N13">
        <v>4.5903617999999997E-3</v>
      </c>
      <c r="O13">
        <v>3.242</v>
      </c>
      <c r="P13">
        <v>-7.6331315000000002E-3</v>
      </c>
      <c r="Q13">
        <v>-1.7676152E-3</v>
      </c>
      <c r="R13">
        <v>-2.4746614E-2</v>
      </c>
      <c r="S13">
        <v>1.317434</v>
      </c>
    </row>
    <row r="14" spans="1:19">
      <c r="A14" t="s">
        <v>12</v>
      </c>
      <c r="B14">
        <v>1894</v>
      </c>
      <c r="C14">
        <v>236.45570000000001</v>
      </c>
      <c r="D14">
        <v>86.377110000000002</v>
      </c>
      <c r="E14">
        <v>0.87624579999999996</v>
      </c>
      <c r="F14">
        <v>1.0144421000000001E-2</v>
      </c>
      <c r="G14">
        <v>150.0788</v>
      </c>
      <c r="H14">
        <v>-1.37219</v>
      </c>
      <c r="I14">
        <v>-9.1431262000000006E-3</v>
      </c>
      <c r="J14">
        <v>-0.495944</v>
      </c>
      <c r="K14">
        <v>-2.0974076000000001E-3</v>
      </c>
      <c r="L14">
        <v>217.69489999999999</v>
      </c>
      <c r="M14">
        <v>1.8792699999999999E-2</v>
      </c>
      <c r="N14">
        <v>4.4323675999999998E-3</v>
      </c>
      <c r="O14">
        <v>18.761009999999999</v>
      </c>
      <c r="P14">
        <v>-7.8006233000000001E-3</v>
      </c>
      <c r="Q14">
        <v>-1.8293445000000001E-3</v>
      </c>
      <c r="R14">
        <v>-0.14634759999999999</v>
      </c>
      <c r="S14">
        <v>4.091075</v>
      </c>
    </row>
    <row r="15" spans="1:19">
      <c r="A15" t="s">
        <v>13</v>
      </c>
      <c r="B15">
        <v>2192</v>
      </c>
      <c r="C15">
        <v>141.70529999999999</v>
      </c>
      <c r="D15">
        <v>39.622970000000002</v>
      </c>
      <c r="E15">
        <v>0.76093690000000003</v>
      </c>
      <c r="F15">
        <v>1.920444E-2</v>
      </c>
      <c r="G15">
        <v>102.0822</v>
      </c>
      <c r="H15">
        <v>-1.1685030000000001</v>
      </c>
      <c r="I15">
        <v>-1.1446684E-2</v>
      </c>
      <c r="J15">
        <v>-0.40756569999999998</v>
      </c>
      <c r="K15">
        <v>-2.8761502000000001E-3</v>
      </c>
      <c r="L15">
        <v>134.44839999999999</v>
      </c>
      <c r="M15">
        <v>2.4540365000000001E-2</v>
      </c>
      <c r="N15">
        <v>5.7083265999999999E-3</v>
      </c>
      <c r="O15">
        <v>7.2569990000000004</v>
      </c>
      <c r="P15">
        <v>-9.9216168999999993E-3</v>
      </c>
      <c r="Q15">
        <v>-2.3226184E-3</v>
      </c>
      <c r="R15">
        <v>-7.2001167000000005E-2</v>
      </c>
      <c r="S15">
        <v>3.2994129999999999</v>
      </c>
    </row>
    <row r="16" spans="1:19">
      <c r="A16" t="s">
        <v>14</v>
      </c>
      <c r="B16">
        <v>2192</v>
      </c>
      <c r="C16">
        <v>145.65430000000001</v>
      </c>
      <c r="D16">
        <v>37.099980000000002</v>
      </c>
      <c r="E16">
        <v>0.67830360000000001</v>
      </c>
      <c r="F16">
        <v>1.8283128999999999E-2</v>
      </c>
      <c r="G16">
        <v>108.55419999999999</v>
      </c>
      <c r="H16">
        <v>-1.2200139999999999</v>
      </c>
      <c r="I16">
        <v>-1.1238754E-2</v>
      </c>
      <c r="J16">
        <v>-0.54171069999999999</v>
      </c>
      <c r="K16">
        <v>-3.7191532999999999E-3</v>
      </c>
      <c r="L16">
        <v>136.50640000000001</v>
      </c>
      <c r="M16">
        <v>2.4656997999999999E-2</v>
      </c>
      <c r="N16">
        <v>5.7339653999999999E-3</v>
      </c>
      <c r="O16">
        <v>9.1479999999999997</v>
      </c>
      <c r="P16">
        <v>-1.0370025999999999E-2</v>
      </c>
      <c r="Q16">
        <v>-2.4324358E-3</v>
      </c>
      <c r="R16">
        <v>-9.4864993999999994E-2</v>
      </c>
      <c r="S16">
        <v>3.3658380000000001</v>
      </c>
    </row>
    <row r="17" spans="1:19">
      <c r="A17" t="s">
        <v>15</v>
      </c>
      <c r="B17">
        <v>2201</v>
      </c>
      <c r="C17">
        <v>144.75919999999999</v>
      </c>
      <c r="D17">
        <v>47.147970000000001</v>
      </c>
      <c r="E17">
        <v>0.70529679999999995</v>
      </c>
      <c r="F17">
        <v>1.4959217E-2</v>
      </c>
      <c r="G17">
        <v>97.61112</v>
      </c>
      <c r="H17">
        <v>-1.1510149999999999</v>
      </c>
      <c r="I17">
        <v>-1.1791839E-2</v>
      </c>
      <c r="J17">
        <v>-0.4457179</v>
      </c>
      <c r="K17">
        <v>-3.0790307000000002E-3</v>
      </c>
      <c r="L17">
        <v>133.7483</v>
      </c>
      <c r="M17">
        <v>2.4759125E-2</v>
      </c>
      <c r="N17">
        <v>5.7591144000000002E-3</v>
      </c>
      <c r="O17">
        <v>11.010999999999999</v>
      </c>
      <c r="P17">
        <v>-1.1385662E-2</v>
      </c>
      <c r="Q17">
        <v>-2.6673934999999998E-3</v>
      </c>
      <c r="R17">
        <v>-0.12536749999999999</v>
      </c>
      <c r="S17">
        <v>3.3114910000000002</v>
      </c>
    </row>
    <row r="18" spans="1:19">
      <c r="A18" t="s">
        <v>16</v>
      </c>
      <c r="B18">
        <v>4326</v>
      </c>
      <c r="C18">
        <v>350.24979999999999</v>
      </c>
      <c r="D18">
        <v>88.652029999999996</v>
      </c>
      <c r="E18">
        <v>1.390574</v>
      </c>
      <c r="F18">
        <v>1.5685759000000001E-2</v>
      </c>
      <c r="G18">
        <v>261.59769999999997</v>
      </c>
      <c r="H18">
        <v>-2.1458689999999998</v>
      </c>
      <c r="I18">
        <v>-8.2029345999999996E-3</v>
      </c>
      <c r="J18">
        <v>-0.75529429999999997</v>
      </c>
      <c r="K18">
        <v>-2.1564444000000001E-3</v>
      </c>
      <c r="L18">
        <v>335.48160000000001</v>
      </c>
      <c r="M18">
        <v>2.3225889E-2</v>
      </c>
      <c r="N18">
        <v>5.4679713E-3</v>
      </c>
      <c r="O18">
        <v>14.768000000000001</v>
      </c>
      <c r="P18">
        <v>-9.2009212999999996E-3</v>
      </c>
      <c r="Q18">
        <v>-2.1568126999999999E-3</v>
      </c>
      <c r="R18">
        <v>-0.13587920000000001</v>
      </c>
      <c r="S18">
        <v>7.7918589999999996</v>
      </c>
    </row>
    <row r="19" spans="1:19">
      <c r="A19" t="s">
        <v>17</v>
      </c>
      <c r="B19">
        <v>4366</v>
      </c>
      <c r="C19">
        <v>353.25299999999999</v>
      </c>
      <c r="D19">
        <v>93.50806</v>
      </c>
      <c r="E19">
        <v>1.5617209999999999</v>
      </c>
      <c r="F19">
        <v>1.6701457999999999E-2</v>
      </c>
      <c r="G19">
        <v>259.74459999999999</v>
      </c>
      <c r="H19">
        <v>-2.0199090000000002</v>
      </c>
      <c r="I19">
        <v>-7.7765192999999996E-3</v>
      </c>
      <c r="J19">
        <v>-0.45818779999999998</v>
      </c>
      <c r="K19">
        <v>-1.2970528E-3</v>
      </c>
      <c r="L19">
        <v>340.09789999999998</v>
      </c>
      <c r="M19">
        <v>2.2593489000000001E-2</v>
      </c>
      <c r="N19">
        <v>5.3213284999999999E-3</v>
      </c>
      <c r="O19">
        <v>13.154999999999999</v>
      </c>
      <c r="P19">
        <v>-9.5555213999999992E-3</v>
      </c>
      <c r="Q19">
        <v>-2.2446943999999999E-3</v>
      </c>
      <c r="R19">
        <v>-0.12570290000000001</v>
      </c>
      <c r="S19">
        <v>7.6839979999999999</v>
      </c>
    </row>
    <row r="20" spans="1:19">
      <c r="A20" t="s">
        <v>18</v>
      </c>
      <c r="B20">
        <v>4368</v>
      </c>
      <c r="C20">
        <v>360.20929999999998</v>
      </c>
      <c r="D20">
        <v>95.785070000000005</v>
      </c>
      <c r="E20">
        <v>1.599356</v>
      </c>
      <c r="F20">
        <v>1.6697340000000001E-2</v>
      </c>
      <c r="G20">
        <v>264.4237</v>
      </c>
      <c r="H20">
        <v>-2.090195</v>
      </c>
      <c r="I20">
        <v>-7.9047205000000002E-3</v>
      </c>
      <c r="J20">
        <v>-0.49083959999999999</v>
      </c>
      <c r="K20">
        <v>-1.3626510999999999E-3</v>
      </c>
      <c r="L20">
        <v>345.89929999999998</v>
      </c>
      <c r="M20">
        <v>2.2652683999999999E-2</v>
      </c>
      <c r="N20">
        <v>5.3375666000000004E-3</v>
      </c>
      <c r="O20">
        <v>14.31</v>
      </c>
      <c r="P20">
        <v>-9.6795699000000006E-3</v>
      </c>
      <c r="Q20">
        <v>-2.2707318000000001E-3</v>
      </c>
      <c r="R20">
        <v>-0.13851459999999999</v>
      </c>
      <c r="S20">
        <v>7.8355480000000002</v>
      </c>
    </row>
    <row r="21" spans="1:19">
      <c r="A21" t="s">
        <v>19</v>
      </c>
      <c r="B21">
        <v>4368</v>
      </c>
      <c r="C21">
        <v>356.19009999999997</v>
      </c>
      <c r="D21">
        <v>95.75103</v>
      </c>
      <c r="E21">
        <v>1.420013</v>
      </c>
      <c r="F21">
        <v>1.4830261000000001E-2</v>
      </c>
      <c r="G21">
        <v>260.43860000000001</v>
      </c>
      <c r="H21">
        <v>-2.0523069999999999</v>
      </c>
      <c r="I21">
        <v>-7.8801960000000008E-3</v>
      </c>
      <c r="J21">
        <v>-0.63229449999999998</v>
      </c>
      <c r="K21">
        <v>-1.7751602999999999E-3</v>
      </c>
      <c r="L21">
        <v>341.06400000000002</v>
      </c>
      <c r="M21">
        <v>2.2699878999999999E-2</v>
      </c>
      <c r="N21">
        <v>5.3393868999999997E-3</v>
      </c>
      <c r="O21">
        <v>15.125999999999999</v>
      </c>
      <c r="P21">
        <v>-9.0701114000000006E-3</v>
      </c>
      <c r="Q21">
        <v>-2.1436641E-3</v>
      </c>
      <c r="R21">
        <v>-0.1371945</v>
      </c>
      <c r="S21">
        <v>7.7421110000000004</v>
      </c>
    </row>
    <row r="22" spans="1:19">
      <c r="A22" t="s">
        <v>20</v>
      </c>
      <c r="B22">
        <v>4376</v>
      </c>
      <c r="C22">
        <v>349.87830000000002</v>
      </c>
      <c r="D22">
        <v>93.175030000000007</v>
      </c>
      <c r="E22">
        <v>1.546133</v>
      </c>
      <c r="F22">
        <v>1.6593851E-2</v>
      </c>
      <c r="G22">
        <v>256.70260000000002</v>
      </c>
      <c r="H22">
        <v>-1.986904</v>
      </c>
      <c r="I22">
        <v>-7.7401012999999998E-3</v>
      </c>
      <c r="J22">
        <v>-0.44077159999999999</v>
      </c>
      <c r="K22">
        <v>-1.2597853999999999E-3</v>
      </c>
      <c r="L22">
        <v>336.30410000000001</v>
      </c>
      <c r="M22">
        <v>2.2459377999999999E-2</v>
      </c>
      <c r="N22">
        <v>5.2930494000000003E-3</v>
      </c>
      <c r="O22">
        <v>13.574</v>
      </c>
      <c r="P22">
        <v>-9.8168150999999992E-3</v>
      </c>
      <c r="Q22">
        <v>-2.2974734000000001E-3</v>
      </c>
      <c r="R22">
        <v>-0.1332535</v>
      </c>
      <c r="S22">
        <v>7.5531810000000004</v>
      </c>
    </row>
    <row r="23" spans="1:19">
      <c r="A23" t="s">
        <v>21</v>
      </c>
      <c r="B23">
        <v>4382</v>
      </c>
      <c r="C23">
        <v>359.358</v>
      </c>
      <c r="D23">
        <v>90.811019999999999</v>
      </c>
      <c r="E23">
        <v>1.3857010000000001</v>
      </c>
      <c r="F23">
        <v>1.5259175E-2</v>
      </c>
      <c r="G23">
        <v>268.54700000000003</v>
      </c>
      <c r="H23">
        <v>-2.0058590000000001</v>
      </c>
      <c r="I23">
        <v>-7.4693038999999999E-3</v>
      </c>
      <c r="J23">
        <v>-0.62015770000000003</v>
      </c>
      <c r="K23">
        <v>-1.7257379000000001E-3</v>
      </c>
      <c r="L23">
        <v>344.08690000000001</v>
      </c>
      <c r="M23">
        <v>2.2544956000000001E-2</v>
      </c>
      <c r="N23">
        <v>5.3060353000000003E-3</v>
      </c>
      <c r="O23">
        <v>15.271000000000001</v>
      </c>
      <c r="P23">
        <v>-9.2086093999999997E-3</v>
      </c>
      <c r="Q23">
        <v>-2.1634568000000001E-3</v>
      </c>
      <c r="R23">
        <v>-0.14062469999999999</v>
      </c>
      <c r="S23">
        <v>7.7574240000000003</v>
      </c>
    </row>
    <row r="24" spans="1:19">
      <c r="A24" t="s">
        <v>34</v>
      </c>
      <c r="B24">
        <v>4382</v>
      </c>
      <c r="C24">
        <v>353.50470000000001</v>
      </c>
      <c r="D24">
        <v>96.134010000000004</v>
      </c>
      <c r="E24">
        <v>1.5676810000000001</v>
      </c>
      <c r="F24">
        <v>1.6307248E-2</v>
      </c>
      <c r="G24">
        <v>257.37090000000001</v>
      </c>
      <c r="H24">
        <v>-2.0557919999999998</v>
      </c>
      <c r="I24">
        <v>-7.9876631000000003E-3</v>
      </c>
      <c r="J24">
        <v>-0.48811080000000001</v>
      </c>
      <c r="K24">
        <v>-1.3807757999999999E-3</v>
      </c>
      <c r="L24">
        <v>339.18740000000003</v>
      </c>
      <c r="M24">
        <v>2.2673150999999999E-2</v>
      </c>
      <c r="N24">
        <v>5.3443001000000002E-3</v>
      </c>
      <c r="O24">
        <v>14.317</v>
      </c>
      <c r="P24">
        <v>-9.3856323999999998E-3</v>
      </c>
      <c r="Q24">
        <v>-2.2028540000000002E-3</v>
      </c>
      <c r="R24">
        <v>-0.1343741</v>
      </c>
      <c r="S24">
        <v>7.690448</v>
      </c>
    </row>
    <row r="25" spans="1:19">
      <c r="A25" t="s">
        <v>22</v>
      </c>
      <c r="B25">
        <v>4384</v>
      </c>
      <c r="C25">
        <v>191.79509999999999</v>
      </c>
      <c r="D25">
        <v>64.961979999999997</v>
      </c>
      <c r="E25">
        <v>1.3194060000000001</v>
      </c>
      <c r="F25">
        <v>2.0310435000000002E-2</v>
      </c>
      <c r="G25">
        <v>126.8334</v>
      </c>
      <c r="H25">
        <v>-1.4087449999999999</v>
      </c>
      <c r="I25">
        <v>-1.1107051E-2</v>
      </c>
      <c r="J25">
        <v>-8.9338540999999994E-2</v>
      </c>
      <c r="K25">
        <v>-4.6580198E-4</v>
      </c>
      <c r="L25">
        <v>184.5692</v>
      </c>
      <c r="M25">
        <v>2.4569316000000001E-2</v>
      </c>
      <c r="N25">
        <v>5.7184588999999999E-3</v>
      </c>
      <c r="O25">
        <v>7.2260010000000001</v>
      </c>
      <c r="P25">
        <v>-8.9279404000000007E-3</v>
      </c>
      <c r="Q25">
        <v>-2.0810745000000002E-3</v>
      </c>
      <c r="R25">
        <v>-6.4513311000000004E-2</v>
      </c>
      <c r="S25">
        <v>4.5347379999999999</v>
      </c>
    </row>
    <row r="26" spans="1:19">
      <c r="A26" t="s">
        <v>23</v>
      </c>
      <c r="B26">
        <v>4386</v>
      </c>
      <c r="C26">
        <v>355.92290000000003</v>
      </c>
      <c r="D26">
        <v>88.917100000000005</v>
      </c>
      <c r="E26">
        <v>1.3041640000000001</v>
      </c>
      <c r="F26">
        <v>1.4667192000000001E-2</v>
      </c>
      <c r="G26">
        <v>267.00569999999999</v>
      </c>
      <c r="H26">
        <v>-2.096848</v>
      </c>
      <c r="I26">
        <v>-7.8531941000000004E-3</v>
      </c>
      <c r="J26">
        <v>-0.79268340000000004</v>
      </c>
      <c r="K26">
        <v>-2.2271207999999998E-3</v>
      </c>
      <c r="L26">
        <v>339.68979999999999</v>
      </c>
      <c r="M26">
        <v>2.2707146000000001E-2</v>
      </c>
      <c r="N26">
        <v>5.3453826999999999E-3</v>
      </c>
      <c r="O26">
        <v>16.233000000000001</v>
      </c>
      <c r="P26">
        <v>-9.8514818000000007E-3</v>
      </c>
      <c r="Q26">
        <v>-2.3176681999999998E-3</v>
      </c>
      <c r="R26">
        <v>-0.15991910000000001</v>
      </c>
      <c r="S26">
        <v>7.713387</v>
      </c>
    </row>
    <row r="27" spans="1:19">
      <c r="A27" t="s">
        <v>24</v>
      </c>
      <c r="B27">
        <v>4386</v>
      </c>
      <c r="C27">
        <v>354.87779999999998</v>
      </c>
      <c r="D27">
        <v>94.383099999999999</v>
      </c>
      <c r="E27">
        <v>1.5212330000000001</v>
      </c>
      <c r="F27">
        <v>1.6117638E-2</v>
      </c>
      <c r="G27">
        <v>260.49489999999997</v>
      </c>
      <c r="H27">
        <v>-1.9798990000000001</v>
      </c>
      <c r="I27">
        <v>-7.6005296000000002E-3</v>
      </c>
      <c r="J27">
        <v>-0.45866620000000002</v>
      </c>
      <c r="K27">
        <v>-1.2924621999999999E-3</v>
      </c>
      <c r="L27">
        <v>340.81380000000001</v>
      </c>
      <c r="M27">
        <v>2.2707727E-2</v>
      </c>
      <c r="N27">
        <v>5.3409976000000003E-3</v>
      </c>
      <c r="O27">
        <v>14.064</v>
      </c>
      <c r="P27">
        <v>-9.2408079999999997E-3</v>
      </c>
      <c r="Q27">
        <v>-2.1660453999999998E-3</v>
      </c>
      <c r="R27">
        <v>-0.12996269999999999</v>
      </c>
      <c r="S27">
        <v>7.7391059999999996</v>
      </c>
    </row>
    <row r="28" spans="1:19">
      <c r="A28" t="s">
        <v>25</v>
      </c>
      <c r="B28">
        <v>4396</v>
      </c>
      <c r="C28">
        <v>401.69510000000002</v>
      </c>
      <c r="D28">
        <v>91.346130000000002</v>
      </c>
      <c r="E28">
        <v>1.3486119999999999</v>
      </c>
      <c r="F28">
        <v>1.4763755999999999E-2</v>
      </c>
      <c r="G28">
        <v>310.34910000000002</v>
      </c>
      <c r="H28">
        <v>-2.2763429999999998</v>
      </c>
      <c r="I28">
        <v>-7.3347817999999997E-3</v>
      </c>
      <c r="J28">
        <v>-0.92773119999999998</v>
      </c>
      <c r="K28">
        <v>-2.3095404999999999E-3</v>
      </c>
      <c r="L28">
        <v>388.3741</v>
      </c>
      <c r="M28">
        <v>2.1828859999999999E-2</v>
      </c>
      <c r="N28">
        <v>5.1536554999999998E-3</v>
      </c>
      <c r="O28">
        <v>13.321</v>
      </c>
      <c r="P28">
        <v>-1.4427333000000001E-2</v>
      </c>
      <c r="Q28">
        <v>-3.3716937000000001E-3</v>
      </c>
      <c r="R28">
        <v>-0.19218650000000001</v>
      </c>
      <c r="S28">
        <v>8.4777629999999995</v>
      </c>
    </row>
    <row r="29" spans="1:19">
      <c r="A29" t="s">
        <v>26</v>
      </c>
      <c r="B29">
        <v>4496</v>
      </c>
      <c r="C29">
        <v>276.66079999999999</v>
      </c>
      <c r="D29">
        <v>40.345010000000002</v>
      </c>
      <c r="E29">
        <v>0.48801650000000002</v>
      </c>
      <c r="F29">
        <v>1.2096081E-2</v>
      </c>
      <c r="G29">
        <v>236.31559999999999</v>
      </c>
      <c r="H29">
        <v>-2.3455879999999998</v>
      </c>
      <c r="I29">
        <v>-9.9256588000000007E-3</v>
      </c>
      <c r="J29">
        <v>-1.857572</v>
      </c>
      <c r="K29">
        <v>-6.7142579000000003E-3</v>
      </c>
      <c r="L29">
        <v>266.91849999999999</v>
      </c>
      <c r="M29">
        <v>2.8930008E-2</v>
      </c>
      <c r="N29">
        <v>6.8034832E-3</v>
      </c>
      <c r="O29">
        <v>9.7420000000000009</v>
      </c>
      <c r="P29">
        <v>-7.5368453E-3</v>
      </c>
      <c r="Q29">
        <v>-1.790828E-3</v>
      </c>
      <c r="R29">
        <v>-7.3423944000000005E-2</v>
      </c>
      <c r="S29">
        <v>7.7219530000000001</v>
      </c>
    </row>
    <row r="30" spans="1:19">
      <c r="A30" t="s">
        <v>27</v>
      </c>
      <c r="B30">
        <v>4616</v>
      </c>
      <c r="C30">
        <v>266.02460000000002</v>
      </c>
      <c r="D30">
        <v>61.914029999999997</v>
      </c>
      <c r="E30">
        <v>1.2446630000000001</v>
      </c>
      <c r="F30">
        <v>2.0103085999999999E-2</v>
      </c>
      <c r="G30">
        <v>204.11060000000001</v>
      </c>
      <c r="H30">
        <v>-2.277514</v>
      </c>
      <c r="I30">
        <v>-1.1158232000000001E-2</v>
      </c>
      <c r="J30">
        <v>-1.032851</v>
      </c>
      <c r="K30">
        <v>-3.8825381000000001E-3</v>
      </c>
      <c r="L30">
        <v>225.9307</v>
      </c>
      <c r="M30">
        <v>2.7993583999999998E-2</v>
      </c>
      <c r="N30">
        <v>6.5539995999999998E-3</v>
      </c>
      <c r="O30">
        <v>40.094029999999997</v>
      </c>
      <c r="P30">
        <v>-1.2317781E-2</v>
      </c>
      <c r="Q30">
        <v>-2.9051146000000001E-3</v>
      </c>
      <c r="R30">
        <v>-0.49386950000000002</v>
      </c>
      <c r="S30">
        <v>6.3246099999999998</v>
      </c>
    </row>
    <row r="31" spans="1:19">
      <c r="A31" t="s">
        <v>28</v>
      </c>
      <c r="B31">
        <v>4599</v>
      </c>
      <c r="C31">
        <v>155.9812</v>
      </c>
      <c r="D31">
        <v>49.83099</v>
      </c>
      <c r="E31">
        <v>1.113653</v>
      </c>
      <c r="F31">
        <v>2.2348598000000001E-2</v>
      </c>
      <c r="G31">
        <v>106.1502</v>
      </c>
      <c r="H31">
        <v>-2.0236260000000001</v>
      </c>
      <c r="I31">
        <v>-1.9063805999999999E-2</v>
      </c>
      <c r="J31">
        <v>-0.90997340000000004</v>
      </c>
      <c r="K31">
        <v>-5.8338660999999997E-3</v>
      </c>
      <c r="L31">
        <v>154.35919999999999</v>
      </c>
      <c r="M31">
        <v>3.2005596999999997E-2</v>
      </c>
      <c r="N31">
        <v>7.4627757999999999E-3</v>
      </c>
      <c r="O31">
        <v>1.6220000000000001</v>
      </c>
      <c r="P31">
        <v>-7.0328865999999997E-3</v>
      </c>
      <c r="Q31">
        <v>-1.6296202000000001E-3</v>
      </c>
      <c r="R31">
        <v>-1.1407341999999999E-2</v>
      </c>
      <c r="S31">
        <v>4.9403579999999998</v>
      </c>
    </row>
    <row r="32" spans="1:19">
      <c r="A32" t="s">
        <v>29</v>
      </c>
      <c r="B32">
        <v>4600</v>
      </c>
      <c r="C32">
        <v>150.58109999999999</v>
      </c>
      <c r="D32">
        <v>42.973979999999997</v>
      </c>
      <c r="E32">
        <v>1.0176890000000001</v>
      </c>
      <c r="F32">
        <v>2.3681511999999998E-2</v>
      </c>
      <c r="G32">
        <v>107.6071</v>
      </c>
      <c r="H32">
        <v>-2.0169609999999998</v>
      </c>
      <c r="I32">
        <v>-1.8743752999999998E-2</v>
      </c>
      <c r="J32">
        <v>-0.9992721</v>
      </c>
      <c r="K32">
        <v>-6.6361049999999998E-3</v>
      </c>
      <c r="L32">
        <v>148.2542</v>
      </c>
      <c r="M32">
        <v>3.2727733000000002E-2</v>
      </c>
      <c r="N32">
        <v>7.6169901999999998E-3</v>
      </c>
      <c r="O32">
        <v>2.327</v>
      </c>
      <c r="P32">
        <v>-1.0597064999999999E-2</v>
      </c>
      <c r="Q32">
        <v>-2.4659373000000002E-3</v>
      </c>
      <c r="R32">
        <v>-2.4659372999999998E-2</v>
      </c>
      <c r="S32">
        <v>4.852023</v>
      </c>
    </row>
    <row r="33" spans="1:19">
      <c r="A33" t="s">
        <v>30</v>
      </c>
      <c r="B33">
        <v>4599</v>
      </c>
      <c r="C33">
        <v>151.78720000000001</v>
      </c>
      <c r="D33">
        <v>43.607979999999998</v>
      </c>
      <c r="E33">
        <v>1.033757</v>
      </c>
      <c r="F33">
        <v>2.3705688999999999E-2</v>
      </c>
      <c r="G33">
        <v>108.17919999999999</v>
      </c>
      <c r="H33">
        <v>-1.9823409999999999</v>
      </c>
      <c r="I33">
        <v>-1.8324610000000002E-2</v>
      </c>
      <c r="J33">
        <v>-0.94858379999999998</v>
      </c>
      <c r="K33">
        <v>-6.2494311000000002E-3</v>
      </c>
      <c r="L33">
        <v>149.6902</v>
      </c>
      <c r="M33">
        <v>3.2753183999999998E-2</v>
      </c>
      <c r="N33">
        <v>7.6249311999999998E-3</v>
      </c>
      <c r="O33">
        <v>2.097</v>
      </c>
      <c r="P33">
        <v>-1.0015074000000001E-2</v>
      </c>
      <c r="Q33">
        <v>-2.3335122999999999E-3</v>
      </c>
      <c r="R33">
        <v>-2.1001611E-2</v>
      </c>
      <c r="S33">
        <v>4.9028309999999999</v>
      </c>
    </row>
    <row r="34" spans="1:19">
      <c r="A34" t="s">
        <v>31</v>
      </c>
      <c r="B34">
        <v>10032</v>
      </c>
      <c r="C34">
        <v>637.41719999999998</v>
      </c>
      <c r="D34">
        <v>223.61490000000001</v>
      </c>
      <c r="E34">
        <v>2.0192920000000001</v>
      </c>
      <c r="F34">
        <v>9.0302173000000006E-3</v>
      </c>
      <c r="G34">
        <v>413.80439999999999</v>
      </c>
      <c r="H34">
        <v>-4.2238689999999997</v>
      </c>
      <c r="I34">
        <v>-1.0207404999999999E-2</v>
      </c>
      <c r="J34">
        <v>-2.204577</v>
      </c>
      <c r="K34">
        <v>-3.4586095999999998E-3</v>
      </c>
      <c r="L34">
        <v>553.99760000000003</v>
      </c>
      <c r="M34">
        <v>2.0842289999999999E-2</v>
      </c>
      <c r="N34">
        <v>4.9050882999999998E-3</v>
      </c>
      <c r="O34">
        <v>83.420869999999994</v>
      </c>
      <c r="P34">
        <v>-7.7311615E-3</v>
      </c>
      <c r="Q34">
        <v>-1.8322165E-3</v>
      </c>
      <c r="R34">
        <v>-0.64494019999999996</v>
      </c>
      <c r="S34">
        <v>11.546580000000001</v>
      </c>
    </row>
    <row r="35" spans="1:19">
      <c r="A35" t="s">
        <v>32</v>
      </c>
      <c r="B35">
        <v>10214</v>
      </c>
      <c r="C35">
        <v>698.02170000000001</v>
      </c>
      <c r="D35">
        <v>205.2287</v>
      </c>
      <c r="E35">
        <v>2.5226259999999998</v>
      </c>
      <c r="F35">
        <v>1.229178E-2</v>
      </c>
      <c r="G35">
        <v>492.79419999999999</v>
      </c>
      <c r="H35">
        <v>-5.103999</v>
      </c>
      <c r="I35">
        <v>-1.0357263E-2</v>
      </c>
      <c r="J35">
        <v>-2.5813730000000001</v>
      </c>
      <c r="K35">
        <v>-3.6981276E-3</v>
      </c>
      <c r="L35">
        <v>610.75819999999999</v>
      </c>
      <c r="M35">
        <v>2.2111082000000001E-2</v>
      </c>
      <c r="N35">
        <v>5.2100788000000002E-3</v>
      </c>
      <c r="O35">
        <v>87.26491</v>
      </c>
      <c r="P35">
        <v>-1.0053067000000001E-2</v>
      </c>
      <c r="Q35">
        <v>-2.3710271E-3</v>
      </c>
      <c r="R35">
        <v>-0.87727999999999995</v>
      </c>
      <c r="S35">
        <v>13.504519999999999</v>
      </c>
    </row>
    <row r="36" spans="1:19">
      <c r="A36" t="s">
        <v>33</v>
      </c>
      <c r="B36">
        <v>10355</v>
      </c>
      <c r="C36">
        <v>805.22820000000002</v>
      </c>
      <c r="D36">
        <v>322.33769999999998</v>
      </c>
      <c r="E36">
        <v>3.2799809999999998</v>
      </c>
      <c r="F36">
        <v>1.0175603E-2</v>
      </c>
      <c r="G36">
        <v>482.8963</v>
      </c>
      <c r="H36">
        <v>-4.4689439999999996</v>
      </c>
      <c r="I36">
        <v>-9.2544584000000003E-3</v>
      </c>
      <c r="J36">
        <v>-1.1889620000000001</v>
      </c>
      <c r="K36">
        <v>-1.4765533999999999E-3</v>
      </c>
      <c r="L36">
        <v>674.24570000000006</v>
      </c>
      <c r="M36">
        <v>1.9199647E-2</v>
      </c>
      <c r="N36">
        <v>4.4870982000000002E-3</v>
      </c>
      <c r="O36">
        <v>130.9847</v>
      </c>
      <c r="P36">
        <v>-1.2428982999999999E-2</v>
      </c>
      <c r="Q36">
        <v>-2.9280698E-3</v>
      </c>
      <c r="R36">
        <v>-1.628007</v>
      </c>
      <c r="S36">
        <v>12.94528</v>
      </c>
    </row>
  </sheetData>
  <phoneticPr fontId="0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92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115.18389999999999</v>
      </c>
      <c r="D2">
        <v>39.678989999999999</v>
      </c>
      <c r="E2">
        <v>0.49436289999999999</v>
      </c>
      <c r="F2">
        <v>1.2459058E-2</v>
      </c>
      <c r="G2">
        <v>75.504999999999995</v>
      </c>
      <c r="H2">
        <v>-0.87243309999999996</v>
      </c>
      <c r="I2">
        <v>-1.155464E-2</v>
      </c>
      <c r="J2">
        <v>-0.37807020000000002</v>
      </c>
      <c r="K2">
        <v>-3.2823192999999998E-3</v>
      </c>
      <c r="L2">
        <v>100.3879</v>
      </c>
      <c r="M2">
        <v>2.8572759E-2</v>
      </c>
      <c r="N2">
        <v>6.6861552000000001E-3</v>
      </c>
      <c r="O2">
        <v>14.795999999999999</v>
      </c>
      <c r="P2">
        <v>-1.4607765999999999E-2</v>
      </c>
      <c r="Q2">
        <v>-3.4307379E-3</v>
      </c>
      <c r="R2">
        <v>-0.21613650000000001</v>
      </c>
      <c r="S2">
        <v>2.8683610000000002</v>
      </c>
    </row>
    <row r="3" spans="1:19">
      <c r="A3" t="s">
        <v>1</v>
      </c>
      <c r="B3">
        <v>1248</v>
      </c>
      <c r="C3">
        <v>126.81780000000001</v>
      </c>
      <c r="D3">
        <v>30.021989999999999</v>
      </c>
      <c r="E3">
        <v>0.50406110000000004</v>
      </c>
      <c r="F3">
        <v>1.6789730999999999E-2</v>
      </c>
      <c r="G3">
        <v>96.795950000000005</v>
      </c>
      <c r="H3">
        <v>-1.051134</v>
      </c>
      <c r="I3">
        <v>-1.0859275E-2</v>
      </c>
      <c r="J3">
        <v>-0.54707280000000003</v>
      </c>
      <c r="K3">
        <v>-4.3138470999999996E-3</v>
      </c>
      <c r="L3">
        <v>95.348969999999994</v>
      </c>
      <c r="M3">
        <v>2.8352967999999999E-2</v>
      </c>
      <c r="N3">
        <v>6.5937228999999997E-3</v>
      </c>
      <c r="O3">
        <v>31.46902</v>
      </c>
      <c r="P3">
        <v>-1.1389668E-2</v>
      </c>
      <c r="Q3">
        <v>-2.6949001000000001E-3</v>
      </c>
      <c r="R3">
        <v>-0.35842170000000001</v>
      </c>
      <c r="S3">
        <v>2.7034259999999999</v>
      </c>
    </row>
    <row r="4" spans="1:19">
      <c r="A4" t="s">
        <v>2</v>
      </c>
      <c r="B4">
        <v>2468</v>
      </c>
      <c r="C4">
        <v>237.27789999999999</v>
      </c>
      <c r="D4">
        <v>71.125050000000002</v>
      </c>
      <c r="E4">
        <v>1.287698</v>
      </c>
      <c r="F4">
        <v>1.8104706000000002E-2</v>
      </c>
      <c r="G4">
        <v>166.15309999999999</v>
      </c>
      <c r="H4">
        <v>-2.2603070000000001</v>
      </c>
      <c r="I4">
        <v>-1.3603762E-2</v>
      </c>
      <c r="J4">
        <v>-0.97260899999999995</v>
      </c>
      <c r="K4">
        <v>-4.0990291000000002E-3</v>
      </c>
      <c r="L4">
        <v>224.23390000000001</v>
      </c>
      <c r="M4">
        <v>2.8737878000000001E-2</v>
      </c>
      <c r="N4">
        <v>6.6985530000000003E-3</v>
      </c>
      <c r="O4">
        <v>13.044</v>
      </c>
      <c r="P4">
        <v>-1.5313742999999999E-2</v>
      </c>
      <c r="Q4">
        <v>-3.6318621000000001E-3</v>
      </c>
      <c r="R4">
        <v>-0.1997524</v>
      </c>
      <c r="S4">
        <v>6.4440080000000002</v>
      </c>
    </row>
    <row r="5" spans="1:19">
      <c r="A5" t="s">
        <v>3</v>
      </c>
      <c r="B5">
        <v>993</v>
      </c>
      <c r="C5">
        <v>64.455039999999997</v>
      </c>
      <c r="D5">
        <v>32.311990000000002</v>
      </c>
      <c r="E5">
        <v>0.22653699999999999</v>
      </c>
      <c r="F5">
        <v>7.0109279E-3</v>
      </c>
      <c r="G5">
        <v>32.143000000000001</v>
      </c>
      <c r="H5">
        <v>-0.39600550000000001</v>
      </c>
      <c r="I5">
        <v>-1.2320118E-2</v>
      </c>
      <c r="J5">
        <v>-0.16946849999999999</v>
      </c>
      <c r="K5">
        <v>-2.6292515000000002E-3</v>
      </c>
      <c r="L5">
        <v>60.96602</v>
      </c>
      <c r="M5">
        <v>1.8211422000000001E-2</v>
      </c>
      <c r="N5">
        <v>4.2377020999999999E-3</v>
      </c>
      <c r="O5">
        <v>3.4889999999999999</v>
      </c>
      <c r="P5">
        <v>-1.1606583E-2</v>
      </c>
      <c r="Q5">
        <v>-2.6996912999999998E-3</v>
      </c>
      <c r="R5">
        <v>-4.0495370000000003E-2</v>
      </c>
      <c r="S5">
        <v>1.1102780000000001</v>
      </c>
    </row>
    <row r="6" spans="1:19">
      <c r="A6" t="s">
        <v>4</v>
      </c>
      <c r="B6">
        <v>994</v>
      </c>
      <c r="C6">
        <v>59.189019999999999</v>
      </c>
      <c r="D6">
        <v>22.270990000000001</v>
      </c>
      <c r="E6">
        <v>0.22262270000000001</v>
      </c>
      <c r="F6">
        <v>9.9960854000000002E-3</v>
      </c>
      <c r="G6">
        <v>36.917999999999999</v>
      </c>
      <c r="H6">
        <v>-0.38690219999999997</v>
      </c>
      <c r="I6">
        <v>-1.0480044000000001E-2</v>
      </c>
      <c r="J6">
        <v>-0.16427949999999999</v>
      </c>
      <c r="K6">
        <v>-2.7755067999999999E-3</v>
      </c>
      <c r="L6">
        <v>56.638019999999997</v>
      </c>
      <c r="M6">
        <v>2.0373881E-2</v>
      </c>
      <c r="N6">
        <v>4.7292471999999999E-3</v>
      </c>
      <c r="O6">
        <v>2.5510000000000002</v>
      </c>
      <c r="P6">
        <v>-1.0637143E-2</v>
      </c>
      <c r="Q6">
        <v>-2.4668502000000001E-3</v>
      </c>
      <c r="R6">
        <v>-2.7135352000000001E-2</v>
      </c>
      <c r="S6">
        <v>1.1539360000000001</v>
      </c>
    </row>
    <row r="7" spans="1:19">
      <c r="A7" t="s">
        <v>5</v>
      </c>
      <c r="B7">
        <v>1001</v>
      </c>
      <c r="C7">
        <v>66.034049999999993</v>
      </c>
      <c r="D7">
        <v>35.844999999999999</v>
      </c>
      <c r="E7">
        <v>0.19266610000000001</v>
      </c>
      <c r="F7">
        <v>5.3749788000000001E-3</v>
      </c>
      <c r="G7">
        <v>30.18899</v>
      </c>
      <c r="H7">
        <v>-0.36496580000000001</v>
      </c>
      <c r="I7">
        <v>-1.2089367E-2</v>
      </c>
      <c r="J7">
        <v>-0.1722997</v>
      </c>
      <c r="K7">
        <v>-2.6092545999999999E-3</v>
      </c>
      <c r="L7">
        <v>63.723050000000001</v>
      </c>
      <c r="M7">
        <v>1.7838487E-2</v>
      </c>
      <c r="N7">
        <v>4.1486229999999997E-3</v>
      </c>
      <c r="O7">
        <v>2.3109999999999999</v>
      </c>
      <c r="P7">
        <v>-1.1526969999999999E-2</v>
      </c>
      <c r="Q7">
        <v>-2.6638829000000001E-3</v>
      </c>
      <c r="R7">
        <v>-2.6638829999999999E-2</v>
      </c>
      <c r="S7">
        <v>1.1367229999999999</v>
      </c>
    </row>
    <row r="8" spans="1:19">
      <c r="A8" t="s">
        <v>6</v>
      </c>
      <c r="B8">
        <v>1001</v>
      </c>
      <c r="C8">
        <v>65.805019999999999</v>
      </c>
      <c r="D8">
        <v>32.09599</v>
      </c>
      <c r="E8">
        <v>0.24393039999999999</v>
      </c>
      <c r="F8">
        <v>7.6000262000000002E-3</v>
      </c>
      <c r="G8">
        <v>33.708970000000001</v>
      </c>
      <c r="H8">
        <v>-0.37755300000000003</v>
      </c>
      <c r="I8">
        <v>-1.1200371000000001E-2</v>
      </c>
      <c r="J8">
        <v>-0.13362270000000001</v>
      </c>
      <c r="K8">
        <v>-2.0305844999999999E-3</v>
      </c>
      <c r="L8">
        <v>62.555010000000003</v>
      </c>
      <c r="M8">
        <v>1.8077645E-2</v>
      </c>
      <c r="N8">
        <v>4.2038928000000001E-3</v>
      </c>
      <c r="O8">
        <v>3.25</v>
      </c>
      <c r="P8">
        <v>-1.2675962000000001E-2</v>
      </c>
      <c r="Q8">
        <v>-2.9426343000000001E-3</v>
      </c>
      <c r="R8">
        <v>-4.1196878999999999E-2</v>
      </c>
      <c r="S8">
        <v>1.1308469999999999</v>
      </c>
    </row>
    <row r="9" spans="1:19">
      <c r="A9" t="s">
        <v>7</v>
      </c>
      <c r="B9">
        <v>1305</v>
      </c>
      <c r="C9">
        <v>74.553089999999997</v>
      </c>
      <c r="D9">
        <v>31.645980000000002</v>
      </c>
      <c r="E9">
        <v>0.35781669999999999</v>
      </c>
      <c r="F9">
        <v>1.1306862000000001E-2</v>
      </c>
      <c r="G9">
        <v>42.90701</v>
      </c>
      <c r="H9">
        <v>-0.47776220000000003</v>
      </c>
      <c r="I9">
        <v>-1.1134827999999999E-2</v>
      </c>
      <c r="J9">
        <v>-0.1199455</v>
      </c>
      <c r="K9">
        <v>-1.6088597E-3</v>
      </c>
      <c r="L9">
        <v>70.791079999999994</v>
      </c>
      <c r="M9">
        <v>2.2799611000000001E-2</v>
      </c>
      <c r="N9">
        <v>5.2918330999999997E-3</v>
      </c>
      <c r="O9">
        <v>3.762</v>
      </c>
      <c r="P9">
        <v>-1.1903067999999999E-2</v>
      </c>
      <c r="Q9">
        <v>-2.7987091E-3</v>
      </c>
      <c r="R9">
        <v>-4.4779344999999998E-2</v>
      </c>
      <c r="S9">
        <v>1.614009</v>
      </c>
    </row>
    <row r="10" spans="1:19">
      <c r="A10" t="s">
        <v>8</v>
      </c>
      <c r="B10">
        <v>1309</v>
      </c>
      <c r="C10">
        <v>72.479010000000002</v>
      </c>
      <c r="D10">
        <v>32.170990000000003</v>
      </c>
      <c r="E10">
        <v>0.44156000000000001</v>
      </c>
      <c r="F10">
        <v>1.3725408E-2</v>
      </c>
      <c r="G10">
        <v>40.307989999999997</v>
      </c>
      <c r="H10">
        <v>-0.5196636</v>
      </c>
      <c r="I10">
        <v>-1.2892320000000001E-2</v>
      </c>
      <c r="J10">
        <v>-7.8103541999999998E-2</v>
      </c>
      <c r="K10">
        <v>-1.0776022000000001E-3</v>
      </c>
      <c r="L10">
        <v>70.869010000000003</v>
      </c>
      <c r="M10">
        <v>2.2666341E-2</v>
      </c>
      <c r="N10">
        <v>5.2666919999999999E-3</v>
      </c>
      <c r="O10">
        <v>1.61</v>
      </c>
      <c r="P10">
        <v>-1.1216784E-2</v>
      </c>
      <c r="Q10">
        <v>-2.5798603999999999E-3</v>
      </c>
      <c r="R10">
        <v>-1.8059023E-2</v>
      </c>
      <c r="S10">
        <v>1.606341</v>
      </c>
    </row>
    <row r="11" spans="1:19">
      <c r="A11" t="s">
        <v>9</v>
      </c>
      <c r="B11">
        <v>951</v>
      </c>
      <c r="C11">
        <v>65.766009999999994</v>
      </c>
      <c r="D11">
        <v>16.451989999999999</v>
      </c>
      <c r="E11">
        <v>0.1499308</v>
      </c>
      <c r="F11">
        <v>9.1132363000000008E-3</v>
      </c>
      <c r="G11">
        <v>49.313980000000001</v>
      </c>
      <c r="H11">
        <v>-0.56246260000000003</v>
      </c>
      <c r="I11">
        <v>-1.1405745E-2</v>
      </c>
      <c r="J11">
        <v>-0.4125318</v>
      </c>
      <c r="K11">
        <v>-6.2727206000000001E-3</v>
      </c>
      <c r="L11">
        <v>60.899990000000003</v>
      </c>
      <c r="M11">
        <v>1.9050529E-2</v>
      </c>
      <c r="N11">
        <v>4.4281570999999999E-3</v>
      </c>
      <c r="O11">
        <v>4.8660009999999998</v>
      </c>
      <c r="P11">
        <v>-7.4986736000000002E-3</v>
      </c>
      <c r="Q11">
        <v>-1.7375501000000001E-3</v>
      </c>
      <c r="R11">
        <v>-3.6488552E-2</v>
      </c>
      <c r="S11">
        <v>1.160177</v>
      </c>
    </row>
    <row r="12" spans="1:19">
      <c r="A12" t="s">
        <v>10</v>
      </c>
      <c r="B12">
        <v>956</v>
      </c>
      <c r="C12">
        <v>64.629000000000005</v>
      </c>
      <c r="D12">
        <v>16.49999</v>
      </c>
      <c r="E12">
        <v>0.17264360000000001</v>
      </c>
      <c r="F12">
        <v>1.0463256000000001E-2</v>
      </c>
      <c r="G12">
        <v>48.128990000000002</v>
      </c>
      <c r="H12">
        <v>-0.56955699999999998</v>
      </c>
      <c r="I12">
        <v>-1.1833969999999999E-2</v>
      </c>
      <c r="J12">
        <v>-0.39691330000000002</v>
      </c>
      <c r="K12">
        <v>-6.1414121000000002E-3</v>
      </c>
      <c r="L12">
        <v>59.274990000000003</v>
      </c>
      <c r="M12">
        <v>1.8381188E-2</v>
      </c>
      <c r="N12">
        <v>4.2727245000000001E-3</v>
      </c>
      <c r="O12">
        <v>5.3540010000000002</v>
      </c>
      <c r="P12">
        <v>-7.0845378000000004E-3</v>
      </c>
      <c r="Q12">
        <v>-1.6491574E-3</v>
      </c>
      <c r="R12">
        <v>-3.7930618999999999E-2</v>
      </c>
      <c r="S12">
        <v>1.089545</v>
      </c>
    </row>
    <row r="13" spans="1:19">
      <c r="A13" t="s">
        <v>11</v>
      </c>
      <c r="B13">
        <v>957</v>
      </c>
      <c r="C13">
        <v>65.090029999999999</v>
      </c>
      <c r="D13">
        <v>20.918990000000001</v>
      </c>
      <c r="E13">
        <v>0.29931210000000003</v>
      </c>
      <c r="F13">
        <v>1.4308156000000001E-2</v>
      </c>
      <c r="G13">
        <v>44.171010000000003</v>
      </c>
      <c r="H13">
        <v>-0.55068629999999996</v>
      </c>
      <c r="I13">
        <v>-1.2467143E-2</v>
      </c>
      <c r="J13">
        <v>-0.25137419999999999</v>
      </c>
      <c r="K13">
        <v>-3.8619458000000001E-3</v>
      </c>
      <c r="L13">
        <v>61.850029999999997</v>
      </c>
      <c r="M13">
        <v>1.9937221000000001E-2</v>
      </c>
      <c r="N13">
        <v>4.6357806000000001E-3</v>
      </c>
      <c r="O13">
        <v>3.24</v>
      </c>
      <c r="P13">
        <v>-7.6865479E-3</v>
      </c>
      <c r="Q13">
        <v>-1.7788869E-3</v>
      </c>
      <c r="R13">
        <v>-2.4904417000000002E-2</v>
      </c>
      <c r="S13">
        <v>1.2331179999999999</v>
      </c>
    </row>
    <row r="14" spans="1:19">
      <c r="A14" t="s">
        <v>12</v>
      </c>
      <c r="B14">
        <v>1894</v>
      </c>
      <c r="C14">
        <v>223.62100000000001</v>
      </c>
      <c r="D14">
        <v>82.471080000000001</v>
      </c>
      <c r="E14">
        <v>0.83526699999999998</v>
      </c>
      <c r="F14">
        <v>1.0127997999999999E-2</v>
      </c>
      <c r="G14">
        <v>141.1499</v>
      </c>
      <c r="H14">
        <v>-1.2795460000000001</v>
      </c>
      <c r="I14">
        <v>-9.0651549000000005E-3</v>
      </c>
      <c r="J14">
        <v>-0.44427850000000002</v>
      </c>
      <c r="K14">
        <v>-1.9867483000000001E-3</v>
      </c>
      <c r="L14">
        <v>205.828</v>
      </c>
      <c r="M14">
        <v>1.8917831E-2</v>
      </c>
      <c r="N14">
        <v>4.4756546000000001E-3</v>
      </c>
      <c r="O14">
        <v>17.792999999999999</v>
      </c>
      <c r="P14">
        <v>-7.9002333999999997E-3</v>
      </c>
      <c r="Q14">
        <v>-1.8495903E-3</v>
      </c>
      <c r="R14">
        <v>-0.1405689</v>
      </c>
      <c r="S14">
        <v>3.8938190000000001</v>
      </c>
    </row>
    <row r="15" spans="1:19">
      <c r="A15" t="s">
        <v>13</v>
      </c>
      <c r="B15">
        <v>2192</v>
      </c>
      <c r="C15">
        <v>133.59540000000001</v>
      </c>
      <c r="D15">
        <v>36.999980000000001</v>
      </c>
      <c r="E15">
        <v>0.70604769999999994</v>
      </c>
      <c r="F15">
        <v>1.9082379E-2</v>
      </c>
      <c r="G15">
        <v>96.595179999999999</v>
      </c>
      <c r="H15">
        <v>-1.098719</v>
      </c>
      <c r="I15">
        <v>-1.1374472E-2</v>
      </c>
      <c r="J15">
        <v>-0.3926714</v>
      </c>
      <c r="K15">
        <v>-2.9392592000000001E-3</v>
      </c>
      <c r="L15">
        <v>126.5814</v>
      </c>
      <c r="M15">
        <v>2.4722422000000001E-2</v>
      </c>
      <c r="N15">
        <v>5.7420138999999997E-3</v>
      </c>
      <c r="O15">
        <v>7.0139990000000001</v>
      </c>
      <c r="P15">
        <v>-1.0212066000000001E-2</v>
      </c>
      <c r="Q15">
        <v>-2.3875807000000001E-3</v>
      </c>
      <c r="R15">
        <v>-7.1627422999999996E-2</v>
      </c>
      <c r="S15">
        <v>3.1293980000000001</v>
      </c>
    </row>
    <row r="16" spans="1:19">
      <c r="A16" t="s">
        <v>14</v>
      </c>
      <c r="B16">
        <v>2192</v>
      </c>
      <c r="C16">
        <v>137.28530000000001</v>
      </c>
      <c r="D16">
        <v>34.719990000000003</v>
      </c>
      <c r="E16">
        <v>0.62470840000000005</v>
      </c>
      <c r="F16">
        <v>1.7992759000000001E-2</v>
      </c>
      <c r="G16">
        <v>102.5652</v>
      </c>
      <c r="H16">
        <v>-1.1469609999999999</v>
      </c>
      <c r="I16">
        <v>-1.1182750999999999E-2</v>
      </c>
      <c r="J16">
        <v>-0.52225259999999996</v>
      </c>
      <c r="K16">
        <v>-3.8041406999999999E-3</v>
      </c>
      <c r="L16">
        <v>129.07640000000001</v>
      </c>
      <c r="M16">
        <v>2.4671255E-2</v>
      </c>
      <c r="N16">
        <v>5.7274741000000002E-3</v>
      </c>
      <c r="O16">
        <v>8.2089990000000004</v>
      </c>
      <c r="P16">
        <v>-1.0926562000000001E-2</v>
      </c>
      <c r="Q16">
        <v>-2.5627469000000002E-3</v>
      </c>
      <c r="R16">
        <v>-8.9696138999999994E-2</v>
      </c>
      <c r="S16">
        <v>3.1844760000000001</v>
      </c>
    </row>
    <row r="17" spans="1:19">
      <c r="A17" t="s">
        <v>15</v>
      </c>
      <c r="B17">
        <v>2201</v>
      </c>
      <c r="C17">
        <v>136.4442</v>
      </c>
      <c r="D17">
        <v>44.545000000000002</v>
      </c>
      <c r="E17">
        <v>0.66178440000000005</v>
      </c>
      <c r="F17">
        <v>1.4856536E-2</v>
      </c>
      <c r="G17">
        <v>91.899029999999996</v>
      </c>
      <c r="H17">
        <v>-1.102573</v>
      </c>
      <c r="I17">
        <v>-1.1997657E-2</v>
      </c>
      <c r="J17">
        <v>-0.44078869999999998</v>
      </c>
      <c r="K17">
        <v>-3.2305417000000002E-3</v>
      </c>
      <c r="L17">
        <v>126.1412</v>
      </c>
      <c r="M17">
        <v>2.5073115E-2</v>
      </c>
      <c r="N17">
        <v>5.8245915000000002E-3</v>
      </c>
      <c r="O17">
        <v>10.303000000000001</v>
      </c>
      <c r="P17">
        <v>-1.1912046000000001E-2</v>
      </c>
      <c r="Q17">
        <v>-2.7893131999999999E-3</v>
      </c>
      <c r="R17">
        <v>-0.1227298</v>
      </c>
      <c r="S17">
        <v>3.1627529999999999</v>
      </c>
    </row>
    <row r="18" spans="1:19">
      <c r="A18" t="s">
        <v>16</v>
      </c>
      <c r="B18">
        <v>4326</v>
      </c>
      <c r="C18">
        <v>326.56880000000001</v>
      </c>
      <c r="D18">
        <v>83.789969999999997</v>
      </c>
      <c r="E18">
        <v>1.315321</v>
      </c>
      <c r="F18">
        <v>1.5697835E-2</v>
      </c>
      <c r="G18">
        <v>242.77889999999999</v>
      </c>
      <c r="H18">
        <v>-2.01552</v>
      </c>
      <c r="I18">
        <v>-8.3018728000000003E-3</v>
      </c>
      <c r="J18">
        <v>-0.7001984</v>
      </c>
      <c r="K18">
        <v>-2.1441067E-3</v>
      </c>
      <c r="L18">
        <v>313.01</v>
      </c>
      <c r="M18">
        <v>2.3268184000000001E-2</v>
      </c>
      <c r="N18">
        <v>5.5133789000000001E-3</v>
      </c>
      <c r="O18">
        <v>13.558999999999999</v>
      </c>
      <c r="P18">
        <v>-9.2608146000000002E-3</v>
      </c>
      <c r="Q18">
        <v>-2.1649553000000002E-3</v>
      </c>
      <c r="R18">
        <v>-0.1255674</v>
      </c>
      <c r="S18">
        <v>7.2831739999999998</v>
      </c>
    </row>
    <row r="19" spans="1:19">
      <c r="A19" t="s">
        <v>17</v>
      </c>
      <c r="B19">
        <v>4366</v>
      </c>
      <c r="C19">
        <v>332.47399999999999</v>
      </c>
      <c r="D19">
        <v>88.180080000000004</v>
      </c>
      <c r="E19">
        <v>1.48146</v>
      </c>
      <c r="F19">
        <v>1.6800394E-2</v>
      </c>
      <c r="G19">
        <v>244.29349999999999</v>
      </c>
      <c r="H19">
        <v>-1.8903920000000001</v>
      </c>
      <c r="I19">
        <v>-7.7382023000000001E-3</v>
      </c>
      <c r="J19">
        <v>-0.40893220000000002</v>
      </c>
      <c r="K19">
        <v>-1.2299676E-3</v>
      </c>
      <c r="L19">
        <v>320.04399999999998</v>
      </c>
      <c r="M19">
        <v>2.2697835999999999E-2</v>
      </c>
      <c r="N19">
        <v>5.3453323999999997E-3</v>
      </c>
      <c r="O19">
        <v>12.43</v>
      </c>
      <c r="P19">
        <v>-9.9310632999999992E-3</v>
      </c>
      <c r="Q19">
        <v>-2.3291154999999998E-3</v>
      </c>
      <c r="R19">
        <v>-0.1234431</v>
      </c>
      <c r="S19">
        <v>7.2643069999999996</v>
      </c>
    </row>
    <row r="20" spans="1:19">
      <c r="A20" t="s">
        <v>18</v>
      </c>
      <c r="B20">
        <v>4368</v>
      </c>
      <c r="C20">
        <v>341.22629999999998</v>
      </c>
      <c r="D20">
        <v>90.623019999999997</v>
      </c>
      <c r="E20">
        <v>1.5169710000000001</v>
      </c>
      <c r="F20">
        <v>1.6739351999999999E-2</v>
      </c>
      <c r="G20">
        <v>250.6026</v>
      </c>
      <c r="H20">
        <v>-1.9746440000000001</v>
      </c>
      <c r="I20">
        <v>-7.8795859999999992E-3</v>
      </c>
      <c r="J20">
        <v>-0.45767380000000002</v>
      </c>
      <c r="K20">
        <v>-1.3412617000000001E-3</v>
      </c>
      <c r="L20">
        <v>328.33629999999999</v>
      </c>
      <c r="M20">
        <v>2.2874243999999998E-2</v>
      </c>
      <c r="N20">
        <v>5.3993128000000001E-3</v>
      </c>
      <c r="O20">
        <v>12.89</v>
      </c>
      <c r="P20">
        <v>-9.8480367999999995E-3</v>
      </c>
      <c r="Q20">
        <v>-2.3080219999999999E-3</v>
      </c>
      <c r="R20">
        <v>-0.1269412</v>
      </c>
      <c r="S20">
        <v>7.5104439999999997</v>
      </c>
    </row>
    <row r="21" spans="1:19">
      <c r="A21" t="s">
        <v>19</v>
      </c>
      <c r="B21">
        <v>4368</v>
      </c>
      <c r="C21">
        <v>335.06099999999998</v>
      </c>
      <c r="D21">
        <v>88.762039999999999</v>
      </c>
      <c r="E21">
        <v>1.3380259999999999</v>
      </c>
      <c r="F21">
        <v>1.5074308999999999E-2</v>
      </c>
      <c r="G21">
        <v>246.2987</v>
      </c>
      <c r="H21">
        <v>-1.923905</v>
      </c>
      <c r="I21">
        <v>-7.8112692999999997E-3</v>
      </c>
      <c r="J21">
        <v>-0.58587909999999999</v>
      </c>
      <c r="K21">
        <v>-1.7485744000000001E-3</v>
      </c>
      <c r="L21">
        <v>321.3519</v>
      </c>
      <c r="M21">
        <v>2.2762378999999999E-2</v>
      </c>
      <c r="N21">
        <v>5.398328E-3</v>
      </c>
      <c r="O21">
        <v>13.709</v>
      </c>
      <c r="P21">
        <v>-9.5222080000000008E-3</v>
      </c>
      <c r="Q21">
        <v>-2.2506884E-3</v>
      </c>
      <c r="R21">
        <v>-0.13053989999999999</v>
      </c>
      <c r="S21">
        <v>7.3147339999999996</v>
      </c>
    </row>
    <row r="22" spans="1:19">
      <c r="A22" t="s">
        <v>20</v>
      </c>
      <c r="B22">
        <v>4376</v>
      </c>
      <c r="C22">
        <v>331.9821</v>
      </c>
      <c r="D22">
        <v>88.481039999999993</v>
      </c>
      <c r="E22">
        <v>1.459211</v>
      </c>
      <c r="F22">
        <v>1.6491788E-2</v>
      </c>
      <c r="G22">
        <v>243.50049999999999</v>
      </c>
      <c r="H22">
        <v>-1.8881349999999999</v>
      </c>
      <c r="I22">
        <v>-7.7541334999999996E-3</v>
      </c>
      <c r="J22">
        <v>-0.42892459999999999</v>
      </c>
      <c r="K22">
        <v>-1.292011E-3</v>
      </c>
      <c r="L22">
        <v>319.11200000000002</v>
      </c>
      <c r="M22">
        <v>2.2618118999999999E-2</v>
      </c>
      <c r="N22">
        <v>5.3345998999999996E-3</v>
      </c>
      <c r="O22">
        <v>12.87</v>
      </c>
      <c r="P22">
        <v>-1.019424E-2</v>
      </c>
      <c r="Q22">
        <v>-2.3854523999999998E-3</v>
      </c>
      <c r="R22">
        <v>-0.13119990000000001</v>
      </c>
      <c r="S22">
        <v>7.2177129999999998</v>
      </c>
    </row>
    <row r="23" spans="1:19">
      <c r="A23" t="s">
        <v>21</v>
      </c>
      <c r="B23">
        <v>4382</v>
      </c>
      <c r="C23">
        <v>339.04669999999999</v>
      </c>
      <c r="D23">
        <v>86.049959999999999</v>
      </c>
      <c r="E23">
        <v>1.3199369999999999</v>
      </c>
      <c r="F23">
        <v>1.5339192999999999E-2</v>
      </c>
      <c r="G23">
        <v>252.99700000000001</v>
      </c>
      <c r="H23">
        <v>-1.881966</v>
      </c>
      <c r="I23">
        <v>-7.4386918000000002E-3</v>
      </c>
      <c r="J23">
        <v>-0.56202949999999996</v>
      </c>
      <c r="K23">
        <v>-1.6576757E-3</v>
      </c>
      <c r="L23">
        <v>324.25490000000002</v>
      </c>
      <c r="M23">
        <v>2.2851092999999999E-2</v>
      </c>
      <c r="N23">
        <v>5.4084518999999998E-3</v>
      </c>
      <c r="O23">
        <v>14.792</v>
      </c>
      <c r="P23">
        <v>-9.3801756999999999E-3</v>
      </c>
      <c r="Q23">
        <v>-2.2024061000000001E-3</v>
      </c>
      <c r="R23">
        <v>-0.1387516</v>
      </c>
      <c r="S23">
        <v>7.4095789999999999</v>
      </c>
    </row>
    <row r="24" spans="1:19">
      <c r="A24" t="s">
        <v>34</v>
      </c>
      <c r="B24">
        <v>4382</v>
      </c>
      <c r="C24">
        <v>332.589</v>
      </c>
      <c r="D24">
        <v>90.184049999999999</v>
      </c>
      <c r="E24">
        <v>1.451676</v>
      </c>
      <c r="F24">
        <v>1.6096814000000001E-2</v>
      </c>
      <c r="G24">
        <v>242.40469999999999</v>
      </c>
      <c r="H24">
        <v>-1.9254070000000001</v>
      </c>
      <c r="I24">
        <v>-7.9429428999999996E-3</v>
      </c>
      <c r="J24">
        <v>-0.4737307</v>
      </c>
      <c r="K24">
        <v>-1.4243728E-3</v>
      </c>
      <c r="L24">
        <v>319.71690000000001</v>
      </c>
      <c r="M24">
        <v>2.2568781E-2</v>
      </c>
      <c r="N24">
        <v>5.3173331999999997E-3</v>
      </c>
      <c r="O24">
        <v>12.872</v>
      </c>
      <c r="P24">
        <v>-9.8460969000000002E-3</v>
      </c>
      <c r="Q24">
        <v>-2.3043453999999999E-3</v>
      </c>
      <c r="R24">
        <v>-0.12673899999999999</v>
      </c>
      <c r="S24">
        <v>7.2156209999999996</v>
      </c>
    </row>
    <row r="25" spans="1:19">
      <c r="A25" t="s">
        <v>22</v>
      </c>
      <c r="B25">
        <v>4384</v>
      </c>
      <c r="C25">
        <v>178.70609999999999</v>
      </c>
      <c r="D25">
        <v>60.887990000000002</v>
      </c>
      <c r="E25">
        <v>1.252904</v>
      </c>
      <c r="F25">
        <v>2.0577188999999999E-2</v>
      </c>
      <c r="G25">
        <v>117.81829999999999</v>
      </c>
      <c r="H25">
        <v>-1.289177</v>
      </c>
      <c r="I25">
        <v>-1.0942074E-2</v>
      </c>
      <c r="J25">
        <v>-3.6272882999999999E-2</v>
      </c>
      <c r="K25">
        <v>-2.0297507999999999E-4</v>
      </c>
      <c r="L25">
        <v>171.95509999999999</v>
      </c>
      <c r="M25">
        <v>2.4883287E-2</v>
      </c>
      <c r="N25">
        <v>5.7821725000000001E-3</v>
      </c>
      <c r="O25">
        <v>6.7510000000000003</v>
      </c>
      <c r="P25">
        <v>-8.6356187000000001E-3</v>
      </c>
      <c r="Q25">
        <v>-2.0103126E-3</v>
      </c>
      <c r="R25">
        <v>-5.8299068000000002E-2</v>
      </c>
      <c r="S25">
        <v>4.2788079999999997</v>
      </c>
    </row>
    <row r="26" spans="1:19">
      <c r="A26" t="s">
        <v>23</v>
      </c>
      <c r="B26">
        <v>4386</v>
      </c>
      <c r="C26">
        <v>332.4187</v>
      </c>
      <c r="D26">
        <v>82.600989999999996</v>
      </c>
      <c r="E26">
        <v>1.2119439999999999</v>
      </c>
      <c r="F26">
        <v>1.4672269E-2</v>
      </c>
      <c r="G26">
        <v>249.81790000000001</v>
      </c>
      <c r="H26">
        <v>-1.9462269999999999</v>
      </c>
      <c r="I26">
        <v>-7.7905837E-3</v>
      </c>
      <c r="J26">
        <v>-0.73428309999999997</v>
      </c>
      <c r="K26">
        <v>-2.2089102000000002E-3</v>
      </c>
      <c r="L26">
        <v>318.34190000000001</v>
      </c>
      <c r="M26">
        <v>2.2777599999999999E-2</v>
      </c>
      <c r="N26">
        <v>5.4112411999999999E-3</v>
      </c>
      <c r="O26">
        <v>14.077</v>
      </c>
      <c r="P26">
        <v>-9.5691019999999995E-3</v>
      </c>
      <c r="Q26">
        <v>-2.2450711E-3</v>
      </c>
      <c r="R26">
        <v>-0.1347043</v>
      </c>
      <c r="S26">
        <v>7.2510630000000003</v>
      </c>
    </row>
    <row r="27" spans="1:19">
      <c r="A27" t="s">
        <v>24</v>
      </c>
      <c r="B27">
        <v>4386</v>
      </c>
      <c r="C27">
        <v>335.00799999999998</v>
      </c>
      <c r="D27">
        <v>89.700959999999995</v>
      </c>
      <c r="E27">
        <v>1.4363360000000001</v>
      </c>
      <c r="F27">
        <v>1.6012487999999998E-2</v>
      </c>
      <c r="G27">
        <v>245.30690000000001</v>
      </c>
      <c r="H27">
        <v>-1.8471569999999999</v>
      </c>
      <c r="I27">
        <v>-7.5299861000000003E-3</v>
      </c>
      <c r="J27">
        <v>-0.41082180000000001</v>
      </c>
      <c r="K27">
        <v>-1.2263044E-3</v>
      </c>
      <c r="L27">
        <v>321.6651</v>
      </c>
      <c r="M27">
        <v>2.2776289000000002E-2</v>
      </c>
      <c r="N27">
        <v>5.3949467999999997E-3</v>
      </c>
      <c r="O27">
        <v>13.343</v>
      </c>
      <c r="P27">
        <v>-9.4121712999999992E-3</v>
      </c>
      <c r="Q27">
        <v>-2.2032743E-3</v>
      </c>
      <c r="R27">
        <v>-0.12558659999999999</v>
      </c>
      <c r="S27">
        <v>7.3263379999999998</v>
      </c>
    </row>
    <row r="28" spans="1:19">
      <c r="A28" t="s">
        <v>25</v>
      </c>
      <c r="B28">
        <v>4396</v>
      </c>
      <c r="C28">
        <v>381.65069999999997</v>
      </c>
      <c r="D28">
        <v>87.696020000000004</v>
      </c>
      <c r="E28">
        <v>1.2676460000000001</v>
      </c>
      <c r="F28">
        <v>1.4454997000000001E-2</v>
      </c>
      <c r="G28">
        <v>293.95420000000001</v>
      </c>
      <c r="H28">
        <v>-2.1608649999999998</v>
      </c>
      <c r="I28">
        <v>-7.3510273000000001E-3</v>
      </c>
      <c r="J28">
        <v>-0.8932194</v>
      </c>
      <c r="K28">
        <v>-2.3404103999999999E-3</v>
      </c>
      <c r="L28">
        <v>369.52170000000001</v>
      </c>
      <c r="M28">
        <v>2.1924201000000001E-2</v>
      </c>
      <c r="N28">
        <v>5.1965806999999999E-3</v>
      </c>
      <c r="O28">
        <v>12.129</v>
      </c>
      <c r="P28">
        <v>-1.4369231999999999E-2</v>
      </c>
      <c r="Q28">
        <v>-3.3516239000000001E-3</v>
      </c>
      <c r="R28">
        <v>-0.17428440000000001</v>
      </c>
      <c r="S28">
        <v>8.1014689999999998</v>
      </c>
    </row>
    <row r="29" spans="1:19">
      <c r="A29" t="s">
        <v>26</v>
      </c>
      <c r="B29">
        <v>4496</v>
      </c>
      <c r="C29">
        <v>257.37389999999999</v>
      </c>
      <c r="D29">
        <v>37.488990000000001</v>
      </c>
      <c r="E29">
        <v>0.45521470000000003</v>
      </c>
      <c r="F29">
        <v>1.2142623E-2</v>
      </c>
      <c r="G29">
        <v>219.88480000000001</v>
      </c>
      <c r="H29">
        <v>-2.165079</v>
      </c>
      <c r="I29">
        <v>-9.8464238000000003E-3</v>
      </c>
      <c r="J29">
        <v>-1.7098640000000001</v>
      </c>
      <c r="K29">
        <v>-6.6435011E-3</v>
      </c>
      <c r="L29">
        <v>248.125</v>
      </c>
      <c r="M29">
        <v>2.9301146E-2</v>
      </c>
      <c r="N29">
        <v>6.8978620999999999E-3</v>
      </c>
      <c r="O29">
        <v>9.2490009999999998</v>
      </c>
      <c r="P29">
        <v>-7.8015551000000004E-3</v>
      </c>
      <c r="Q29">
        <v>-1.8501689E-3</v>
      </c>
      <c r="R29">
        <v>-7.2156585999999995E-2</v>
      </c>
      <c r="S29">
        <v>7.2703470000000001</v>
      </c>
    </row>
    <row r="30" spans="1:19">
      <c r="A30" t="s">
        <v>27</v>
      </c>
      <c r="B30">
        <v>4616</v>
      </c>
      <c r="C30">
        <v>248.8629</v>
      </c>
      <c r="D30">
        <v>58.014049999999997</v>
      </c>
      <c r="E30">
        <v>1.1406769999999999</v>
      </c>
      <c r="F30">
        <v>1.9662079999999998E-2</v>
      </c>
      <c r="G30">
        <v>190.84880000000001</v>
      </c>
      <c r="H30">
        <v>-2.1372049999999998</v>
      </c>
      <c r="I30">
        <v>-1.1198417E-2</v>
      </c>
      <c r="J30">
        <v>-0.99652799999999997</v>
      </c>
      <c r="K30">
        <v>-4.0043257000000002E-3</v>
      </c>
      <c r="L30">
        <v>211.4408</v>
      </c>
      <c r="M30">
        <v>2.8195113000000001E-2</v>
      </c>
      <c r="N30">
        <v>6.5946872000000002E-3</v>
      </c>
      <c r="O30">
        <v>37.422029999999999</v>
      </c>
      <c r="P30">
        <v>-1.2424121E-2</v>
      </c>
      <c r="Q30">
        <v>-2.9241244999999999E-3</v>
      </c>
      <c r="R30">
        <v>-0.46493580000000001</v>
      </c>
      <c r="S30">
        <v>5.9615970000000003</v>
      </c>
    </row>
    <row r="31" spans="1:19">
      <c r="A31" t="s">
        <v>28</v>
      </c>
      <c r="B31">
        <v>4599</v>
      </c>
      <c r="C31">
        <v>143.61019999999999</v>
      </c>
      <c r="D31">
        <v>45.09301</v>
      </c>
      <c r="E31">
        <v>1.0154479999999999</v>
      </c>
      <c r="F31">
        <v>2.2518966000000001E-2</v>
      </c>
      <c r="G31">
        <v>98.517039999999994</v>
      </c>
      <c r="H31">
        <v>-1.875046</v>
      </c>
      <c r="I31">
        <v>-1.9032711000000001E-2</v>
      </c>
      <c r="J31">
        <v>-0.85959830000000004</v>
      </c>
      <c r="K31">
        <v>-5.9856357999999998E-3</v>
      </c>
      <c r="L31">
        <v>141.99119999999999</v>
      </c>
      <c r="M31">
        <v>3.2300606000000003E-2</v>
      </c>
      <c r="N31">
        <v>7.5186901000000002E-3</v>
      </c>
      <c r="O31">
        <v>1.619</v>
      </c>
      <c r="P31">
        <v>-7.2954502000000003E-3</v>
      </c>
      <c r="Q31">
        <v>-1.6873336E-3</v>
      </c>
      <c r="R31">
        <v>-1.1811334999999999E-2</v>
      </c>
      <c r="S31">
        <v>4.5864010000000004</v>
      </c>
    </row>
    <row r="32" spans="1:19">
      <c r="A32" t="s">
        <v>29</v>
      </c>
      <c r="B32">
        <v>4600</v>
      </c>
      <c r="C32">
        <v>139.68819999999999</v>
      </c>
      <c r="D32">
        <v>40.84198</v>
      </c>
      <c r="E32">
        <v>0.95836370000000004</v>
      </c>
      <c r="F32">
        <v>2.3465158E-2</v>
      </c>
      <c r="G32">
        <v>98.846040000000002</v>
      </c>
      <c r="H32">
        <v>-1.859702</v>
      </c>
      <c r="I32">
        <v>-1.8814132000000001E-2</v>
      </c>
      <c r="J32">
        <v>-0.90133870000000005</v>
      </c>
      <c r="K32">
        <v>-6.4525041E-3</v>
      </c>
      <c r="L32">
        <v>137.36420000000001</v>
      </c>
      <c r="M32">
        <v>3.3259138000000001E-2</v>
      </c>
      <c r="N32">
        <v>7.7303145E-3</v>
      </c>
      <c r="O32">
        <v>2.3239999999999998</v>
      </c>
      <c r="P32">
        <v>-1.0869906E-2</v>
      </c>
      <c r="Q32">
        <v>-2.5261664E-3</v>
      </c>
      <c r="R32">
        <v>-2.5261663E-2</v>
      </c>
      <c r="S32">
        <v>4.5686159999999996</v>
      </c>
    </row>
    <row r="33" spans="1:19">
      <c r="A33" t="s">
        <v>30</v>
      </c>
      <c r="B33">
        <v>4599</v>
      </c>
      <c r="C33">
        <v>141.15719999999999</v>
      </c>
      <c r="D33">
        <v>40.29898</v>
      </c>
      <c r="E33">
        <v>0.94695929999999995</v>
      </c>
      <c r="F33">
        <v>2.3498343000000001E-2</v>
      </c>
      <c r="G33">
        <v>100.85809999999999</v>
      </c>
      <c r="H33">
        <v>-1.869116</v>
      </c>
      <c r="I33">
        <v>-1.8532136000000001E-2</v>
      </c>
      <c r="J33">
        <v>-0.9221568</v>
      </c>
      <c r="K33">
        <v>-6.5328338999999999E-3</v>
      </c>
      <c r="L33">
        <v>139.29329999999999</v>
      </c>
      <c r="M33">
        <v>3.3208024000000003E-2</v>
      </c>
      <c r="N33">
        <v>7.7222944000000003E-3</v>
      </c>
      <c r="O33">
        <v>1.8640000000000001</v>
      </c>
      <c r="P33">
        <v>-9.5594786000000008E-3</v>
      </c>
      <c r="Q33">
        <v>-2.2273587999999999E-3</v>
      </c>
      <c r="R33">
        <v>-1.7818870000000001E-2</v>
      </c>
      <c r="S33">
        <v>4.6256539999999999</v>
      </c>
    </row>
    <row r="34" spans="1:19">
      <c r="A34" t="s">
        <v>31</v>
      </c>
      <c r="B34">
        <v>10032</v>
      </c>
      <c r="C34">
        <v>589.81299999999999</v>
      </c>
      <c r="D34">
        <v>208.8553</v>
      </c>
      <c r="E34">
        <v>1.939025</v>
      </c>
      <c r="F34">
        <v>9.2840622999999997E-3</v>
      </c>
      <c r="G34">
        <v>380.95819999999998</v>
      </c>
      <c r="H34">
        <v>-3.8868330000000002</v>
      </c>
      <c r="I34">
        <v>-1.0202779E-2</v>
      </c>
      <c r="J34">
        <v>-1.9478070000000001</v>
      </c>
      <c r="K34">
        <v>-3.3024146999999998E-3</v>
      </c>
      <c r="L34">
        <v>512.66780000000006</v>
      </c>
      <c r="M34">
        <v>2.1151553999999999E-2</v>
      </c>
      <c r="N34">
        <v>5.0017163000000003E-3</v>
      </c>
      <c r="O34">
        <v>77.146929999999998</v>
      </c>
      <c r="P34">
        <v>-7.7692559E-3</v>
      </c>
      <c r="Q34">
        <v>-1.8385713000000001E-3</v>
      </c>
      <c r="R34">
        <v>-0.59937419999999997</v>
      </c>
      <c r="S34">
        <v>10.843719999999999</v>
      </c>
    </row>
    <row r="35" spans="1:19">
      <c r="A35" t="s">
        <v>32</v>
      </c>
      <c r="B35">
        <v>10214</v>
      </c>
      <c r="C35">
        <v>646.21619999999996</v>
      </c>
      <c r="D35">
        <v>191.30609999999999</v>
      </c>
      <c r="E35">
        <v>2.3671259999999998</v>
      </c>
      <c r="F35">
        <v>1.2373501E-2</v>
      </c>
      <c r="G35">
        <v>454.9101</v>
      </c>
      <c r="H35">
        <v>-4.7490860000000001</v>
      </c>
      <c r="I35">
        <v>-1.0439616000000001E-2</v>
      </c>
      <c r="J35">
        <v>-2.3819599999999999</v>
      </c>
      <c r="K35">
        <v>-3.6860113E-3</v>
      </c>
      <c r="L35">
        <v>568.01679999999999</v>
      </c>
      <c r="M35">
        <v>2.2451269999999999E-2</v>
      </c>
      <c r="N35">
        <v>5.2849975999999998E-3</v>
      </c>
      <c r="O35">
        <v>78.2</v>
      </c>
      <c r="P35">
        <v>-1.0076989E-2</v>
      </c>
      <c r="Q35">
        <v>-2.3735559000000002E-3</v>
      </c>
      <c r="R35">
        <v>-0.78802059999999996</v>
      </c>
      <c r="S35">
        <v>12.752700000000001</v>
      </c>
    </row>
    <row r="36" spans="1:19">
      <c r="A36" t="s">
        <v>33</v>
      </c>
      <c r="B36">
        <v>10355</v>
      </c>
      <c r="C36">
        <v>743.49180000000001</v>
      </c>
      <c r="D36">
        <v>298.59160000000003</v>
      </c>
      <c r="E36">
        <v>3.0751469999999999</v>
      </c>
      <c r="F36">
        <v>1.0298841E-2</v>
      </c>
      <c r="G36">
        <v>444.90309999999999</v>
      </c>
      <c r="H36">
        <v>-4.1550589999999996</v>
      </c>
      <c r="I36">
        <v>-9.3392460000000007E-3</v>
      </c>
      <c r="J36">
        <v>-1.079912</v>
      </c>
      <c r="K36">
        <v>-1.4524873E-3</v>
      </c>
      <c r="L36">
        <v>620.93020000000001</v>
      </c>
      <c r="M36">
        <v>1.9549618000000001E-2</v>
      </c>
      <c r="N36">
        <v>4.5755552000000003E-3</v>
      </c>
      <c r="O36">
        <v>122.5637</v>
      </c>
      <c r="P36">
        <v>-1.2661767000000001E-2</v>
      </c>
      <c r="Q36">
        <v>-2.9786438999999999E-3</v>
      </c>
      <c r="R36">
        <v>-1.5518730000000001</v>
      </c>
      <c r="S36">
        <v>12.138949999999999</v>
      </c>
    </row>
  </sheetData>
  <phoneticPr fontId="0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93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112.4079</v>
      </c>
      <c r="D2">
        <v>38.640979999999999</v>
      </c>
      <c r="E2">
        <v>0.47379900000000003</v>
      </c>
      <c r="F2">
        <v>1.2261568E-2</v>
      </c>
      <c r="G2">
        <v>73.767009999999999</v>
      </c>
      <c r="H2">
        <v>-0.84412339999999997</v>
      </c>
      <c r="I2">
        <v>-1.1443102E-2</v>
      </c>
      <c r="J2">
        <v>-0.3703244</v>
      </c>
      <c r="K2">
        <v>-3.2944707000000001E-3</v>
      </c>
      <c r="L2">
        <v>97.876959999999997</v>
      </c>
      <c r="M2">
        <v>2.811607E-2</v>
      </c>
      <c r="N2">
        <v>6.7119887000000001E-3</v>
      </c>
      <c r="O2">
        <v>14.531000000000001</v>
      </c>
      <c r="P2">
        <v>-1.473177E-2</v>
      </c>
      <c r="Q2">
        <v>-3.4526998999999999E-3</v>
      </c>
      <c r="R2">
        <v>-0.21406739999999999</v>
      </c>
      <c r="S2">
        <v>2.7519149999999999</v>
      </c>
    </row>
    <row r="3" spans="1:19">
      <c r="A3" t="s">
        <v>1</v>
      </c>
      <c r="B3">
        <v>1248</v>
      </c>
      <c r="C3">
        <v>121.89490000000001</v>
      </c>
      <c r="D3">
        <v>30.193989999999999</v>
      </c>
      <c r="E3">
        <v>0.49610369999999998</v>
      </c>
      <c r="F3">
        <v>1.6430546000000001E-2</v>
      </c>
      <c r="G3">
        <v>91.700999999999993</v>
      </c>
      <c r="H3">
        <v>-1.0072110000000001</v>
      </c>
      <c r="I3">
        <v>-1.0983644000000001E-2</v>
      </c>
      <c r="J3">
        <v>-0.51110730000000004</v>
      </c>
      <c r="K3">
        <v>-4.1930177000000001E-3</v>
      </c>
      <c r="L3">
        <v>92.620990000000006</v>
      </c>
      <c r="M3">
        <v>2.7825689000000001E-2</v>
      </c>
      <c r="N3">
        <v>6.5578696999999998E-3</v>
      </c>
      <c r="O3">
        <v>29.274010000000001</v>
      </c>
      <c r="P3">
        <v>-1.1448085E-2</v>
      </c>
      <c r="Q3">
        <v>-2.7026724999999999E-3</v>
      </c>
      <c r="R3">
        <v>-0.33513140000000002</v>
      </c>
      <c r="S3">
        <v>2.5772430000000002</v>
      </c>
    </row>
    <row r="4" spans="1:19">
      <c r="A4" t="s">
        <v>2</v>
      </c>
      <c r="B4">
        <v>2468</v>
      </c>
      <c r="C4">
        <v>229.1627</v>
      </c>
      <c r="D4">
        <v>69.292010000000005</v>
      </c>
      <c r="E4">
        <v>1.2539819999999999</v>
      </c>
      <c r="F4">
        <v>1.8097069E-2</v>
      </c>
      <c r="G4">
        <v>159.87090000000001</v>
      </c>
      <c r="H4">
        <v>-2.1618659999999998</v>
      </c>
      <c r="I4">
        <v>-1.3522579E-2</v>
      </c>
      <c r="J4">
        <v>-0.90788409999999997</v>
      </c>
      <c r="K4">
        <v>-3.9617447000000004E-3</v>
      </c>
      <c r="L4">
        <v>216.59469999999999</v>
      </c>
      <c r="M4">
        <v>2.8498969999999998E-2</v>
      </c>
      <c r="N4">
        <v>6.6876779000000003E-3</v>
      </c>
      <c r="O4">
        <v>12.568</v>
      </c>
      <c r="P4">
        <v>-1.5193488E-2</v>
      </c>
      <c r="Q4">
        <v>-3.6028624000000002E-3</v>
      </c>
      <c r="R4">
        <v>-0.1909517</v>
      </c>
      <c r="S4">
        <v>6.1727270000000001</v>
      </c>
    </row>
    <row r="5" spans="1:19">
      <c r="A5" t="s">
        <v>3</v>
      </c>
      <c r="B5">
        <v>993</v>
      </c>
      <c r="C5">
        <v>60.682000000000002</v>
      </c>
      <c r="D5">
        <v>31.126999999999999</v>
      </c>
      <c r="E5">
        <v>0.22375880000000001</v>
      </c>
      <c r="F5">
        <v>7.1885763E-3</v>
      </c>
      <c r="G5">
        <v>29.555</v>
      </c>
      <c r="H5">
        <v>-0.36294650000000001</v>
      </c>
      <c r="I5">
        <v>-1.2280373000000001E-2</v>
      </c>
      <c r="J5">
        <v>-0.1391877</v>
      </c>
      <c r="K5">
        <v>-2.2937224999999999E-3</v>
      </c>
      <c r="L5">
        <v>57.65699</v>
      </c>
      <c r="M5">
        <v>1.8233052E-2</v>
      </c>
      <c r="N5">
        <v>4.2389636000000003E-3</v>
      </c>
      <c r="O5">
        <v>3.0249999999999999</v>
      </c>
      <c r="P5">
        <v>-1.0843596E-2</v>
      </c>
      <c r="Q5">
        <v>-2.5232213000000001E-3</v>
      </c>
      <c r="R5">
        <v>-3.2801878E-2</v>
      </c>
      <c r="S5">
        <v>1.0512630000000001</v>
      </c>
    </row>
    <row r="6" spans="1:19">
      <c r="A6" t="s">
        <v>4</v>
      </c>
      <c r="B6">
        <v>994</v>
      </c>
      <c r="C6">
        <v>57.056019999999997</v>
      </c>
      <c r="D6">
        <v>22.024000000000001</v>
      </c>
      <c r="E6">
        <v>0.2161283</v>
      </c>
      <c r="F6">
        <v>9.8133114999999996E-3</v>
      </c>
      <c r="G6">
        <v>35.03199</v>
      </c>
      <c r="H6">
        <v>-0.37015720000000002</v>
      </c>
      <c r="I6">
        <v>-1.0566262E-2</v>
      </c>
      <c r="J6">
        <v>-0.15402879999999999</v>
      </c>
      <c r="K6">
        <v>-2.6996074999999999E-3</v>
      </c>
      <c r="L6">
        <v>54.505009999999999</v>
      </c>
      <c r="M6">
        <v>2.0372662999999999E-2</v>
      </c>
      <c r="N6">
        <v>4.7251586999999999E-3</v>
      </c>
      <c r="O6">
        <v>2.5510000000000002</v>
      </c>
      <c r="P6">
        <v>-1.07654E-2</v>
      </c>
      <c r="Q6">
        <v>-2.4965943000000001E-3</v>
      </c>
      <c r="R6">
        <v>-2.7462535999999999E-2</v>
      </c>
      <c r="S6">
        <v>1.110412</v>
      </c>
    </row>
    <row r="7" spans="1:19">
      <c r="A7" t="s">
        <v>5</v>
      </c>
      <c r="B7">
        <v>1001</v>
      </c>
      <c r="C7">
        <v>62.73198</v>
      </c>
      <c r="D7">
        <v>34.412990000000001</v>
      </c>
      <c r="E7">
        <v>0.18611159999999999</v>
      </c>
      <c r="F7">
        <v>5.4081798999999998E-3</v>
      </c>
      <c r="G7">
        <v>28.318989999999999</v>
      </c>
      <c r="H7">
        <v>-0.34555560000000002</v>
      </c>
      <c r="I7">
        <v>-1.2202256E-2</v>
      </c>
      <c r="J7">
        <v>-0.159444</v>
      </c>
      <c r="K7">
        <v>-2.5416694E-3</v>
      </c>
      <c r="L7">
        <v>60.42398</v>
      </c>
      <c r="M7">
        <v>1.8062258000000001E-2</v>
      </c>
      <c r="N7">
        <v>4.1976677999999998E-3</v>
      </c>
      <c r="O7">
        <v>2.3079999999999998</v>
      </c>
      <c r="P7">
        <v>-1.1846478000000001E-2</v>
      </c>
      <c r="Q7">
        <v>-2.7341673000000001E-3</v>
      </c>
      <c r="R7">
        <v>-2.7341673E-2</v>
      </c>
      <c r="S7">
        <v>1.091394</v>
      </c>
    </row>
    <row r="8" spans="1:19">
      <c r="A8" t="s">
        <v>6</v>
      </c>
      <c r="B8">
        <v>1001</v>
      </c>
      <c r="C8">
        <v>62.038989999999998</v>
      </c>
      <c r="D8">
        <v>30.678999999999998</v>
      </c>
      <c r="E8">
        <v>0.23394680000000001</v>
      </c>
      <c r="F8">
        <v>7.6256338999999996E-3</v>
      </c>
      <c r="G8">
        <v>31.35999</v>
      </c>
      <c r="H8">
        <v>-0.34681190000000001</v>
      </c>
      <c r="I8">
        <v>-1.1059057000000001E-2</v>
      </c>
      <c r="J8">
        <v>-0.1128651</v>
      </c>
      <c r="K8">
        <v>-1.8192608999999999E-3</v>
      </c>
      <c r="L8">
        <v>59.02</v>
      </c>
      <c r="M8">
        <v>1.7970310999999999E-2</v>
      </c>
      <c r="N8">
        <v>4.1756205999999999E-3</v>
      </c>
      <c r="O8">
        <v>3.0190000000000001</v>
      </c>
      <c r="P8">
        <v>-1.2434049000000001E-2</v>
      </c>
      <c r="Q8">
        <v>-2.8875689E-3</v>
      </c>
      <c r="R8">
        <v>-3.7538394000000003E-2</v>
      </c>
      <c r="S8">
        <v>1.060608</v>
      </c>
    </row>
    <row r="9" spans="1:19">
      <c r="A9" t="s">
        <v>7</v>
      </c>
      <c r="B9">
        <v>1305</v>
      </c>
      <c r="C9">
        <v>70.770009999999999</v>
      </c>
      <c r="D9">
        <v>29.973990000000001</v>
      </c>
      <c r="E9">
        <v>0.32853199999999999</v>
      </c>
      <c r="F9">
        <v>1.0960569999999999E-2</v>
      </c>
      <c r="G9">
        <v>40.79598</v>
      </c>
      <c r="H9">
        <v>-0.45642680000000002</v>
      </c>
      <c r="I9">
        <v>-1.1188035000000001E-2</v>
      </c>
      <c r="J9">
        <v>-0.1278948</v>
      </c>
      <c r="K9">
        <v>-1.8071894E-3</v>
      </c>
      <c r="L9">
        <v>67.012</v>
      </c>
      <c r="M9">
        <v>2.2741438999999999E-2</v>
      </c>
      <c r="N9">
        <v>5.273181E-3</v>
      </c>
      <c r="O9">
        <v>3.758</v>
      </c>
      <c r="P9">
        <v>-1.2006943000000001E-2</v>
      </c>
      <c r="Q9">
        <v>-2.8201311000000001E-3</v>
      </c>
      <c r="R9">
        <v>-4.5122097999999999E-2</v>
      </c>
      <c r="S9">
        <v>1.523949</v>
      </c>
    </row>
    <row r="10" spans="1:19">
      <c r="A10" t="s">
        <v>8</v>
      </c>
      <c r="B10">
        <v>1309</v>
      </c>
      <c r="C10">
        <v>68.969970000000004</v>
      </c>
      <c r="D10">
        <v>31.218990000000002</v>
      </c>
      <c r="E10">
        <v>0.43713790000000002</v>
      </c>
      <c r="F10">
        <v>1.4002308E-2</v>
      </c>
      <c r="G10">
        <v>37.750999999999998</v>
      </c>
      <c r="H10">
        <v>-0.48652020000000001</v>
      </c>
      <c r="I10">
        <v>-1.2887612E-2</v>
      </c>
      <c r="J10">
        <v>-4.9382329000000003E-2</v>
      </c>
      <c r="K10">
        <v>-7.1599754000000002E-4</v>
      </c>
      <c r="L10">
        <v>67.589960000000005</v>
      </c>
      <c r="M10">
        <v>2.2985441999999998E-2</v>
      </c>
      <c r="N10">
        <v>5.3387801E-3</v>
      </c>
      <c r="O10">
        <v>1.38</v>
      </c>
      <c r="P10">
        <v>-1.2069165E-2</v>
      </c>
      <c r="Q10">
        <v>-2.7759077E-3</v>
      </c>
      <c r="R10">
        <v>-1.6655447E-2</v>
      </c>
      <c r="S10">
        <v>1.553585</v>
      </c>
    </row>
    <row r="11" spans="1:19">
      <c r="A11" t="s">
        <v>9</v>
      </c>
      <c r="B11">
        <v>951</v>
      </c>
      <c r="C11">
        <v>61.789009999999998</v>
      </c>
      <c r="D11">
        <v>15.05599</v>
      </c>
      <c r="E11">
        <v>0.1454114</v>
      </c>
      <c r="F11">
        <v>9.6580413999999993E-3</v>
      </c>
      <c r="G11">
        <v>46.732990000000001</v>
      </c>
      <c r="H11">
        <v>-0.53240940000000003</v>
      </c>
      <c r="I11">
        <v>-1.1392582E-2</v>
      </c>
      <c r="J11">
        <v>-0.38699800000000001</v>
      </c>
      <c r="K11">
        <v>-6.2632169999999997E-3</v>
      </c>
      <c r="L11">
        <v>57.164009999999998</v>
      </c>
      <c r="M11">
        <v>1.9051937000000001E-2</v>
      </c>
      <c r="N11">
        <v>4.4271750000000002E-3</v>
      </c>
      <c r="O11">
        <v>4.625</v>
      </c>
      <c r="P11">
        <v>-7.4260202000000003E-3</v>
      </c>
      <c r="Q11">
        <v>-1.7172673000000001E-3</v>
      </c>
      <c r="R11">
        <v>-3.4345346999999998E-2</v>
      </c>
      <c r="S11">
        <v>1.0890850000000001</v>
      </c>
    </row>
    <row r="12" spans="1:19">
      <c r="A12" t="s">
        <v>10</v>
      </c>
      <c r="B12">
        <v>956</v>
      </c>
      <c r="C12">
        <v>60.42201</v>
      </c>
      <c r="D12">
        <v>15.335000000000001</v>
      </c>
      <c r="E12">
        <v>0.1645703</v>
      </c>
      <c r="F12">
        <v>1.0731684999999999E-2</v>
      </c>
      <c r="G12">
        <v>45.086979999999997</v>
      </c>
      <c r="H12">
        <v>-0.545678</v>
      </c>
      <c r="I12">
        <v>-1.2102785E-2</v>
      </c>
      <c r="J12">
        <v>-0.38110769999999999</v>
      </c>
      <c r="K12">
        <v>-6.3074315000000002E-3</v>
      </c>
      <c r="L12">
        <v>55.537999999999997</v>
      </c>
      <c r="M12">
        <v>1.8662519999999998E-2</v>
      </c>
      <c r="N12">
        <v>4.3367320000000003E-3</v>
      </c>
      <c r="O12">
        <v>4.8840000000000003</v>
      </c>
      <c r="P12">
        <v>-7.0674861999999996E-3</v>
      </c>
      <c r="Q12">
        <v>-1.6436955000000001E-3</v>
      </c>
      <c r="R12">
        <v>-3.4517605E-2</v>
      </c>
      <c r="S12">
        <v>1.0364789999999999</v>
      </c>
    </row>
    <row r="13" spans="1:19">
      <c r="A13" t="s">
        <v>11</v>
      </c>
      <c r="B13">
        <v>957</v>
      </c>
      <c r="C13">
        <v>61.77599</v>
      </c>
      <c r="D13">
        <v>19.724989999999998</v>
      </c>
      <c r="E13">
        <v>0.27259359999999999</v>
      </c>
      <c r="F13">
        <v>1.3819705999999999E-2</v>
      </c>
      <c r="G13">
        <v>42.050980000000003</v>
      </c>
      <c r="H13">
        <v>-0.52781199999999995</v>
      </c>
      <c r="I13">
        <v>-1.2551717E-2</v>
      </c>
      <c r="J13">
        <v>-0.25521840000000001</v>
      </c>
      <c r="K13">
        <v>-4.1313525000000002E-3</v>
      </c>
      <c r="L13">
        <v>58.538980000000002</v>
      </c>
      <c r="M13">
        <v>1.9846549000000002E-2</v>
      </c>
      <c r="N13">
        <v>4.6103042999999996E-3</v>
      </c>
      <c r="O13">
        <v>3.2370000000000001</v>
      </c>
      <c r="P13">
        <v>-7.5762370000000004E-3</v>
      </c>
      <c r="Q13">
        <v>-1.7517342999999999E-3</v>
      </c>
      <c r="R13">
        <v>-2.4524280999999998E-2</v>
      </c>
      <c r="S13">
        <v>1.161797</v>
      </c>
    </row>
    <row r="14" spans="1:19">
      <c r="A14" t="s">
        <v>12</v>
      </c>
      <c r="B14">
        <v>1894</v>
      </c>
      <c r="C14">
        <v>215.24760000000001</v>
      </c>
      <c r="D14">
        <v>80.682090000000002</v>
      </c>
      <c r="E14">
        <v>0.79806120000000003</v>
      </c>
      <c r="F14">
        <v>9.8914290000000002E-3</v>
      </c>
      <c r="G14">
        <v>134.5658</v>
      </c>
      <c r="H14">
        <v>-1.2156640000000001</v>
      </c>
      <c r="I14">
        <v>-9.0339779999999998E-3</v>
      </c>
      <c r="J14">
        <v>-0.4176031</v>
      </c>
      <c r="K14">
        <v>-1.9401055999999999E-3</v>
      </c>
      <c r="L14">
        <v>197.70169999999999</v>
      </c>
      <c r="M14">
        <v>1.8724592000000002E-2</v>
      </c>
      <c r="N14">
        <v>4.4980365999999997E-3</v>
      </c>
      <c r="O14">
        <v>17.545999999999999</v>
      </c>
      <c r="P14">
        <v>-7.8040072999999996E-3</v>
      </c>
      <c r="Q14">
        <v>-1.8257214999999999E-3</v>
      </c>
      <c r="R14">
        <v>-0.1369291</v>
      </c>
      <c r="S14">
        <v>3.7018840000000002</v>
      </c>
    </row>
    <row r="15" spans="1:19">
      <c r="A15" t="s">
        <v>13</v>
      </c>
      <c r="B15">
        <v>2192</v>
      </c>
      <c r="C15">
        <v>127.7021</v>
      </c>
      <c r="D15">
        <v>35.815989999999999</v>
      </c>
      <c r="E15">
        <v>0.67338100000000001</v>
      </c>
      <c r="F15">
        <v>1.8801128E-2</v>
      </c>
      <c r="G15">
        <v>91.886020000000002</v>
      </c>
      <c r="H15">
        <v>-1.0545770000000001</v>
      </c>
      <c r="I15">
        <v>-1.1477014000000001E-2</v>
      </c>
      <c r="J15">
        <v>-0.38119619999999999</v>
      </c>
      <c r="K15">
        <v>-2.9850414E-3</v>
      </c>
      <c r="L15">
        <v>121.1631</v>
      </c>
      <c r="M15">
        <v>2.4763271E-2</v>
      </c>
      <c r="N15">
        <v>5.747884E-3</v>
      </c>
      <c r="O15">
        <v>6.5389999999999997</v>
      </c>
      <c r="P15">
        <v>-1.062951E-2</v>
      </c>
      <c r="Q15">
        <v>-2.4823699999999998E-3</v>
      </c>
      <c r="R15">
        <v>-6.9506362000000002E-2</v>
      </c>
      <c r="S15">
        <v>3.0003959999999998</v>
      </c>
    </row>
    <row r="16" spans="1:19">
      <c r="A16" t="s">
        <v>14</v>
      </c>
      <c r="B16">
        <v>2192</v>
      </c>
      <c r="C16">
        <v>130.6841</v>
      </c>
      <c r="D16">
        <v>33.067990000000002</v>
      </c>
      <c r="E16">
        <v>0.59067610000000004</v>
      </c>
      <c r="F16">
        <v>1.7862473E-2</v>
      </c>
      <c r="G16">
        <v>97.616020000000006</v>
      </c>
      <c r="H16">
        <v>-1.087672</v>
      </c>
      <c r="I16">
        <v>-1.1142350000000001E-2</v>
      </c>
      <c r="J16">
        <v>-0.49699579999999999</v>
      </c>
      <c r="K16">
        <v>-3.8030306E-3</v>
      </c>
      <c r="L16">
        <v>122.7171</v>
      </c>
      <c r="M16">
        <v>2.4732280999999998E-2</v>
      </c>
      <c r="N16">
        <v>5.7373792E-3</v>
      </c>
      <c r="O16">
        <v>7.9669999999999996</v>
      </c>
      <c r="P16">
        <v>-1.1202073E-2</v>
      </c>
      <c r="Q16">
        <v>-2.6249088999999999E-3</v>
      </c>
      <c r="R16">
        <v>-8.9246906000000001E-2</v>
      </c>
      <c r="S16">
        <v>3.0350739999999998</v>
      </c>
    </row>
    <row r="17" spans="1:19">
      <c r="A17" t="s">
        <v>15</v>
      </c>
      <c r="B17">
        <v>2201</v>
      </c>
      <c r="C17">
        <v>130.9991</v>
      </c>
      <c r="D17">
        <v>43.091000000000001</v>
      </c>
      <c r="E17">
        <v>0.63328260000000003</v>
      </c>
      <c r="F17">
        <v>1.46964E-2</v>
      </c>
      <c r="G17">
        <v>87.907960000000003</v>
      </c>
      <c r="H17">
        <v>-1.069669</v>
      </c>
      <c r="I17">
        <v>-1.2168055000000001E-2</v>
      </c>
      <c r="J17">
        <v>-0.4363863</v>
      </c>
      <c r="K17">
        <v>-3.3312168E-3</v>
      </c>
      <c r="L17">
        <v>120.9361</v>
      </c>
      <c r="M17">
        <v>2.5179585000000001E-2</v>
      </c>
      <c r="N17">
        <v>5.8447602000000001E-3</v>
      </c>
      <c r="O17">
        <v>10.063000000000001</v>
      </c>
      <c r="P17">
        <v>-1.2285658E-2</v>
      </c>
      <c r="Q17">
        <v>-2.8751285E-3</v>
      </c>
      <c r="R17">
        <v>-0.1236305</v>
      </c>
      <c r="S17">
        <v>3.0451199999999998</v>
      </c>
    </row>
    <row r="18" spans="1:19">
      <c r="A18" t="s">
        <v>16</v>
      </c>
      <c r="B18">
        <v>4326</v>
      </c>
      <c r="C18">
        <v>304.57929999999999</v>
      </c>
      <c r="D18">
        <v>77.21499</v>
      </c>
      <c r="E18">
        <v>1.2091240000000001</v>
      </c>
      <c r="F18">
        <v>1.5659190999999999E-2</v>
      </c>
      <c r="G18">
        <v>227.36420000000001</v>
      </c>
      <c r="H18">
        <v>-1.880979</v>
      </c>
      <c r="I18">
        <v>-8.2729802999999998E-3</v>
      </c>
      <c r="J18">
        <v>-0.67185510000000004</v>
      </c>
      <c r="K18">
        <v>-2.2058461000000001E-3</v>
      </c>
      <c r="L18">
        <v>292.47230000000002</v>
      </c>
      <c r="M18">
        <v>2.3307308999999998E-2</v>
      </c>
      <c r="N18">
        <v>5.5285823000000003E-3</v>
      </c>
      <c r="O18">
        <v>12.106999999999999</v>
      </c>
      <c r="P18">
        <v>-9.6707110999999998E-3</v>
      </c>
      <c r="Q18">
        <v>-2.2516020000000001E-3</v>
      </c>
      <c r="R18">
        <v>-0.1170833</v>
      </c>
      <c r="S18">
        <v>6.8167419999999996</v>
      </c>
    </row>
    <row r="19" spans="1:19">
      <c r="A19" t="s">
        <v>17</v>
      </c>
      <c r="B19">
        <v>4366</v>
      </c>
      <c r="C19">
        <v>312.31240000000003</v>
      </c>
      <c r="D19">
        <v>85.008009999999999</v>
      </c>
      <c r="E19">
        <v>1.4123060000000001</v>
      </c>
      <c r="F19">
        <v>1.6613796E-2</v>
      </c>
      <c r="G19">
        <v>227.30420000000001</v>
      </c>
      <c r="H19">
        <v>-1.775201</v>
      </c>
      <c r="I19">
        <v>-7.8098029000000001E-3</v>
      </c>
      <c r="J19">
        <v>-0.36289510000000003</v>
      </c>
      <c r="K19">
        <v>-1.1619619000000001E-3</v>
      </c>
      <c r="L19">
        <v>300.37639999999999</v>
      </c>
      <c r="M19">
        <v>2.2489184999999998E-2</v>
      </c>
      <c r="N19">
        <v>5.3485516000000002E-3</v>
      </c>
      <c r="O19">
        <v>11.936</v>
      </c>
      <c r="P19">
        <v>-1.0138103000000001E-2</v>
      </c>
      <c r="Q19">
        <v>-2.3727140000000002E-3</v>
      </c>
      <c r="R19">
        <v>-0.1210084</v>
      </c>
      <c r="S19">
        <v>6.7552199999999996</v>
      </c>
    </row>
    <row r="20" spans="1:19">
      <c r="A20" t="s">
        <v>18</v>
      </c>
      <c r="B20">
        <v>4368</v>
      </c>
      <c r="C20">
        <v>316.64580000000001</v>
      </c>
      <c r="D20">
        <v>85.963949999999997</v>
      </c>
      <c r="E20">
        <v>1.42418</v>
      </c>
      <c r="F20">
        <v>1.6567174E-2</v>
      </c>
      <c r="G20">
        <v>230.68100000000001</v>
      </c>
      <c r="H20">
        <v>-1.829243</v>
      </c>
      <c r="I20">
        <v>-7.9297507E-3</v>
      </c>
      <c r="J20">
        <v>-0.40506340000000002</v>
      </c>
      <c r="K20">
        <v>-1.2792317000000001E-3</v>
      </c>
      <c r="L20">
        <v>304.72370000000001</v>
      </c>
      <c r="M20">
        <v>2.2798331000000002E-2</v>
      </c>
      <c r="N20">
        <v>5.4317367999999998E-3</v>
      </c>
      <c r="O20">
        <v>11.922000000000001</v>
      </c>
      <c r="P20">
        <v>-9.9250823000000005E-3</v>
      </c>
      <c r="Q20">
        <v>-2.3201342999999998E-3</v>
      </c>
      <c r="R20">
        <v>-0.1183269</v>
      </c>
      <c r="S20">
        <v>6.9471910000000001</v>
      </c>
    </row>
    <row r="21" spans="1:19">
      <c r="A21" t="s">
        <v>19</v>
      </c>
      <c r="B21">
        <v>4368</v>
      </c>
      <c r="C21">
        <v>316.50850000000003</v>
      </c>
      <c r="D21">
        <v>85.043940000000006</v>
      </c>
      <c r="E21">
        <v>1.2865549999999999</v>
      </c>
      <c r="F21">
        <v>1.5128126E-2</v>
      </c>
      <c r="G21">
        <v>231.4641</v>
      </c>
      <c r="H21">
        <v>-1.8067930000000001</v>
      </c>
      <c r="I21">
        <v>-7.8059304999999997E-3</v>
      </c>
      <c r="J21">
        <v>-0.52023739999999996</v>
      </c>
      <c r="K21">
        <v>-1.6436762E-3</v>
      </c>
      <c r="L21">
        <v>303.53570000000002</v>
      </c>
      <c r="M21">
        <v>2.2853417000000001E-2</v>
      </c>
      <c r="N21">
        <v>5.4321279999999996E-3</v>
      </c>
      <c r="O21">
        <v>12.973000000000001</v>
      </c>
      <c r="P21">
        <v>-9.9129992999999993E-3</v>
      </c>
      <c r="Q21">
        <v>-2.3382063999999999E-3</v>
      </c>
      <c r="R21">
        <v>-0.1286014</v>
      </c>
      <c r="S21">
        <v>6.9368280000000002</v>
      </c>
    </row>
    <row r="22" spans="1:19">
      <c r="A22" t="s">
        <v>20</v>
      </c>
      <c r="B22">
        <v>4376</v>
      </c>
      <c r="C22">
        <v>310.22570000000002</v>
      </c>
      <c r="D22">
        <v>85.570009999999996</v>
      </c>
      <c r="E22">
        <v>1.417144</v>
      </c>
      <c r="F22">
        <v>1.6561218999999999E-2</v>
      </c>
      <c r="G22">
        <v>224.65520000000001</v>
      </c>
      <c r="H22">
        <v>-1.775334</v>
      </c>
      <c r="I22">
        <v>-7.9024816000000005E-3</v>
      </c>
      <c r="J22">
        <v>-0.35819010000000001</v>
      </c>
      <c r="K22">
        <v>-1.154611E-3</v>
      </c>
      <c r="L22">
        <v>298.32080000000002</v>
      </c>
      <c r="M22">
        <v>2.2665768999999999E-2</v>
      </c>
      <c r="N22">
        <v>5.3834952000000004E-3</v>
      </c>
      <c r="O22">
        <v>11.904999999999999</v>
      </c>
      <c r="P22">
        <v>-1.0137344E-2</v>
      </c>
      <c r="Q22">
        <v>-2.3663744999999998E-3</v>
      </c>
      <c r="R22">
        <v>-0.1206851</v>
      </c>
      <c r="S22">
        <v>6.7616699999999996</v>
      </c>
    </row>
    <row r="23" spans="1:19">
      <c r="A23" t="s">
        <v>21</v>
      </c>
      <c r="B23">
        <v>4382</v>
      </c>
      <c r="C23">
        <v>318.9504</v>
      </c>
      <c r="D23">
        <v>82.051959999999994</v>
      </c>
      <c r="E23">
        <v>1.241055</v>
      </c>
      <c r="F23">
        <v>1.5125232000000001E-2</v>
      </c>
      <c r="G23">
        <v>236.898</v>
      </c>
      <c r="H23">
        <v>-1.7621150000000001</v>
      </c>
      <c r="I23">
        <v>-7.4382843000000004E-3</v>
      </c>
      <c r="J23">
        <v>-0.52105990000000002</v>
      </c>
      <c r="K23">
        <v>-1.6336706E-3</v>
      </c>
      <c r="L23">
        <v>305.15260000000001</v>
      </c>
      <c r="M23">
        <v>2.2578933999999998E-2</v>
      </c>
      <c r="N23">
        <v>5.3786258E-3</v>
      </c>
      <c r="O23">
        <v>13.798</v>
      </c>
      <c r="P23">
        <v>-9.7976456999999996E-3</v>
      </c>
      <c r="Q23">
        <v>-2.2913200999999999E-3</v>
      </c>
      <c r="R23">
        <v>-0.1351879</v>
      </c>
      <c r="S23">
        <v>6.8900189999999997</v>
      </c>
    </row>
    <row r="24" spans="1:19">
      <c r="A24" t="s">
        <v>34</v>
      </c>
      <c r="B24">
        <v>4382</v>
      </c>
      <c r="C24">
        <v>311.02449999999999</v>
      </c>
      <c r="D24">
        <v>87.054029999999997</v>
      </c>
      <c r="E24">
        <v>1.3879509999999999</v>
      </c>
      <c r="F24">
        <v>1.5943552999999999E-2</v>
      </c>
      <c r="G24">
        <v>223.9701</v>
      </c>
      <c r="H24">
        <v>-1.78799</v>
      </c>
      <c r="I24">
        <v>-7.9831620999999998E-3</v>
      </c>
      <c r="J24">
        <v>-0.40003939999999999</v>
      </c>
      <c r="K24">
        <v>-1.286199E-3</v>
      </c>
      <c r="L24">
        <v>298.89139999999998</v>
      </c>
      <c r="M24">
        <v>2.2438465000000001E-2</v>
      </c>
      <c r="N24">
        <v>5.3653307000000004E-3</v>
      </c>
      <c r="O24">
        <v>12.132999999999999</v>
      </c>
      <c r="P24">
        <v>-1.0065523999999999E-2</v>
      </c>
      <c r="Q24">
        <v>-2.3485580000000002E-3</v>
      </c>
      <c r="R24">
        <v>-0.122125</v>
      </c>
      <c r="S24">
        <v>6.7066629999999998</v>
      </c>
    </row>
    <row r="25" spans="1:19">
      <c r="A25" t="s">
        <v>22</v>
      </c>
      <c r="B25">
        <v>4384</v>
      </c>
      <c r="C25">
        <v>168.33709999999999</v>
      </c>
      <c r="D25">
        <v>58.037990000000001</v>
      </c>
      <c r="E25">
        <v>1.179613</v>
      </c>
      <c r="F25">
        <v>2.0324832000000001E-2</v>
      </c>
      <c r="G25">
        <v>110.2992</v>
      </c>
      <c r="H25">
        <v>-1.1971909999999999</v>
      </c>
      <c r="I25">
        <v>-1.0854037E-2</v>
      </c>
      <c r="J25">
        <v>-1.7578839999999998E-2</v>
      </c>
      <c r="K25">
        <v>-1.0442640999999999E-4</v>
      </c>
      <c r="L25">
        <v>162.0702</v>
      </c>
      <c r="M25">
        <v>2.4711881000000002E-2</v>
      </c>
      <c r="N25">
        <v>5.7379077000000002E-3</v>
      </c>
      <c r="O25">
        <v>6.2669990000000002</v>
      </c>
      <c r="P25">
        <v>-9.0222266000000006E-3</v>
      </c>
      <c r="Q25">
        <v>-2.0941588999999999E-3</v>
      </c>
      <c r="R25">
        <v>-5.6542289000000003E-2</v>
      </c>
      <c r="S25">
        <v>4.0050600000000003</v>
      </c>
    </row>
    <row r="26" spans="1:19">
      <c r="A26" t="s">
        <v>23</v>
      </c>
      <c r="B26">
        <v>4386</v>
      </c>
      <c r="C26">
        <v>314.32569999999998</v>
      </c>
      <c r="D26">
        <v>78.881990000000002</v>
      </c>
      <c r="E26">
        <v>1.156714</v>
      </c>
      <c r="F26">
        <v>1.4663860000000001E-2</v>
      </c>
      <c r="G26">
        <v>235.44290000000001</v>
      </c>
      <c r="H26">
        <v>-1.8296669999999999</v>
      </c>
      <c r="I26">
        <v>-7.7711687999999996E-3</v>
      </c>
      <c r="J26">
        <v>-0.67295229999999995</v>
      </c>
      <c r="K26">
        <v>-2.1409396999999999E-3</v>
      </c>
      <c r="L26">
        <v>300.75839999999999</v>
      </c>
      <c r="M26">
        <v>2.2620494000000001E-2</v>
      </c>
      <c r="N26">
        <v>5.3908908999999996E-3</v>
      </c>
      <c r="O26">
        <v>13.567</v>
      </c>
      <c r="P26">
        <v>-9.7772394999999998E-3</v>
      </c>
      <c r="Q26">
        <v>-2.2870309000000001E-3</v>
      </c>
      <c r="R26">
        <v>-0.13264780000000001</v>
      </c>
      <c r="S26">
        <v>6.8033039999999998</v>
      </c>
    </row>
    <row r="27" spans="1:19">
      <c r="A27" t="s">
        <v>24</v>
      </c>
      <c r="B27">
        <v>4386</v>
      </c>
      <c r="C27">
        <v>317.39760000000001</v>
      </c>
      <c r="D27">
        <v>85.965959999999995</v>
      </c>
      <c r="E27">
        <v>1.3651120000000001</v>
      </c>
      <c r="F27">
        <v>1.5879675999999999E-2</v>
      </c>
      <c r="G27">
        <v>231.43109999999999</v>
      </c>
      <c r="H27">
        <v>-1.739422</v>
      </c>
      <c r="I27">
        <v>-7.5159379999999998E-3</v>
      </c>
      <c r="J27">
        <v>-0.37430999999999998</v>
      </c>
      <c r="K27">
        <v>-1.1793096999999999E-3</v>
      </c>
      <c r="L27">
        <v>304.3227</v>
      </c>
      <c r="M27">
        <v>2.2527801E-2</v>
      </c>
      <c r="N27">
        <v>5.3602195999999996E-3</v>
      </c>
      <c r="O27">
        <v>13.074999999999999</v>
      </c>
      <c r="P27">
        <v>-9.7258733999999996E-3</v>
      </c>
      <c r="Q27">
        <v>-2.2708174999999998E-3</v>
      </c>
      <c r="R27">
        <v>-0.1271658</v>
      </c>
      <c r="S27">
        <v>6.855721</v>
      </c>
    </row>
    <row r="28" spans="1:19">
      <c r="A28" t="s">
        <v>25</v>
      </c>
      <c r="B28">
        <v>4396</v>
      </c>
      <c r="C28">
        <v>359.17239999999998</v>
      </c>
      <c r="D28">
        <v>85.616010000000003</v>
      </c>
      <c r="E28">
        <v>1.2263379999999999</v>
      </c>
      <c r="F28">
        <v>1.4323696E-2</v>
      </c>
      <c r="G28">
        <v>273.55579999999998</v>
      </c>
      <c r="H28">
        <v>-2.0291060000000001</v>
      </c>
      <c r="I28">
        <v>-7.4175196000000002E-3</v>
      </c>
      <c r="J28">
        <v>-0.80276820000000004</v>
      </c>
      <c r="K28">
        <v>-2.2350498000000001E-3</v>
      </c>
      <c r="L28">
        <v>347.52339999999998</v>
      </c>
      <c r="M28">
        <v>2.2103092000000001E-2</v>
      </c>
      <c r="N28">
        <v>5.3121308000000002E-3</v>
      </c>
      <c r="O28">
        <v>11.648999999999999</v>
      </c>
      <c r="P28">
        <v>-1.4662352E-2</v>
      </c>
      <c r="Q28">
        <v>-3.4160356000000002E-3</v>
      </c>
      <c r="R28">
        <v>-0.1708018</v>
      </c>
      <c r="S28">
        <v>7.6813409999999998</v>
      </c>
    </row>
    <row r="29" spans="1:19">
      <c r="A29" t="s">
        <v>26</v>
      </c>
      <c r="B29">
        <v>4496</v>
      </c>
      <c r="C29">
        <v>243.91820000000001</v>
      </c>
      <c r="D29">
        <v>35.82199</v>
      </c>
      <c r="E29">
        <v>0.43324829999999998</v>
      </c>
      <c r="F29">
        <v>1.2094476E-2</v>
      </c>
      <c r="G29">
        <v>208.09620000000001</v>
      </c>
      <c r="H29">
        <v>-2.029989</v>
      </c>
      <c r="I29">
        <v>-9.7550507999999998E-3</v>
      </c>
      <c r="J29">
        <v>-1.59674</v>
      </c>
      <c r="K29">
        <v>-6.5462124000000002E-3</v>
      </c>
      <c r="L29">
        <v>235.63820000000001</v>
      </c>
      <c r="M29">
        <v>2.9081224999999999E-2</v>
      </c>
      <c r="N29">
        <v>6.8732686000000003E-3</v>
      </c>
      <c r="O29">
        <v>8.2800010000000004</v>
      </c>
      <c r="P29">
        <v>-8.1716672999999993E-3</v>
      </c>
      <c r="Q29">
        <v>-1.9331832000000001E-3</v>
      </c>
      <c r="R29">
        <v>-6.7661412000000004E-2</v>
      </c>
      <c r="S29">
        <v>6.8526490000000004</v>
      </c>
    </row>
    <row r="30" spans="1:19">
      <c r="A30" t="s">
        <v>27</v>
      </c>
      <c r="B30">
        <v>4616</v>
      </c>
      <c r="C30">
        <v>234.24440000000001</v>
      </c>
      <c r="D30">
        <v>55.356029999999997</v>
      </c>
      <c r="E30">
        <v>1.0879430000000001</v>
      </c>
      <c r="F30">
        <v>1.9653566000000001E-2</v>
      </c>
      <c r="G30">
        <v>178.88839999999999</v>
      </c>
      <c r="H30">
        <v>-2.0203440000000001</v>
      </c>
      <c r="I30">
        <v>-1.1293877000000001E-2</v>
      </c>
      <c r="J30">
        <v>-0.93240009999999995</v>
      </c>
      <c r="K30">
        <v>-3.9804578E-3</v>
      </c>
      <c r="L30">
        <v>199.69759999999999</v>
      </c>
      <c r="M30">
        <v>2.7871026E-2</v>
      </c>
      <c r="N30">
        <v>6.5711666999999996E-3</v>
      </c>
      <c r="O30">
        <v>34.546999999999997</v>
      </c>
      <c r="P30">
        <v>-1.2456276000000001E-2</v>
      </c>
      <c r="Q30">
        <v>-2.9273946E-3</v>
      </c>
      <c r="R30">
        <v>-0.43032700000000002</v>
      </c>
      <c r="S30">
        <v>5.5657779999999999</v>
      </c>
    </row>
    <row r="31" spans="1:19">
      <c r="A31" t="s">
        <v>28</v>
      </c>
      <c r="B31">
        <v>4599</v>
      </c>
      <c r="C31">
        <v>134.2612</v>
      </c>
      <c r="D31">
        <v>41.590989999999998</v>
      </c>
      <c r="E31">
        <v>0.92837720000000001</v>
      </c>
      <c r="F31">
        <v>2.2321593000000001E-2</v>
      </c>
      <c r="G31">
        <v>92.669970000000006</v>
      </c>
      <c r="H31">
        <v>-1.767509</v>
      </c>
      <c r="I31">
        <v>-1.9073159999999999E-2</v>
      </c>
      <c r="J31">
        <v>-0.83913199999999999</v>
      </c>
      <c r="K31">
        <v>-6.2499972999999999E-3</v>
      </c>
      <c r="L31">
        <v>132.6422</v>
      </c>
      <c r="M31">
        <v>3.2082982000000003E-2</v>
      </c>
      <c r="N31">
        <v>7.4658896999999997E-3</v>
      </c>
      <c r="O31">
        <v>1.619</v>
      </c>
      <c r="P31">
        <v>-7.6389116999999998E-3</v>
      </c>
      <c r="Q31">
        <v>-1.7667711999999999E-3</v>
      </c>
      <c r="R31">
        <v>-1.2367398E-2</v>
      </c>
      <c r="S31">
        <v>4.2555569999999996</v>
      </c>
    </row>
    <row r="32" spans="1:19">
      <c r="A32" t="s">
        <v>29</v>
      </c>
      <c r="B32">
        <v>4600</v>
      </c>
      <c r="C32">
        <v>130.9853</v>
      </c>
      <c r="D32">
        <v>38.464970000000001</v>
      </c>
      <c r="E32">
        <v>0.90863419999999995</v>
      </c>
      <c r="F32">
        <v>2.3622381000000001E-2</v>
      </c>
      <c r="G32">
        <v>92.520020000000002</v>
      </c>
      <c r="H32">
        <v>-1.7294430000000001</v>
      </c>
      <c r="I32">
        <v>-1.8692637000000002E-2</v>
      </c>
      <c r="J32">
        <v>-0.82080889999999995</v>
      </c>
      <c r="K32">
        <v>-6.2664221000000003E-3</v>
      </c>
      <c r="L32">
        <v>128.66130000000001</v>
      </c>
      <c r="M32">
        <v>3.2899715000000003E-2</v>
      </c>
      <c r="N32">
        <v>7.6406490999999998E-3</v>
      </c>
      <c r="O32">
        <v>2.3239999999999998</v>
      </c>
      <c r="P32">
        <v>-1.1119551E-2</v>
      </c>
      <c r="Q32">
        <v>-2.5841838000000002E-3</v>
      </c>
      <c r="R32">
        <v>-2.5841837999999999E-2</v>
      </c>
      <c r="S32">
        <v>4.23292</v>
      </c>
    </row>
    <row r="33" spans="1:19">
      <c r="A33" t="s">
        <v>30</v>
      </c>
      <c r="B33">
        <v>4599</v>
      </c>
      <c r="C33">
        <v>132.2022</v>
      </c>
      <c r="D33">
        <v>37.465969999999999</v>
      </c>
      <c r="E33">
        <v>0.89761089999999999</v>
      </c>
      <c r="F33">
        <v>2.3958034999999999E-2</v>
      </c>
      <c r="G33">
        <v>94.736000000000004</v>
      </c>
      <c r="H33">
        <v>-1.7653730000000001</v>
      </c>
      <c r="I33">
        <v>-1.8634655999999999E-2</v>
      </c>
      <c r="J33">
        <v>-0.86776200000000003</v>
      </c>
      <c r="K33">
        <v>-6.5638976999999998E-3</v>
      </c>
      <c r="L33">
        <v>130.5693</v>
      </c>
      <c r="M33">
        <v>3.3262547000000003E-2</v>
      </c>
      <c r="N33">
        <v>7.7278757999999998E-3</v>
      </c>
      <c r="O33">
        <v>1.633</v>
      </c>
      <c r="P33">
        <v>-1.0150078999999999E-2</v>
      </c>
      <c r="Q33">
        <v>-2.3678686000000002E-3</v>
      </c>
      <c r="R33">
        <v>-1.6575079E-2</v>
      </c>
      <c r="S33">
        <v>4.3430660000000003</v>
      </c>
    </row>
    <row r="34" spans="1:19">
      <c r="A34" t="s">
        <v>31</v>
      </c>
      <c r="B34">
        <v>10032</v>
      </c>
      <c r="C34">
        <v>549.80150000000003</v>
      </c>
      <c r="D34">
        <v>197.68899999999999</v>
      </c>
      <c r="E34">
        <v>1.8188310000000001</v>
      </c>
      <c r="F34">
        <v>9.2004640000000002E-3</v>
      </c>
      <c r="G34">
        <v>352.11079999999998</v>
      </c>
      <c r="H34">
        <v>-3.5836459999999999</v>
      </c>
      <c r="I34">
        <v>-1.0177607999999999E-2</v>
      </c>
      <c r="J34">
        <v>-1.764815</v>
      </c>
      <c r="K34">
        <v>-3.2099131E-3</v>
      </c>
      <c r="L34">
        <v>477.2192</v>
      </c>
      <c r="M34">
        <v>2.0982028999999999E-2</v>
      </c>
      <c r="N34">
        <v>5.0367336E-3</v>
      </c>
      <c r="O34">
        <v>72.58202</v>
      </c>
      <c r="P34">
        <v>-7.7281683000000002E-3</v>
      </c>
      <c r="Q34">
        <v>-1.8271205E-3</v>
      </c>
      <c r="R34">
        <v>-0.56092600000000004</v>
      </c>
      <c r="S34">
        <v>10.013030000000001</v>
      </c>
    </row>
    <row r="35" spans="1:19">
      <c r="A35" t="s">
        <v>32</v>
      </c>
      <c r="B35">
        <v>10214</v>
      </c>
      <c r="C35">
        <v>608.84939999999995</v>
      </c>
      <c r="D35">
        <v>187.5539</v>
      </c>
      <c r="E35">
        <v>2.2096309999999999</v>
      </c>
      <c r="F35">
        <v>1.1781313999999999E-2</v>
      </c>
      <c r="G35">
        <v>421.29250000000002</v>
      </c>
      <c r="H35">
        <v>-4.408849</v>
      </c>
      <c r="I35">
        <v>-1.0465054E-2</v>
      </c>
      <c r="J35">
        <v>-2.1992180000000001</v>
      </c>
      <c r="K35">
        <v>-3.6120890000000002E-3</v>
      </c>
      <c r="L35">
        <v>536.34249999999997</v>
      </c>
      <c r="M35">
        <v>2.2126466000000001E-2</v>
      </c>
      <c r="N35">
        <v>5.3360452999999999E-3</v>
      </c>
      <c r="O35">
        <v>72.505020000000002</v>
      </c>
      <c r="P35">
        <v>-9.9701359999999992E-3</v>
      </c>
      <c r="Q35">
        <v>-2.3470288E-3</v>
      </c>
      <c r="R35">
        <v>-0.72288490000000005</v>
      </c>
      <c r="S35">
        <v>11.86736</v>
      </c>
    </row>
    <row r="36" spans="1:19">
      <c r="A36" t="s">
        <v>33</v>
      </c>
      <c r="B36">
        <v>10355</v>
      </c>
      <c r="C36">
        <v>714.42650000000003</v>
      </c>
      <c r="D36">
        <v>305.96899999999999</v>
      </c>
      <c r="E36">
        <v>3.0305309999999999</v>
      </c>
      <c r="F36">
        <v>9.9047002999999995E-3</v>
      </c>
      <c r="G36">
        <v>408.45549999999997</v>
      </c>
      <c r="H36">
        <v>-3.852239</v>
      </c>
      <c r="I36">
        <v>-9.4312345999999995E-3</v>
      </c>
      <c r="J36">
        <v>-0.8217082</v>
      </c>
      <c r="K36">
        <v>-1.1501649000000001E-3</v>
      </c>
      <c r="L36">
        <v>602.09010000000001</v>
      </c>
      <c r="M36">
        <v>1.9395405000000001E-2</v>
      </c>
      <c r="N36">
        <v>4.7567342000000004E-3</v>
      </c>
      <c r="O36">
        <v>112.3368</v>
      </c>
      <c r="P36">
        <v>-1.2872031000000001E-2</v>
      </c>
      <c r="Q36">
        <v>-3.0251108E-3</v>
      </c>
      <c r="R36">
        <v>-1.4460029999999999</v>
      </c>
      <c r="S36">
        <v>11.67778</v>
      </c>
    </row>
  </sheetData>
  <phoneticPr fontId="0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94"/>
  <dimension ref="A1:S36"/>
  <sheetViews>
    <sheetView workbookViewId="0">
      <selection sqref="A1:IV65536"/>
    </sheetView>
  </sheetViews>
  <sheetFormatPr defaultRowHeight="15"/>
  <cols>
    <col min="1" max="1" width="6.85546875" bestFit="1" customWidth="1"/>
    <col min="2" max="2" width="6" bestFit="1" customWidth="1"/>
    <col min="3" max="3" width="9" bestFit="1" customWidth="1"/>
    <col min="4" max="4" width="20.140625" bestFit="1" customWidth="1"/>
    <col min="5" max="5" width="13.28515625" bestFit="1" customWidth="1"/>
    <col min="6" max="6" width="15.85546875" bestFit="1" customWidth="1"/>
    <col min="7" max="7" width="21" bestFit="1" customWidth="1"/>
    <col min="8" max="8" width="12.85546875" bestFit="1" customWidth="1"/>
    <col min="9" max="9" width="15.5703125" bestFit="1" customWidth="1"/>
    <col min="10" max="10" width="19.7109375" bestFit="1" customWidth="1"/>
    <col min="11" max="11" width="21.85546875" bestFit="1" customWidth="1"/>
    <col min="12" max="12" width="15.5703125" bestFit="1" customWidth="1"/>
    <col min="13" max="13" width="19.140625" bestFit="1" customWidth="1"/>
    <col min="14" max="14" width="19" bestFit="1" customWidth="1"/>
    <col min="15" max="15" width="16.7109375" bestFit="1" customWidth="1"/>
    <col min="16" max="16" width="20.28515625" bestFit="1" customWidth="1"/>
    <col min="17" max="17" width="20.140625" bestFit="1" customWidth="1"/>
    <col min="18" max="18" width="19.5703125" bestFit="1" customWidth="1"/>
    <col min="19" max="19" width="18.42578125" bestFit="1" customWidth="1"/>
  </cols>
  <sheetData>
    <row r="1" spans="1:19">
      <c r="A1" t="s">
        <v>69</v>
      </c>
      <c r="B1" t="s">
        <v>67</v>
      </c>
      <c r="C1" t="s">
        <v>68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>
      <c r="A2" t="s">
        <v>0</v>
      </c>
      <c r="B2">
        <v>983</v>
      </c>
      <c r="C2">
        <v>110.26690000000001</v>
      </c>
      <c r="D2">
        <v>40.067979999999999</v>
      </c>
      <c r="E2">
        <v>0.47298869999999998</v>
      </c>
      <c r="F2">
        <v>1.1804655000000001E-2</v>
      </c>
      <c r="G2">
        <v>70.199060000000003</v>
      </c>
      <c r="H2">
        <v>-0.7932321</v>
      </c>
      <c r="I2">
        <v>-1.1299754E-2</v>
      </c>
      <c r="J2">
        <v>-0.32024350000000001</v>
      </c>
      <c r="K2">
        <v>-2.9042579999999998E-3</v>
      </c>
      <c r="L2">
        <v>96.677980000000005</v>
      </c>
      <c r="M2">
        <v>2.7934865999999999E-2</v>
      </c>
      <c r="N2">
        <v>6.8199154999999999E-3</v>
      </c>
      <c r="O2">
        <v>13.589</v>
      </c>
      <c r="P2">
        <v>-1.4688903E-2</v>
      </c>
      <c r="Q2">
        <v>-3.4415091000000002E-3</v>
      </c>
      <c r="R2">
        <v>-0.19960749999999999</v>
      </c>
      <c r="S2">
        <v>2.7006860000000001</v>
      </c>
    </row>
    <row r="3" spans="1:19">
      <c r="A3" t="s">
        <v>1</v>
      </c>
      <c r="B3">
        <v>1248</v>
      </c>
      <c r="C3">
        <v>117.0959</v>
      </c>
      <c r="D3">
        <v>28.960989999999999</v>
      </c>
      <c r="E3">
        <v>0.48011690000000001</v>
      </c>
      <c r="F3">
        <v>1.6578053999999998E-2</v>
      </c>
      <c r="G3">
        <v>88.134990000000002</v>
      </c>
      <c r="H3">
        <v>-0.97105710000000001</v>
      </c>
      <c r="I3">
        <v>-1.1017838E-2</v>
      </c>
      <c r="J3">
        <v>-0.49094019999999999</v>
      </c>
      <c r="K3">
        <v>-4.1926345000000004E-3</v>
      </c>
      <c r="L3">
        <v>88.993989999999997</v>
      </c>
      <c r="M3">
        <v>2.7899837E-2</v>
      </c>
      <c r="N3">
        <v>6.5859886999999999E-3</v>
      </c>
      <c r="O3">
        <v>28.10201</v>
      </c>
      <c r="P3">
        <v>-1.1436385E-2</v>
      </c>
      <c r="Q3">
        <v>-2.7007174000000002E-3</v>
      </c>
      <c r="R3">
        <v>-0.32138539999999999</v>
      </c>
      <c r="S3">
        <v>2.4829180000000002</v>
      </c>
    </row>
    <row r="4" spans="1:19">
      <c r="A4" t="s">
        <v>2</v>
      </c>
      <c r="B4">
        <v>2468</v>
      </c>
      <c r="C4">
        <v>220.73179999999999</v>
      </c>
      <c r="D4">
        <v>68.760999999999996</v>
      </c>
      <c r="E4">
        <v>1.234696</v>
      </c>
      <c r="F4">
        <v>1.7956341000000001E-2</v>
      </c>
      <c r="G4">
        <v>151.9709</v>
      </c>
      <c r="H4">
        <v>-2.0606719999999998</v>
      </c>
      <c r="I4">
        <v>-1.3559652E-2</v>
      </c>
      <c r="J4">
        <v>-0.82597609999999999</v>
      </c>
      <c r="K4">
        <v>-3.7419896E-3</v>
      </c>
      <c r="L4">
        <v>208.64179999999999</v>
      </c>
      <c r="M4">
        <v>2.8489159E-2</v>
      </c>
      <c r="N4">
        <v>6.7164180999999996E-3</v>
      </c>
      <c r="O4">
        <v>12.09</v>
      </c>
      <c r="P4">
        <v>-1.514077E-2</v>
      </c>
      <c r="Q4">
        <v>-3.5892527E-3</v>
      </c>
      <c r="R4">
        <v>-0.18305189999999999</v>
      </c>
      <c r="S4">
        <v>5.9440299999999997</v>
      </c>
    </row>
    <row r="5" spans="1:19">
      <c r="A5" t="s">
        <v>3</v>
      </c>
      <c r="B5">
        <v>993</v>
      </c>
      <c r="C5">
        <v>58.034970000000001</v>
      </c>
      <c r="D5">
        <v>29.703009999999999</v>
      </c>
      <c r="E5">
        <v>0.20712449999999999</v>
      </c>
      <c r="F5">
        <v>6.9731795000000001E-3</v>
      </c>
      <c r="G5">
        <v>28.33201</v>
      </c>
      <c r="H5">
        <v>-0.34640080000000001</v>
      </c>
      <c r="I5">
        <v>-1.222648E-2</v>
      </c>
      <c r="J5">
        <v>-0.13927629999999999</v>
      </c>
      <c r="K5">
        <v>-2.3998686000000001E-3</v>
      </c>
      <c r="L5">
        <v>55.25797</v>
      </c>
      <c r="M5">
        <v>1.8290661E-2</v>
      </c>
      <c r="N5">
        <v>4.2466585999999997E-3</v>
      </c>
      <c r="O5">
        <v>2.7770000000000001</v>
      </c>
      <c r="P5">
        <v>-1.0364393E-2</v>
      </c>
      <c r="Q5">
        <v>-2.3984931999999999E-3</v>
      </c>
      <c r="R5">
        <v>-2.8781919E-2</v>
      </c>
      <c r="S5">
        <v>1.010705</v>
      </c>
    </row>
    <row r="6" spans="1:19">
      <c r="A6" t="s">
        <v>4</v>
      </c>
      <c r="B6">
        <v>994</v>
      </c>
      <c r="C6">
        <v>55.369990000000001</v>
      </c>
      <c r="D6">
        <v>21.52901</v>
      </c>
      <c r="E6">
        <v>0.21347659999999999</v>
      </c>
      <c r="F6">
        <v>9.9157663E-3</v>
      </c>
      <c r="G6">
        <v>33.841000000000001</v>
      </c>
      <c r="H6">
        <v>-0.35970679999999999</v>
      </c>
      <c r="I6">
        <v>-1.0629321000000001E-2</v>
      </c>
      <c r="J6">
        <v>-0.1462302</v>
      </c>
      <c r="K6">
        <v>-2.6409642000000001E-3</v>
      </c>
      <c r="L6">
        <v>52.822980000000001</v>
      </c>
      <c r="M6">
        <v>2.0408415999999999E-2</v>
      </c>
      <c r="N6">
        <v>4.7282162000000004E-3</v>
      </c>
      <c r="O6">
        <v>2.5470000000000002</v>
      </c>
      <c r="P6">
        <v>-1.0766975E-2</v>
      </c>
      <c r="Q6">
        <v>-2.4930440999999998E-3</v>
      </c>
      <c r="R6">
        <v>-2.7423484000000001E-2</v>
      </c>
      <c r="S6">
        <v>1.078033</v>
      </c>
    </row>
    <row r="7" spans="1:19">
      <c r="A7" t="s">
        <v>5</v>
      </c>
      <c r="B7">
        <v>1001</v>
      </c>
      <c r="C7">
        <v>60.130940000000002</v>
      </c>
      <c r="D7">
        <v>33.22101</v>
      </c>
      <c r="E7">
        <v>0.18147089999999999</v>
      </c>
      <c r="F7">
        <v>5.4625346999999996E-3</v>
      </c>
      <c r="G7">
        <v>26.91</v>
      </c>
      <c r="H7">
        <v>-0.32712960000000002</v>
      </c>
      <c r="I7">
        <v>-1.2156432E-2</v>
      </c>
      <c r="J7">
        <v>-0.1456587</v>
      </c>
      <c r="K7">
        <v>-2.4223586000000001E-3</v>
      </c>
      <c r="L7">
        <v>57.824939999999998</v>
      </c>
      <c r="M7">
        <v>1.8130509E-2</v>
      </c>
      <c r="N7">
        <v>4.2104241000000004E-3</v>
      </c>
      <c r="O7">
        <v>2.306</v>
      </c>
      <c r="P7">
        <v>-1.1840514999999999E-2</v>
      </c>
      <c r="Q7">
        <v>-2.7304223999999998E-3</v>
      </c>
      <c r="R7">
        <v>-2.7304225000000001E-2</v>
      </c>
      <c r="S7">
        <v>1.0483960000000001</v>
      </c>
    </row>
    <row r="8" spans="1:19">
      <c r="A8" t="s">
        <v>6</v>
      </c>
      <c r="B8">
        <v>1001</v>
      </c>
      <c r="C8">
        <v>59.889960000000002</v>
      </c>
      <c r="D8">
        <v>29.469010000000001</v>
      </c>
      <c r="E8">
        <v>0.2175974</v>
      </c>
      <c r="F8">
        <v>7.3839403E-3</v>
      </c>
      <c r="G8">
        <v>30.420999999999999</v>
      </c>
      <c r="H8">
        <v>-0.33464389999999999</v>
      </c>
      <c r="I8">
        <v>-1.1000424999999999E-2</v>
      </c>
      <c r="J8">
        <v>-0.11704639999999999</v>
      </c>
      <c r="K8">
        <v>-1.9543582999999999E-3</v>
      </c>
      <c r="L8">
        <v>56.872970000000002</v>
      </c>
      <c r="M8">
        <v>1.7954360999999999E-2</v>
      </c>
      <c r="N8">
        <v>4.1678278000000001E-3</v>
      </c>
      <c r="O8">
        <v>3.0169999999999999</v>
      </c>
      <c r="P8">
        <v>-1.243384E-2</v>
      </c>
      <c r="Q8">
        <v>-2.8856071000000001E-3</v>
      </c>
      <c r="R8">
        <v>-3.7512891E-2</v>
      </c>
      <c r="S8">
        <v>1.021118</v>
      </c>
    </row>
    <row r="9" spans="1:19">
      <c r="A9" t="s">
        <v>7</v>
      </c>
      <c r="B9">
        <v>1305</v>
      </c>
      <c r="C9">
        <v>65.151960000000003</v>
      </c>
      <c r="D9">
        <v>27.390999999999998</v>
      </c>
      <c r="E9">
        <v>0.30811820000000001</v>
      </c>
      <c r="F9">
        <v>1.1248882E-2</v>
      </c>
      <c r="G9">
        <v>37.76099</v>
      </c>
      <c r="H9">
        <v>-0.4278826</v>
      </c>
      <c r="I9">
        <v>-1.1331338E-2</v>
      </c>
      <c r="J9">
        <v>-0.11976439999999999</v>
      </c>
      <c r="K9">
        <v>-1.8382315E-3</v>
      </c>
      <c r="L9">
        <v>62.100960000000001</v>
      </c>
      <c r="M9">
        <v>2.3216232999999999E-2</v>
      </c>
      <c r="N9">
        <v>5.3796651999999997E-3</v>
      </c>
      <c r="O9">
        <v>3.0510000000000002</v>
      </c>
      <c r="P9">
        <v>-1.1014384E-2</v>
      </c>
      <c r="Q9">
        <v>-2.5849915000000002E-3</v>
      </c>
      <c r="R9">
        <v>-3.3604889999999998E-2</v>
      </c>
      <c r="S9">
        <v>1.4417500000000001</v>
      </c>
    </row>
    <row r="10" spans="1:19">
      <c r="A10" t="s">
        <v>8</v>
      </c>
      <c r="B10">
        <v>1309</v>
      </c>
      <c r="C10">
        <v>66.834919999999997</v>
      </c>
      <c r="D10">
        <v>29.787009999999999</v>
      </c>
      <c r="E10">
        <v>0.41510350000000001</v>
      </c>
      <c r="F10">
        <v>1.3935725E-2</v>
      </c>
      <c r="G10">
        <v>37.047989999999999</v>
      </c>
      <c r="H10">
        <v>-0.47737659999999998</v>
      </c>
      <c r="I10">
        <v>-1.2885354999999999E-2</v>
      </c>
      <c r="J10">
        <v>-6.2273026000000002E-2</v>
      </c>
      <c r="K10">
        <v>-9.3174394E-4</v>
      </c>
      <c r="L10">
        <v>65.455960000000005</v>
      </c>
      <c r="M10">
        <v>2.2877228999999999E-2</v>
      </c>
      <c r="N10">
        <v>5.3101097999999998E-3</v>
      </c>
      <c r="O10">
        <v>1.379</v>
      </c>
      <c r="P10">
        <v>-1.2071920999999999E-2</v>
      </c>
      <c r="Q10">
        <v>-2.7745300999999999E-3</v>
      </c>
      <c r="R10">
        <v>-1.6647181E-2</v>
      </c>
      <c r="S10">
        <v>1.4974510000000001</v>
      </c>
    </row>
    <row r="11" spans="1:19">
      <c r="A11" t="s">
        <v>9</v>
      </c>
      <c r="B11">
        <v>951</v>
      </c>
      <c r="C11">
        <v>58.04298</v>
      </c>
      <c r="D11">
        <v>13.656000000000001</v>
      </c>
      <c r="E11">
        <v>0.1247211</v>
      </c>
      <c r="F11">
        <v>9.1330642000000007E-3</v>
      </c>
      <c r="G11">
        <v>44.386989999999997</v>
      </c>
      <c r="H11">
        <v>-0.50987780000000005</v>
      </c>
      <c r="I11">
        <v>-1.1487101E-2</v>
      </c>
      <c r="J11">
        <v>-0.38515670000000002</v>
      </c>
      <c r="K11">
        <v>-6.6357148000000003E-3</v>
      </c>
      <c r="L11">
        <v>54.11298</v>
      </c>
      <c r="M11">
        <v>1.8917034999999999E-2</v>
      </c>
      <c r="N11">
        <v>4.3933786999999997E-3</v>
      </c>
      <c r="O11">
        <v>3.93</v>
      </c>
      <c r="P11">
        <v>-7.5383749999999999E-3</v>
      </c>
      <c r="Q11">
        <v>-1.7426951000000001E-3</v>
      </c>
      <c r="R11">
        <v>-2.9625815999999999E-2</v>
      </c>
      <c r="S11">
        <v>1.023657</v>
      </c>
    </row>
    <row r="12" spans="1:19">
      <c r="A12" t="s">
        <v>10</v>
      </c>
      <c r="B12">
        <v>956</v>
      </c>
      <c r="C12">
        <v>58.066989999999997</v>
      </c>
      <c r="D12">
        <v>15.081</v>
      </c>
      <c r="E12">
        <v>0.16353110000000001</v>
      </c>
      <c r="F12">
        <v>1.0843518E-2</v>
      </c>
      <c r="G12">
        <v>42.985990000000001</v>
      </c>
      <c r="H12">
        <v>-0.51916929999999994</v>
      </c>
      <c r="I12">
        <v>-1.2077640000000001E-2</v>
      </c>
      <c r="J12">
        <v>-0.35563810000000001</v>
      </c>
      <c r="K12">
        <v>-6.1246184999999998E-3</v>
      </c>
      <c r="L12">
        <v>53.19</v>
      </c>
      <c r="M12">
        <v>1.8710159000000001E-2</v>
      </c>
      <c r="N12">
        <v>4.3458220999999997E-3</v>
      </c>
      <c r="O12">
        <v>4.8769999999999998</v>
      </c>
      <c r="P12">
        <v>-7.0679039000000003E-3</v>
      </c>
      <c r="Q12">
        <v>-1.6414365E-3</v>
      </c>
      <c r="R12">
        <v>-3.4470167000000003E-2</v>
      </c>
      <c r="S12">
        <v>0.99519329999999995</v>
      </c>
    </row>
    <row r="13" spans="1:19">
      <c r="A13" t="s">
        <v>11</v>
      </c>
      <c r="B13">
        <v>957</v>
      </c>
      <c r="C13">
        <v>59.882989999999999</v>
      </c>
      <c r="D13">
        <v>19.701000000000001</v>
      </c>
      <c r="E13">
        <v>0.2722444</v>
      </c>
      <c r="F13">
        <v>1.3818811E-2</v>
      </c>
      <c r="G13">
        <v>40.181980000000003</v>
      </c>
      <c r="H13">
        <v>-0.51094119999999998</v>
      </c>
      <c r="I13">
        <v>-1.2715679000000001E-2</v>
      </c>
      <c r="J13">
        <v>-0.23869679999999999</v>
      </c>
      <c r="K13">
        <v>-3.9860531999999999E-3</v>
      </c>
      <c r="L13">
        <v>56.879989999999999</v>
      </c>
      <c r="M13">
        <v>2.0040988999999999E-2</v>
      </c>
      <c r="N13">
        <v>4.6527809000000003E-3</v>
      </c>
      <c r="O13">
        <v>3.0030000000000001</v>
      </c>
      <c r="P13">
        <v>-7.6385159000000001E-3</v>
      </c>
      <c r="Q13">
        <v>-1.7644970000000001E-3</v>
      </c>
      <c r="R13">
        <v>-2.2938462E-2</v>
      </c>
      <c r="S13">
        <v>1.139931</v>
      </c>
    </row>
    <row r="14" spans="1:19">
      <c r="A14" t="s">
        <v>12</v>
      </c>
      <c r="B14">
        <v>1894</v>
      </c>
      <c r="C14">
        <v>206.8518</v>
      </c>
      <c r="D14">
        <v>80.179019999999994</v>
      </c>
      <c r="E14">
        <v>0.77446729999999997</v>
      </c>
      <c r="F14">
        <v>9.6592260999999995E-3</v>
      </c>
      <c r="G14">
        <v>126.6728</v>
      </c>
      <c r="H14">
        <v>-1.14638</v>
      </c>
      <c r="I14">
        <v>-9.0499324999999999E-3</v>
      </c>
      <c r="J14">
        <v>-0.37191299999999999</v>
      </c>
      <c r="K14">
        <v>-1.7979684E-3</v>
      </c>
      <c r="L14">
        <v>189.5539</v>
      </c>
      <c r="M14">
        <v>1.8595924999999999E-2</v>
      </c>
      <c r="N14">
        <v>4.5541729999999999E-3</v>
      </c>
      <c r="O14">
        <v>17.297999999999998</v>
      </c>
      <c r="P14">
        <v>-7.8185331000000004E-3</v>
      </c>
      <c r="Q14">
        <v>-1.8276348999999999E-3</v>
      </c>
      <c r="R14">
        <v>-0.135245</v>
      </c>
      <c r="S14">
        <v>3.5249299999999999</v>
      </c>
    </row>
    <row r="15" spans="1:19">
      <c r="A15" t="s">
        <v>13</v>
      </c>
      <c r="B15">
        <v>2192</v>
      </c>
      <c r="C15">
        <v>122.5239</v>
      </c>
      <c r="D15">
        <v>33.924999999999997</v>
      </c>
      <c r="E15">
        <v>0.62636959999999997</v>
      </c>
      <c r="F15">
        <v>1.8463365999999998E-2</v>
      </c>
      <c r="G15">
        <v>88.599000000000004</v>
      </c>
      <c r="H15">
        <v>-1.02772</v>
      </c>
      <c r="I15">
        <v>-1.1599685E-2</v>
      </c>
      <c r="J15">
        <v>-0.40135090000000001</v>
      </c>
      <c r="K15">
        <v>-3.2756932000000002E-3</v>
      </c>
      <c r="L15">
        <v>116.453</v>
      </c>
      <c r="M15">
        <v>2.4780763000000001E-2</v>
      </c>
      <c r="N15">
        <v>5.7485927999999997E-3</v>
      </c>
      <c r="O15">
        <v>6.0709999999999997</v>
      </c>
      <c r="P15">
        <v>-1.0854878E-2</v>
      </c>
      <c r="Q15">
        <v>-2.5346142000000002E-3</v>
      </c>
      <c r="R15">
        <v>-6.5899968000000003E-2</v>
      </c>
      <c r="S15">
        <v>2.8857940000000002</v>
      </c>
    </row>
    <row r="16" spans="1:19">
      <c r="A16" t="s">
        <v>14</v>
      </c>
      <c r="B16">
        <v>2192</v>
      </c>
      <c r="C16">
        <v>124.0979</v>
      </c>
      <c r="D16">
        <v>31.640999999999998</v>
      </c>
      <c r="E16">
        <v>0.55732429999999999</v>
      </c>
      <c r="F16">
        <v>1.7613991999999998E-2</v>
      </c>
      <c r="G16">
        <v>92.456940000000003</v>
      </c>
      <c r="H16">
        <v>-1.02643</v>
      </c>
      <c r="I16">
        <v>-1.1101705E-2</v>
      </c>
      <c r="J16">
        <v>-0.4691053</v>
      </c>
      <c r="K16">
        <v>-3.7801230999999999E-3</v>
      </c>
      <c r="L16">
        <v>116.3849</v>
      </c>
      <c r="M16">
        <v>2.4381318999999999E-2</v>
      </c>
      <c r="N16">
        <v>5.6526242000000003E-3</v>
      </c>
      <c r="O16">
        <v>7.7130000000000001</v>
      </c>
      <c r="P16">
        <v>-1.1312598E-2</v>
      </c>
      <c r="Q16">
        <v>-2.6440627000000002E-3</v>
      </c>
      <c r="R16">
        <v>-8.7254070000000003E-2</v>
      </c>
      <c r="S16">
        <v>2.8376169999999998</v>
      </c>
    </row>
    <row r="17" spans="1:19">
      <c r="A17" t="s">
        <v>15</v>
      </c>
      <c r="B17">
        <v>2201</v>
      </c>
      <c r="C17">
        <v>124.43089999999999</v>
      </c>
      <c r="D17">
        <v>40.964010000000002</v>
      </c>
      <c r="E17">
        <v>0.5976998</v>
      </c>
      <c r="F17">
        <v>1.4590852E-2</v>
      </c>
      <c r="G17">
        <v>83.46696</v>
      </c>
      <c r="H17">
        <v>-1.025239</v>
      </c>
      <c r="I17">
        <v>-1.2283166E-2</v>
      </c>
      <c r="J17">
        <v>-0.42753869999999999</v>
      </c>
      <c r="K17">
        <v>-3.4359535E-3</v>
      </c>
      <c r="L17">
        <v>115.0719</v>
      </c>
      <c r="M17">
        <v>2.5234124E-2</v>
      </c>
      <c r="N17">
        <v>5.8543099999999997E-3</v>
      </c>
      <c r="O17">
        <v>9.3589990000000007</v>
      </c>
      <c r="P17">
        <v>-1.2083518999999999E-2</v>
      </c>
      <c r="Q17">
        <v>-2.8272410999999999E-3</v>
      </c>
      <c r="R17">
        <v>-0.1130896</v>
      </c>
      <c r="S17">
        <v>2.9037380000000002</v>
      </c>
    </row>
    <row r="18" spans="1:19">
      <c r="A18" t="s">
        <v>16</v>
      </c>
      <c r="B18">
        <v>4326</v>
      </c>
      <c r="C18">
        <v>294.87860000000001</v>
      </c>
      <c r="D18">
        <v>78.070980000000006</v>
      </c>
      <c r="E18">
        <v>1.1630229999999999</v>
      </c>
      <c r="F18">
        <v>1.4896993000000001E-2</v>
      </c>
      <c r="G18">
        <v>216.80770000000001</v>
      </c>
      <c r="H18">
        <v>-1.790567</v>
      </c>
      <c r="I18">
        <v>-8.2587813999999999E-3</v>
      </c>
      <c r="J18">
        <v>-0.62754430000000005</v>
      </c>
      <c r="K18">
        <v>-2.1281442999999999E-3</v>
      </c>
      <c r="L18">
        <v>283.01560000000001</v>
      </c>
      <c r="M18">
        <v>2.3148973999999999E-2</v>
      </c>
      <c r="N18">
        <v>5.5852686000000002E-3</v>
      </c>
      <c r="O18">
        <v>11.863</v>
      </c>
      <c r="P18">
        <v>-9.7126467000000008E-3</v>
      </c>
      <c r="Q18">
        <v>-2.2592377000000001E-3</v>
      </c>
      <c r="R18">
        <v>-0.11522110000000001</v>
      </c>
      <c r="S18">
        <v>6.55152</v>
      </c>
    </row>
    <row r="19" spans="1:19">
      <c r="A19" t="s">
        <v>17</v>
      </c>
      <c r="B19">
        <v>4366</v>
      </c>
      <c r="C19">
        <v>299.97680000000003</v>
      </c>
      <c r="D19">
        <v>83.26097</v>
      </c>
      <c r="E19">
        <v>1.3508420000000001</v>
      </c>
      <c r="F19">
        <v>1.6224196E-2</v>
      </c>
      <c r="G19">
        <v>216.71559999999999</v>
      </c>
      <c r="H19">
        <v>-1.6977409999999999</v>
      </c>
      <c r="I19">
        <v>-7.8339585999999996E-3</v>
      </c>
      <c r="J19">
        <v>-0.3468987</v>
      </c>
      <c r="K19">
        <v>-1.1564182000000001E-3</v>
      </c>
      <c r="L19">
        <v>288.76769999999999</v>
      </c>
      <c r="M19">
        <v>2.2434316999999999E-2</v>
      </c>
      <c r="N19">
        <v>5.4076015999999999E-3</v>
      </c>
      <c r="O19">
        <v>11.209</v>
      </c>
      <c r="P19">
        <v>-1.0299301E-2</v>
      </c>
      <c r="Q19">
        <v>-2.4051010000000002E-3</v>
      </c>
      <c r="R19">
        <v>-0.1154448</v>
      </c>
      <c r="S19">
        <v>6.478307</v>
      </c>
    </row>
    <row r="20" spans="1:19">
      <c r="A20" t="s">
        <v>18</v>
      </c>
      <c r="B20">
        <v>4368</v>
      </c>
      <c r="C20">
        <v>300.36689999999999</v>
      </c>
      <c r="D20">
        <v>83.400940000000006</v>
      </c>
      <c r="E20">
        <v>1.3735379999999999</v>
      </c>
      <c r="F20">
        <v>1.6469096999999999E-2</v>
      </c>
      <c r="G20">
        <v>216.96559999999999</v>
      </c>
      <c r="H20">
        <v>-1.6985490000000001</v>
      </c>
      <c r="I20">
        <v>-7.8286565999999991E-3</v>
      </c>
      <c r="J20">
        <v>-0.3250113</v>
      </c>
      <c r="K20">
        <v>-1.0820477000000001E-3</v>
      </c>
      <c r="L20">
        <v>288.92590000000001</v>
      </c>
      <c r="M20">
        <v>2.2558506999999998E-2</v>
      </c>
      <c r="N20">
        <v>5.4269256000000002E-3</v>
      </c>
      <c r="O20">
        <v>11.441000000000001</v>
      </c>
      <c r="P20">
        <v>-1.0019561999999999E-2</v>
      </c>
      <c r="Q20">
        <v>-2.3394654999999999E-3</v>
      </c>
      <c r="R20">
        <v>-0.11463379999999999</v>
      </c>
      <c r="S20">
        <v>6.5177370000000003</v>
      </c>
    </row>
    <row r="21" spans="1:19">
      <c r="A21" t="s">
        <v>19</v>
      </c>
      <c r="B21">
        <v>4368</v>
      </c>
      <c r="C21">
        <v>300.7527</v>
      </c>
      <c r="D21">
        <v>81.723929999999996</v>
      </c>
      <c r="E21">
        <v>1.21591</v>
      </c>
      <c r="F21">
        <v>1.4878261E-2</v>
      </c>
      <c r="G21">
        <v>219.02850000000001</v>
      </c>
      <c r="H21">
        <v>-1.6977199999999999</v>
      </c>
      <c r="I21">
        <v>-7.7511361000000001E-3</v>
      </c>
      <c r="J21">
        <v>-0.48181010000000002</v>
      </c>
      <c r="K21">
        <v>-1.6020139000000001E-3</v>
      </c>
      <c r="L21">
        <v>288.02170000000001</v>
      </c>
      <c r="M21">
        <v>2.2744219999999999E-2</v>
      </c>
      <c r="N21">
        <v>5.4499413999999999E-3</v>
      </c>
      <c r="O21">
        <v>12.731</v>
      </c>
      <c r="P21">
        <v>-9.9555514999999997E-3</v>
      </c>
      <c r="Q21">
        <v>-2.3471133000000002E-3</v>
      </c>
      <c r="R21">
        <v>-0.1267441</v>
      </c>
      <c r="S21">
        <v>6.5508290000000002</v>
      </c>
    </row>
    <row r="22" spans="1:19">
      <c r="A22" t="s">
        <v>20</v>
      </c>
      <c r="B22">
        <v>4376</v>
      </c>
      <c r="C22">
        <v>298.00599999999997</v>
      </c>
      <c r="D22">
        <v>83.941999999999993</v>
      </c>
      <c r="E22">
        <v>1.3660289999999999</v>
      </c>
      <c r="F22">
        <v>1.6273484000000001E-2</v>
      </c>
      <c r="G22">
        <v>214.06379999999999</v>
      </c>
      <c r="H22">
        <v>-1.6787209999999999</v>
      </c>
      <c r="I22">
        <v>-7.8421551999999992E-3</v>
      </c>
      <c r="J22">
        <v>-0.31269239999999998</v>
      </c>
      <c r="K22">
        <v>-1.0492820999999999E-3</v>
      </c>
      <c r="L22">
        <v>287.03100000000001</v>
      </c>
      <c r="M22">
        <v>2.2417311999999998E-2</v>
      </c>
      <c r="N22">
        <v>5.3935149000000002E-3</v>
      </c>
      <c r="O22">
        <v>10.975</v>
      </c>
      <c r="P22">
        <v>-1.0138678999999999E-2</v>
      </c>
      <c r="Q22">
        <v>-2.3674893000000001E-3</v>
      </c>
      <c r="R22">
        <v>-0.111272</v>
      </c>
      <c r="S22">
        <v>6.4344640000000002</v>
      </c>
    </row>
    <row r="23" spans="1:19">
      <c r="A23" t="s">
        <v>21</v>
      </c>
      <c r="B23">
        <v>4382</v>
      </c>
      <c r="C23">
        <v>304.99990000000003</v>
      </c>
      <c r="D23">
        <v>79.000960000000006</v>
      </c>
      <c r="E23">
        <v>1.187133</v>
      </c>
      <c r="F23">
        <v>1.5026815000000001E-2</v>
      </c>
      <c r="G23">
        <v>225.99860000000001</v>
      </c>
      <c r="H23">
        <v>-1.6809050000000001</v>
      </c>
      <c r="I23">
        <v>-7.4376781000000001E-3</v>
      </c>
      <c r="J23">
        <v>-0.49377169999999998</v>
      </c>
      <c r="K23">
        <v>-1.6189242E-3</v>
      </c>
      <c r="L23">
        <v>292.12689999999998</v>
      </c>
      <c r="M23">
        <v>2.2406908E-2</v>
      </c>
      <c r="N23">
        <v>5.4007103000000001E-3</v>
      </c>
      <c r="O23">
        <v>12.872999999999999</v>
      </c>
      <c r="P23">
        <v>-9.7988611000000003E-3</v>
      </c>
      <c r="Q23">
        <v>-2.2934677999999998E-3</v>
      </c>
      <c r="R23">
        <v>-0.12614069999999999</v>
      </c>
      <c r="S23">
        <v>6.545661</v>
      </c>
    </row>
    <row r="24" spans="1:19">
      <c r="A24" t="s">
        <v>34</v>
      </c>
      <c r="B24">
        <v>4382</v>
      </c>
      <c r="C24">
        <v>296.99680000000001</v>
      </c>
      <c r="D24">
        <v>85.417929999999998</v>
      </c>
      <c r="E24">
        <v>1.344832</v>
      </c>
      <c r="F24">
        <v>1.5744139000000001E-2</v>
      </c>
      <c r="G24">
        <v>211.57859999999999</v>
      </c>
      <c r="H24">
        <v>-1.6679299999999999</v>
      </c>
      <c r="I24">
        <v>-7.8832628000000005E-3</v>
      </c>
      <c r="J24">
        <v>-0.3230983</v>
      </c>
      <c r="K24">
        <v>-1.0878848E-3</v>
      </c>
      <c r="L24">
        <v>286.26780000000002</v>
      </c>
      <c r="M24">
        <v>2.2373013000000001E-2</v>
      </c>
      <c r="N24">
        <v>5.3866039999999997E-3</v>
      </c>
      <c r="O24">
        <v>10.728999999999999</v>
      </c>
      <c r="P24">
        <v>-9.9779832999999998E-3</v>
      </c>
      <c r="Q24">
        <v>-2.3272560999999998E-3</v>
      </c>
      <c r="R24">
        <v>-0.1070538</v>
      </c>
      <c r="S24">
        <v>6.4046719999999997</v>
      </c>
    </row>
    <row r="25" spans="1:19">
      <c r="A25" t="s">
        <v>22</v>
      </c>
      <c r="B25">
        <v>4384</v>
      </c>
      <c r="C25">
        <v>159.6611</v>
      </c>
      <c r="D25">
        <v>54.712020000000003</v>
      </c>
      <c r="E25">
        <v>1.1150059999999999</v>
      </c>
      <c r="F25">
        <v>2.0379550999999999E-2</v>
      </c>
      <c r="G25">
        <v>104.9492</v>
      </c>
      <c r="H25">
        <v>-1.1420049999999999</v>
      </c>
      <c r="I25">
        <v>-1.0881511E-2</v>
      </c>
      <c r="J25">
        <v>-2.6998878E-2</v>
      </c>
      <c r="K25">
        <v>-1.6910121000000001E-4</v>
      </c>
      <c r="L25">
        <v>153.86109999999999</v>
      </c>
      <c r="M25">
        <v>2.4798619000000001E-2</v>
      </c>
      <c r="N25">
        <v>5.7549643999999997E-3</v>
      </c>
      <c r="O25">
        <v>5.7999989999999997</v>
      </c>
      <c r="P25">
        <v>-9.1318692999999996E-3</v>
      </c>
      <c r="Q25">
        <v>-2.1185934999999999E-3</v>
      </c>
      <c r="R25">
        <v>-5.2964836000000001E-2</v>
      </c>
      <c r="S25">
        <v>3.8155420000000002</v>
      </c>
    </row>
    <row r="26" spans="1:19">
      <c r="A26" t="s">
        <v>23</v>
      </c>
      <c r="B26">
        <v>4386</v>
      </c>
      <c r="C26">
        <v>301.80689999999998</v>
      </c>
      <c r="D26">
        <v>78.227959999999996</v>
      </c>
      <c r="E26">
        <v>1.127429</v>
      </c>
      <c r="F26">
        <v>1.4412104E-2</v>
      </c>
      <c r="G26">
        <v>223.57859999999999</v>
      </c>
      <c r="H26">
        <v>-1.738526</v>
      </c>
      <c r="I26">
        <v>-7.7759068999999998E-3</v>
      </c>
      <c r="J26">
        <v>-0.611097</v>
      </c>
      <c r="K26">
        <v>-2.0247942E-3</v>
      </c>
      <c r="L26">
        <v>289.18189999999998</v>
      </c>
      <c r="M26">
        <v>2.2549579E-2</v>
      </c>
      <c r="N26">
        <v>5.4341075000000003E-3</v>
      </c>
      <c r="O26">
        <v>12.625</v>
      </c>
      <c r="P26">
        <v>-9.7702694999999996E-3</v>
      </c>
      <c r="Q26">
        <v>-2.2842525999999998E-3</v>
      </c>
      <c r="R26">
        <v>-0.1233496</v>
      </c>
      <c r="S26">
        <v>6.5209289999999998</v>
      </c>
    </row>
    <row r="27" spans="1:19">
      <c r="A27" t="s">
        <v>24</v>
      </c>
      <c r="B27">
        <v>4386</v>
      </c>
      <c r="C27">
        <v>300.51990000000001</v>
      </c>
      <c r="D27">
        <v>81.397909999999996</v>
      </c>
      <c r="E27">
        <v>1.314111</v>
      </c>
      <c r="F27">
        <v>1.6144278000000001E-2</v>
      </c>
      <c r="G27">
        <v>219.1216</v>
      </c>
      <c r="H27">
        <v>-1.6302570000000001</v>
      </c>
      <c r="I27">
        <v>-7.4399645E-3</v>
      </c>
      <c r="J27">
        <v>-0.3161465</v>
      </c>
      <c r="K27">
        <v>-1.0519985999999999E-3</v>
      </c>
      <c r="L27">
        <v>288.38979999999998</v>
      </c>
      <c r="M27">
        <v>2.2389919000000001E-2</v>
      </c>
      <c r="N27">
        <v>5.3629777000000003E-3</v>
      </c>
      <c r="O27">
        <v>12.13</v>
      </c>
      <c r="P27">
        <v>-9.7244176999999998E-3</v>
      </c>
      <c r="Q27">
        <v>-2.2684073000000002E-3</v>
      </c>
      <c r="R27">
        <v>-0.1179572</v>
      </c>
      <c r="S27">
        <v>6.4570249999999998</v>
      </c>
    </row>
    <row r="28" spans="1:19">
      <c r="A28" t="s">
        <v>25</v>
      </c>
      <c r="B28">
        <v>4396</v>
      </c>
      <c r="C28">
        <v>342.32420000000002</v>
      </c>
      <c r="D28">
        <v>84.651949999999999</v>
      </c>
      <c r="E28">
        <v>1.180642</v>
      </c>
      <c r="F28">
        <v>1.3947012999999999E-2</v>
      </c>
      <c r="G28">
        <v>257.67219999999998</v>
      </c>
      <c r="H28">
        <v>-1.8918699999999999</v>
      </c>
      <c r="I28">
        <v>-7.3421583999999998E-3</v>
      </c>
      <c r="J28">
        <v>-0.71122850000000004</v>
      </c>
      <c r="K28">
        <v>-2.0776456000000001E-3</v>
      </c>
      <c r="L28">
        <v>331.83530000000002</v>
      </c>
      <c r="M28">
        <v>2.2016820999999999E-2</v>
      </c>
      <c r="N28">
        <v>5.3367125999999997E-3</v>
      </c>
      <c r="O28">
        <v>10.489000000000001</v>
      </c>
      <c r="P28">
        <v>-1.4626808E-2</v>
      </c>
      <c r="Q28">
        <v>-3.4093470000000001E-3</v>
      </c>
      <c r="R28">
        <v>-0.15342059999999999</v>
      </c>
      <c r="S28">
        <v>7.3059589999999996</v>
      </c>
    </row>
    <row r="29" spans="1:19">
      <c r="A29" t="s">
        <v>26</v>
      </c>
      <c r="B29">
        <v>4496</v>
      </c>
      <c r="C29">
        <v>230.21680000000001</v>
      </c>
      <c r="D29">
        <v>34.237000000000002</v>
      </c>
      <c r="E29">
        <v>0.41948360000000001</v>
      </c>
      <c r="F29">
        <v>1.2252348999999999E-2</v>
      </c>
      <c r="G29">
        <v>195.97970000000001</v>
      </c>
      <c r="H29">
        <v>-1.9005019999999999</v>
      </c>
      <c r="I29">
        <v>-9.6974429000000004E-3</v>
      </c>
      <c r="J29">
        <v>-1.4810179999999999</v>
      </c>
      <c r="K29">
        <v>-6.4331470000000002E-3</v>
      </c>
      <c r="L29">
        <v>222.18780000000001</v>
      </c>
      <c r="M29">
        <v>2.9064899000000002E-2</v>
      </c>
      <c r="N29">
        <v>6.8994280999999996E-3</v>
      </c>
      <c r="O29">
        <v>8.0290009999999992</v>
      </c>
      <c r="P29">
        <v>-8.1883213000000007E-3</v>
      </c>
      <c r="Q29">
        <v>-1.9336482999999999E-3</v>
      </c>
      <c r="R29">
        <v>-6.5744042000000003E-2</v>
      </c>
      <c r="S29">
        <v>6.457865</v>
      </c>
    </row>
    <row r="30" spans="1:19">
      <c r="A30" t="s">
        <v>27</v>
      </c>
      <c r="B30">
        <v>4616</v>
      </c>
      <c r="C30">
        <v>222.46889999999999</v>
      </c>
      <c r="D30">
        <v>53.438000000000002</v>
      </c>
      <c r="E30">
        <v>1.0329660000000001</v>
      </c>
      <c r="F30">
        <v>1.9330173999999999E-2</v>
      </c>
      <c r="G30">
        <v>169.03059999999999</v>
      </c>
      <c r="H30">
        <v>-1.922407</v>
      </c>
      <c r="I30">
        <v>-1.1373128E-2</v>
      </c>
      <c r="J30">
        <v>-0.88944069999999997</v>
      </c>
      <c r="K30">
        <v>-3.9980453000000001E-3</v>
      </c>
      <c r="L30">
        <v>189.83590000000001</v>
      </c>
      <c r="M30">
        <v>2.7846526E-2</v>
      </c>
      <c r="N30">
        <v>6.5831513999999999E-3</v>
      </c>
      <c r="O30">
        <v>32.633009999999999</v>
      </c>
      <c r="P30">
        <v>-1.2807021E-2</v>
      </c>
      <c r="Q30">
        <v>-3.0067029999999999E-3</v>
      </c>
      <c r="R30">
        <v>-0.41793170000000002</v>
      </c>
      <c r="S30">
        <v>5.2862710000000002</v>
      </c>
    </row>
    <row r="31" spans="1:19">
      <c r="A31" t="s">
        <v>28</v>
      </c>
      <c r="B31">
        <v>4599</v>
      </c>
      <c r="C31">
        <v>125.13500000000001</v>
      </c>
      <c r="D31">
        <v>39.900010000000002</v>
      </c>
      <c r="E31">
        <v>0.89309059999999996</v>
      </c>
      <c r="F31">
        <v>2.2383219999999999E-2</v>
      </c>
      <c r="G31">
        <v>85.234949999999998</v>
      </c>
      <c r="H31">
        <v>-1.642142</v>
      </c>
      <c r="I31">
        <v>-1.9266067000000001E-2</v>
      </c>
      <c r="J31">
        <v>-0.74905180000000005</v>
      </c>
      <c r="K31">
        <v>-5.9859515000000004E-3</v>
      </c>
      <c r="L31">
        <v>123.74590000000001</v>
      </c>
      <c r="M31">
        <v>3.1902209000000001E-2</v>
      </c>
      <c r="N31">
        <v>7.4206181E-3</v>
      </c>
      <c r="O31">
        <v>1.389</v>
      </c>
      <c r="P31">
        <v>-7.6389116999999998E-3</v>
      </c>
      <c r="Q31">
        <v>-1.7684082E-3</v>
      </c>
      <c r="R31">
        <v>-1.0610448999999999E-2</v>
      </c>
      <c r="S31">
        <v>3.9477690000000001</v>
      </c>
    </row>
    <row r="32" spans="1:19">
      <c r="A32" t="s">
        <v>29</v>
      </c>
      <c r="B32">
        <v>4600</v>
      </c>
      <c r="C32">
        <v>123.5091</v>
      </c>
      <c r="D32">
        <v>37.027979999999999</v>
      </c>
      <c r="E32">
        <v>0.87403580000000003</v>
      </c>
      <c r="F32">
        <v>2.3604738E-2</v>
      </c>
      <c r="G32">
        <v>86.480999999999995</v>
      </c>
      <c r="H32">
        <v>-1.609901</v>
      </c>
      <c r="I32">
        <v>-1.8615659E-2</v>
      </c>
      <c r="J32">
        <v>-0.73586510000000005</v>
      </c>
      <c r="K32">
        <v>-5.9579838999999999E-3</v>
      </c>
      <c r="L32">
        <v>121.1861</v>
      </c>
      <c r="M32">
        <v>3.2840452999999999E-2</v>
      </c>
      <c r="N32">
        <v>7.6241475000000001E-3</v>
      </c>
      <c r="O32">
        <v>2.323</v>
      </c>
      <c r="P32">
        <v>-1.1117324E-2</v>
      </c>
      <c r="Q32">
        <v>-2.5825547000000002E-3</v>
      </c>
      <c r="R32">
        <v>-2.5825547000000001E-2</v>
      </c>
      <c r="S32">
        <v>3.9798049999999998</v>
      </c>
    </row>
    <row r="33" spans="1:19">
      <c r="A33" t="s">
        <v>30</v>
      </c>
      <c r="B33">
        <v>4599</v>
      </c>
      <c r="C33">
        <v>125.20010000000001</v>
      </c>
      <c r="D33">
        <v>36.03998</v>
      </c>
      <c r="E33">
        <v>0.85796519999999998</v>
      </c>
      <c r="F33">
        <v>2.3805929E-2</v>
      </c>
      <c r="G33">
        <v>89.159970000000001</v>
      </c>
      <c r="H33">
        <v>-1.66811</v>
      </c>
      <c r="I33">
        <v>-1.8709185999999999E-2</v>
      </c>
      <c r="J33">
        <v>-0.81014529999999996</v>
      </c>
      <c r="K33">
        <v>-6.4708022000000004E-3</v>
      </c>
      <c r="L33">
        <v>123.5671</v>
      </c>
      <c r="M33">
        <v>3.3139101999999997E-2</v>
      </c>
      <c r="N33">
        <v>7.6971868999999998E-3</v>
      </c>
      <c r="O33">
        <v>1.633</v>
      </c>
      <c r="P33">
        <v>-1.0150078999999999E-2</v>
      </c>
      <c r="Q33">
        <v>-2.3678686000000002E-3</v>
      </c>
      <c r="R33">
        <v>-1.6575079E-2</v>
      </c>
      <c r="S33">
        <v>4.0949030000000004</v>
      </c>
    </row>
    <row r="34" spans="1:19">
      <c r="A34" t="s">
        <v>31</v>
      </c>
      <c r="B34">
        <v>10032</v>
      </c>
      <c r="C34">
        <v>524.52390000000003</v>
      </c>
      <c r="D34">
        <v>197.94370000000001</v>
      </c>
      <c r="E34">
        <v>1.738777</v>
      </c>
      <c r="F34">
        <v>8.7842001000000003E-3</v>
      </c>
      <c r="G34">
        <v>326.58010000000002</v>
      </c>
      <c r="H34">
        <v>-3.3239519999999998</v>
      </c>
      <c r="I34">
        <v>-1.0178059999999999E-2</v>
      </c>
      <c r="J34">
        <v>-1.585175</v>
      </c>
      <c r="K34">
        <v>-3.0221224000000001E-3</v>
      </c>
      <c r="L34">
        <v>457.88720000000001</v>
      </c>
      <c r="M34">
        <v>2.0736734999999999E-2</v>
      </c>
      <c r="N34">
        <v>5.1297065999999997E-3</v>
      </c>
      <c r="O34">
        <v>66.637010000000004</v>
      </c>
      <c r="P34">
        <v>-7.5907498000000002E-3</v>
      </c>
      <c r="Q34">
        <v>-1.7937052000000001E-3</v>
      </c>
      <c r="R34">
        <v>-0.50582490000000002</v>
      </c>
      <c r="S34">
        <v>9.4950869999999998</v>
      </c>
    </row>
    <row r="35" spans="1:19">
      <c r="A35" t="s">
        <v>32</v>
      </c>
      <c r="B35">
        <v>10214</v>
      </c>
      <c r="C35">
        <v>569.00630000000001</v>
      </c>
      <c r="D35">
        <v>176.51660000000001</v>
      </c>
      <c r="E35">
        <v>2.0593279999999998</v>
      </c>
      <c r="F35">
        <v>1.1666482000000001E-2</v>
      </c>
      <c r="G35">
        <v>392.48829999999998</v>
      </c>
      <c r="H35">
        <v>-4.1149180000000003</v>
      </c>
      <c r="I35">
        <v>-1.0484179999999999E-2</v>
      </c>
      <c r="J35">
        <v>-2.0555889999999999</v>
      </c>
      <c r="K35">
        <v>-3.6125949000000001E-3</v>
      </c>
      <c r="L35">
        <v>500.59140000000002</v>
      </c>
      <c r="M35">
        <v>2.2059642000000001E-2</v>
      </c>
      <c r="N35">
        <v>5.3632185000000001E-3</v>
      </c>
      <c r="O35">
        <v>68.414050000000003</v>
      </c>
      <c r="P35">
        <v>-9.9913356999999994E-3</v>
      </c>
      <c r="Q35">
        <v>-2.3489613000000002E-3</v>
      </c>
      <c r="R35">
        <v>-0.68354769999999998</v>
      </c>
      <c r="S35">
        <v>11.042870000000001</v>
      </c>
    </row>
    <row r="36" spans="1:19">
      <c r="A36" t="s">
        <v>33</v>
      </c>
      <c r="B36">
        <v>10355</v>
      </c>
      <c r="C36">
        <v>671.89009999999996</v>
      </c>
      <c r="D36">
        <v>292.92360000000002</v>
      </c>
      <c r="E36">
        <v>2.8749180000000001</v>
      </c>
      <c r="F36">
        <v>9.8145651000000004E-3</v>
      </c>
      <c r="G36">
        <v>378.96319999999997</v>
      </c>
      <c r="H36">
        <v>-3.5968260000000001</v>
      </c>
      <c r="I36">
        <v>-9.4912276000000007E-3</v>
      </c>
      <c r="J36">
        <v>-0.72190829999999995</v>
      </c>
      <c r="K36">
        <v>-1.0744439999999999E-3</v>
      </c>
      <c r="L36">
        <v>566.45899999999995</v>
      </c>
      <c r="M36">
        <v>1.9362239E-2</v>
      </c>
      <c r="N36">
        <v>4.7915746E-3</v>
      </c>
      <c r="O36">
        <v>105.4299</v>
      </c>
      <c r="P36">
        <v>-1.2961395000000001E-2</v>
      </c>
      <c r="Q36">
        <v>-3.0434699999999999E-3</v>
      </c>
      <c r="R36">
        <v>-1.3665179999999999</v>
      </c>
      <c r="S36">
        <v>10.96791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X37"/>
  <sheetViews>
    <sheetView zoomScale="75" zoomScaleNormal="75" workbookViewId="0">
      <selection activeCell="AD8" sqref="AD8"/>
    </sheetView>
  </sheetViews>
  <sheetFormatPr defaultRowHeight="15"/>
  <sheetData>
    <row r="1" spans="1:24">
      <c r="A1" s="1"/>
      <c r="B1" s="1" t="str">
        <f>"AA_T_pho_den_1.4A"</f>
        <v>AA_T_pho_den_1.4A</v>
      </c>
      <c r="C1" s="1" t="str">
        <f>"AA_T_pho_den_2A"</f>
        <v>AA_T_pho_den_2A</v>
      </c>
      <c r="D1" s="1" t="str">
        <f>"AA_T_pho_den_3A"</f>
        <v>AA_T_pho_den_3A</v>
      </c>
      <c r="E1" s="1" t="str">
        <f>"AA_T_pho_den_4A"</f>
        <v>AA_T_pho_den_4A</v>
      </c>
      <c r="F1" s="1" t="str">
        <f>"AA_T_pho_den_5A"</f>
        <v>AA_T_pho_den_5A</v>
      </c>
      <c r="G1" s="1" t="str">
        <f>"AA_T_pho_den_6A"</f>
        <v>AA_T_pho_den_6A</v>
      </c>
      <c r="H1" s="1" t="str">
        <f>"AA_T_pho_den_7A"</f>
        <v>AA_T_pho_den_7A</v>
      </c>
      <c r="I1" s="1" t="str">
        <f>"AA_T_pho_den_8A"</f>
        <v>AA_T_pho_den_8A</v>
      </c>
      <c r="J1" s="1" t="str">
        <f>"AA_T_pho_den_9A"</f>
        <v>AA_T_pho_den_9A</v>
      </c>
      <c r="K1" s="1" t="str">
        <f>"AA_T_pho_den_10A"</f>
        <v>AA_T_pho_den_10A</v>
      </c>
      <c r="L1" s="1" t="str">
        <f>"AA_T_pho_den_11A"</f>
        <v>AA_T_pho_den_11A</v>
      </c>
      <c r="M1" s="1" t="str">
        <f>"AA_T_pho_den_12A"</f>
        <v>AA_T_pho_den_12A</v>
      </c>
      <c r="N1" s="1" t="str">
        <f>"AA_T_pho_den_13A"</f>
        <v>AA_T_pho_den_13A</v>
      </c>
      <c r="O1" s="1" t="str">
        <f>"AA_T_pho_den_14A"</f>
        <v>AA_T_pho_den_14A</v>
      </c>
      <c r="P1" s="1" t="str">
        <f>"AA_T_pho_den_15A"</f>
        <v>AA_T_pho_den_15A</v>
      </c>
      <c r="Q1" s="1" t="str">
        <f>"AA_T_pho_den_16A"</f>
        <v>AA_T_pho_den_16A</v>
      </c>
      <c r="R1" s="1" t="str">
        <f>"AA_T_pho_den_17A"</f>
        <v>AA_T_pho_den_17A</v>
      </c>
      <c r="S1" s="1" t="str">
        <f>"AA_T_pho_den_18A"</f>
        <v>AA_T_pho_den_18A</v>
      </c>
      <c r="T1" s="1" t="str">
        <f>"AA_T_pho_den_19A"</f>
        <v>AA_T_pho_den_19A</v>
      </c>
      <c r="U1" s="1" t="str">
        <f>"AA_T_pho_den_20A"</f>
        <v>AA_T_pho_den_20A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-3.7006513450054952E-3</v>
      </c>
      <c r="C3">
        <v>-3.5405564820203696E-3</v>
      </c>
      <c r="D3">
        <v>-3.2157389449207381E-3</v>
      </c>
      <c r="E3">
        <v>-3.0541978464836235E-3</v>
      </c>
      <c r="F3">
        <v>-2.9650344654555114E-3</v>
      </c>
      <c r="G3">
        <v>-2.631931038031683E-3</v>
      </c>
      <c r="H3">
        <v>-2.6946730875469439E-3</v>
      </c>
      <c r="I3">
        <v>-2.4786204709786744E-3</v>
      </c>
      <c r="J3">
        <v>-2.4056186040477532E-3</v>
      </c>
      <c r="K3">
        <v>-2.3969587561831107E-3</v>
      </c>
      <c r="L3">
        <v>-2.4196514284729911E-3</v>
      </c>
      <c r="M3">
        <v>-2.4127039433943036E-3</v>
      </c>
      <c r="N3">
        <v>-2.4230341622118374E-3</v>
      </c>
      <c r="O3">
        <v>-2.261145221256779E-3</v>
      </c>
      <c r="P3">
        <v>-2.2432247963578905E-3</v>
      </c>
      <c r="Q3">
        <v>-2.0587965883394114E-3</v>
      </c>
      <c r="R3">
        <v>-1.9868054584753691E-3</v>
      </c>
      <c r="S3">
        <v>-1.8764471423523602E-3</v>
      </c>
      <c r="T3">
        <v>-1.9043803860760676E-3</v>
      </c>
      <c r="U3">
        <v>-1.8102213810309348E-3</v>
      </c>
    </row>
    <row r="4" spans="1:24">
      <c r="A4" t="s">
        <v>1</v>
      </c>
      <c r="B4">
        <v>-3.1310291842936129E-3</v>
      </c>
      <c r="C4">
        <v>-2.9086804852075515E-3</v>
      </c>
      <c r="D4">
        <v>-2.5338489794145191E-3</v>
      </c>
      <c r="E4">
        <v>-2.3961662204617668E-3</v>
      </c>
      <c r="F4">
        <v>-2.4805383388898515E-3</v>
      </c>
      <c r="G4">
        <v>-2.3273334807991123E-3</v>
      </c>
      <c r="H4">
        <v>-2.4101729941384291E-3</v>
      </c>
      <c r="I4">
        <v>-2.5340947135152974E-3</v>
      </c>
      <c r="J4">
        <v>-2.5477298848589547E-3</v>
      </c>
      <c r="K4">
        <v>-2.5588617387541164E-3</v>
      </c>
      <c r="L4">
        <v>-2.7556103631838085E-3</v>
      </c>
      <c r="M4">
        <v>-2.8594238712726819E-3</v>
      </c>
      <c r="N4">
        <v>-2.7938852156817301E-3</v>
      </c>
      <c r="O4">
        <v>-2.8296705430176997E-3</v>
      </c>
      <c r="P4">
        <v>-2.8046646740556092E-3</v>
      </c>
      <c r="Q4">
        <v>-2.7733042927260048E-3</v>
      </c>
      <c r="R4">
        <v>-2.7507868776901405E-3</v>
      </c>
      <c r="S4">
        <v>-2.8262728102837298E-3</v>
      </c>
      <c r="T4">
        <v>-2.7493471835162916E-3</v>
      </c>
      <c r="U4">
        <v>-2.7446340990589764E-3</v>
      </c>
    </row>
    <row r="5" spans="1:24">
      <c r="A5" t="s">
        <v>2</v>
      </c>
      <c r="B5">
        <v>-2.2070926815081012E-3</v>
      </c>
      <c r="C5">
        <v>-1.7108427797583464E-3</v>
      </c>
      <c r="D5">
        <v>-1.3705674180970549E-3</v>
      </c>
      <c r="E5">
        <v>-1.1740461088259125E-3</v>
      </c>
      <c r="F5">
        <v>-1.1130399959564698E-3</v>
      </c>
      <c r="G5">
        <v>-1.0539861632266733E-3</v>
      </c>
      <c r="H5">
        <v>-1.018912816052725E-3</v>
      </c>
      <c r="I5">
        <v>-9.6146521602619834E-4</v>
      </c>
      <c r="J5">
        <v>-9.234270626760655E-4</v>
      </c>
      <c r="K5">
        <v>-9.3634308440529944E-4</v>
      </c>
      <c r="L5">
        <v>-9.7139537135184273E-4</v>
      </c>
      <c r="M5">
        <v>-9.9042485416573158E-4</v>
      </c>
      <c r="N5">
        <v>-9.974193134996642E-4</v>
      </c>
      <c r="O5">
        <v>-9.6484768012264474E-4</v>
      </c>
      <c r="P5">
        <v>-9.3464043043409422E-4</v>
      </c>
      <c r="Q5">
        <v>-8.5158711276461677E-4</v>
      </c>
      <c r="R5">
        <v>-8.4791487263411033E-4</v>
      </c>
      <c r="S5">
        <v>-8.4184999951533626E-4</v>
      </c>
      <c r="T5">
        <v>-8.3325820476019873E-4</v>
      </c>
      <c r="U5">
        <v>-8.2929555233998903E-4</v>
      </c>
    </row>
    <row r="6" spans="1:24">
      <c r="A6" t="s">
        <v>3</v>
      </c>
      <c r="B6">
        <v>-2.9757448264892661E-3</v>
      </c>
      <c r="C6">
        <v>-1.9822250488111142E-3</v>
      </c>
      <c r="D6">
        <v>-1.7941738381683345E-3</v>
      </c>
      <c r="E6">
        <v>-1.4833829979955895E-3</v>
      </c>
      <c r="F6">
        <v>-1.2857095257623244E-3</v>
      </c>
      <c r="G6">
        <v>-1.1590874299535407E-3</v>
      </c>
      <c r="H6">
        <v>-1.1008135819321214E-3</v>
      </c>
      <c r="I6">
        <v>-1.0222622573636926E-3</v>
      </c>
      <c r="J6">
        <v>-9.9160887242998172E-4</v>
      </c>
      <c r="K6">
        <v>-9.6621158297754744E-4</v>
      </c>
      <c r="L6">
        <v>-8.8987520063139609E-4</v>
      </c>
      <c r="M6">
        <v>-7.9110386152270163E-4</v>
      </c>
      <c r="N6">
        <v>-8.4306927478968992E-4</v>
      </c>
      <c r="O6">
        <v>-7.873368947003375E-4</v>
      </c>
      <c r="P6">
        <v>-6.7464679171910433E-4</v>
      </c>
      <c r="Q6">
        <v>-6.8212297832514568E-4</v>
      </c>
      <c r="R6">
        <v>-6.3956315639820732E-4</v>
      </c>
      <c r="S6">
        <v>-6.2827313426537328E-4</v>
      </c>
      <c r="T6">
        <v>-5.4055367324742096E-4</v>
      </c>
      <c r="U6">
        <v>-4.9594096455981629E-4</v>
      </c>
    </row>
    <row r="7" spans="1:24">
      <c r="A7" t="s">
        <v>4</v>
      </c>
      <c r="B7">
        <v>-2.7140703997191851E-3</v>
      </c>
      <c r="C7">
        <v>-1.877244754505767E-3</v>
      </c>
      <c r="D7">
        <v>-1.574858142574661E-3</v>
      </c>
      <c r="E7">
        <v>-1.2730034196267374E-3</v>
      </c>
      <c r="F7">
        <v>-9.9782227694973852E-4</v>
      </c>
      <c r="G7">
        <v>-8.623355520571528E-4</v>
      </c>
      <c r="H7">
        <v>-8.0780922962568982E-4</v>
      </c>
      <c r="I7">
        <v>-7.198271005608096E-4</v>
      </c>
      <c r="J7">
        <v>-7.0991215013193991E-4</v>
      </c>
      <c r="K7">
        <v>-5.8315544474368841E-4</v>
      </c>
      <c r="L7">
        <v>-5.7030958279636614E-4</v>
      </c>
      <c r="M7">
        <v>-5.2929330319653398E-4</v>
      </c>
      <c r="N7">
        <v>-4.5239166511446796E-4</v>
      </c>
      <c r="O7">
        <v>-4.6936289229812853E-4</v>
      </c>
      <c r="P7">
        <v>-5.0053297010270253E-4</v>
      </c>
      <c r="Q7">
        <v>-4.808322852521304E-4</v>
      </c>
      <c r="R7">
        <v>-4.7623181307645401E-4</v>
      </c>
      <c r="S7">
        <v>-4.5845246297370699E-4</v>
      </c>
      <c r="T7">
        <v>-4.8132582679268553E-4</v>
      </c>
      <c r="U7">
        <v>-4.9527702641810124E-4</v>
      </c>
    </row>
    <row r="8" spans="1:24">
      <c r="A8" t="s">
        <v>5</v>
      </c>
      <c r="B8">
        <v>-2.6972597345039885E-3</v>
      </c>
      <c r="C8">
        <v>-1.8811356421225909E-3</v>
      </c>
      <c r="D8">
        <v>-1.4953639948853048E-3</v>
      </c>
      <c r="E8">
        <v>-1.1147193968928976E-3</v>
      </c>
      <c r="F8">
        <v>-9.8770445731482777E-4</v>
      </c>
      <c r="G8">
        <v>-8.5516885494578984E-4</v>
      </c>
      <c r="H8">
        <v>-8.5825251173684951E-4</v>
      </c>
      <c r="I8">
        <v>-7.5196628245275624E-4</v>
      </c>
      <c r="J8">
        <v>-7.0527897936307191E-4</v>
      </c>
      <c r="K8">
        <v>-7.0262393168792688E-4</v>
      </c>
      <c r="L8">
        <v>-5.4935691559708359E-4</v>
      </c>
      <c r="M8">
        <v>-5.6141314287641261E-4</v>
      </c>
      <c r="N8">
        <v>-5.6730802717948152E-4</v>
      </c>
      <c r="O8">
        <v>-5.3095174196323563E-4</v>
      </c>
      <c r="P8">
        <v>-5.0353155449746367E-4</v>
      </c>
      <c r="Q8">
        <v>-3.5738500996021304E-4</v>
      </c>
      <c r="R8">
        <v>-3.6937168368539694E-4</v>
      </c>
      <c r="S8">
        <v>-4.0341051321250173E-4</v>
      </c>
      <c r="T8">
        <v>-4.3584903585061402E-4</v>
      </c>
      <c r="U8">
        <v>-4.5407946391657939E-4</v>
      </c>
    </row>
    <row r="9" spans="1:24">
      <c r="A9" t="s">
        <v>6</v>
      </c>
      <c r="B9">
        <v>-2.6561942006387848E-3</v>
      </c>
      <c r="C9">
        <v>-1.8436609575480764E-3</v>
      </c>
      <c r="D9">
        <v>-1.4537554145771841E-3</v>
      </c>
      <c r="E9">
        <v>-1.1461141741415377E-3</v>
      </c>
      <c r="F9">
        <v>-1.0246773840750002E-3</v>
      </c>
      <c r="G9">
        <v>-9.3436921079931745E-4</v>
      </c>
      <c r="H9">
        <v>-7.9663552733522721E-4</v>
      </c>
      <c r="I9">
        <v>-7.3750851225121746E-4</v>
      </c>
      <c r="J9">
        <v>-7.5015092238486672E-4</v>
      </c>
      <c r="K9">
        <v>-6.7601252009150386E-4</v>
      </c>
      <c r="L9">
        <v>-6.183597820312043E-4</v>
      </c>
      <c r="M9">
        <v>-6.391721225443691E-4</v>
      </c>
      <c r="N9">
        <v>-6.7407235387387081E-4</v>
      </c>
      <c r="O9">
        <v>-7.1234720458653109E-4</v>
      </c>
      <c r="P9">
        <v>-7.0163052023756664E-4</v>
      </c>
      <c r="Q9">
        <v>-6.8489854637675978E-4</v>
      </c>
      <c r="R9">
        <v>-6.412965233845929E-4</v>
      </c>
      <c r="S9">
        <v>-6.2604462395118182E-4</v>
      </c>
      <c r="T9">
        <v>-6.0507745209907517E-4</v>
      </c>
      <c r="U9">
        <v>-6.2636360084394774E-4</v>
      </c>
    </row>
    <row r="10" spans="1:24">
      <c r="A10" t="s">
        <v>7</v>
      </c>
      <c r="B10">
        <v>-2.9611925669612341E-3</v>
      </c>
      <c r="C10">
        <v>-2.076626048054715E-3</v>
      </c>
      <c r="D10">
        <v>-1.7276199154084469E-3</v>
      </c>
      <c r="E10">
        <v>-1.312693687291452E-3</v>
      </c>
      <c r="F10">
        <v>-1.1808191678161629E-3</v>
      </c>
      <c r="G10">
        <v>-9.9094701134119583E-4</v>
      </c>
      <c r="H10">
        <v>-9.697454863239176E-4</v>
      </c>
      <c r="I10">
        <v>-8.8692299889541273E-4</v>
      </c>
      <c r="J10">
        <v>-8.4529486051050466E-4</v>
      </c>
      <c r="K10">
        <v>-7.6463399835825698E-4</v>
      </c>
      <c r="L10">
        <v>-7.9464170243017285E-4</v>
      </c>
      <c r="M10">
        <v>-7.6345883640208557E-4</v>
      </c>
      <c r="N10">
        <v>-7.7393713886912934E-4</v>
      </c>
      <c r="O10">
        <v>-7.6671680336399259E-4</v>
      </c>
      <c r="P10">
        <v>-7.241654140254858E-4</v>
      </c>
      <c r="Q10">
        <v>-7.0631546499329311E-4</v>
      </c>
      <c r="R10">
        <v>-6.5529467410912752E-4</v>
      </c>
      <c r="S10">
        <v>-6.0063700914341715E-4</v>
      </c>
      <c r="T10">
        <v>-6.3758784264690647E-4</v>
      </c>
      <c r="U10">
        <v>-5.1579246426354628E-4</v>
      </c>
    </row>
    <row r="11" spans="1:24">
      <c r="A11" t="s">
        <v>8</v>
      </c>
      <c r="B11">
        <v>-3.119881897262138E-3</v>
      </c>
      <c r="C11">
        <v>-2.2135181659428496E-3</v>
      </c>
      <c r="D11">
        <v>-1.8345287700025554E-3</v>
      </c>
      <c r="E11">
        <v>-1.4999091985308476E-3</v>
      </c>
      <c r="F11">
        <v>-1.3535603168129057E-3</v>
      </c>
      <c r="G11">
        <v>-1.1140950437845121E-3</v>
      </c>
      <c r="H11">
        <v>-1.0243936046654401E-3</v>
      </c>
      <c r="I11">
        <v>-8.6378280959166097E-4</v>
      </c>
      <c r="J11">
        <v>-7.6459398686784389E-4</v>
      </c>
      <c r="K11">
        <v>-7.4231542762594844E-4</v>
      </c>
      <c r="L11">
        <v>-4.5012783542099457E-4</v>
      </c>
      <c r="M11">
        <v>-3.7865561210253352E-4</v>
      </c>
      <c r="N11">
        <v>-3.4265632024994965E-4</v>
      </c>
      <c r="O11">
        <v>-2.5110247928980116E-4</v>
      </c>
      <c r="P11">
        <v>-2.6300447119567873E-4</v>
      </c>
      <c r="Q11">
        <v>-2.6769830919529493E-4</v>
      </c>
      <c r="R11">
        <v>-2.5462974406127779E-4</v>
      </c>
      <c r="S11">
        <v>-2.4916210914028767E-4</v>
      </c>
      <c r="T11">
        <v>-2.4148838980211243E-4</v>
      </c>
      <c r="U11">
        <v>-2.4907908919469046E-4</v>
      </c>
    </row>
    <row r="12" spans="1:24">
      <c r="A12" t="s">
        <v>9</v>
      </c>
      <c r="B12">
        <v>-1.3863269433025984E-3</v>
      </c>
      <c r="C12">
        <v>-1.0210692056329676E-3</v>
      </c>
      <c r="D12">
        <v>-8.1687774774475449E-4</v>
      </c>
      <c r="E12">
        <v>-6.8653965724582906E-4</v>
      </c>
      <c r="F12">
        <v>-6.9654714116881779E-4</v>
      </c>
      <c r="G12">
        <v>-6.1599629972247921E-4</v>
      </c>
      <c r="H12">
        <v>-5.8961934603179544E-4</v>
      </c>
      <c r="I12">
        <v>-6.1610065065367836E-4</v>
      </c>
      <c r="J12">
        <v>-6.4980057827182395E-4</v>
      </c>
      <c r="K12">
        <v>-6.3793901476435469E-4</v>
      </c>
      <c r="L12">
        <v>-6.6589554446513336E-4</v>
      </c>
      <c r="M12">
        <v>-5.7202970621207194E-4</v>
      </c>
      <c r="N12">
        <v>-5.6927845224180595E-4</v>
      </c>
      <c r="O12">
        <v>-5.7079904743630129E-4</v>
      </c>
      <c r="P12">
        <v>-5.617715539348654E-4</v>
      </c>
      <c r="Q12">
        <v>-5.6688848374646724E-4</v>
      </c>
      <c r="R12">
        <v>-5.9071575713810971E-4</v>
      </c>
      <c r="S12">
        <v>-5.5482386722259731E-4</v>
      </c>
      <c r="T12">
        <v>-5.5584879900163477E-4</v>
      </c>
      <c r="U12">
        <v>-5.104116983655904E-4</v>
      </c>
    </row>
    <row r="13" spans="1:24">
      <c r="A13" t="s">
        <v>10</v>
      </c>
      <c r="B13">
        <v>-1.4574619486960008E-3</v>
      </c>
      <c r="C13">
        <v>-9.6790477827942605E-4</v>
      </c>
      <c r="D13">
        <v>-8.3957612142811645E-4</v>
      </c>
      <c r="E13">
        <v>-6.8980842386795862E-4</v>
      </c>
      <c r="F13">
        <v>-6.6475905312678304E-4</v>
      </c>
      <c r="G13">
        <v>-6.5521210225294088E-4</v>
      </c>
      <c r="H13">
        <v>-6.2233643215503791E-4</v>
      </c>
      <c r="I13">
        <v>-5.9814495078728137E-4</v>
      </c>
      <c r="J13">
        <v>-5.968439920356226E-4</v>
      </c>
      <c r="K13">
        <v>-5.7582417573073753E-4</v>
      </c>
      <c r="L13">
        <v>-6.0974440051220994E-4</v>
      </c>
      <c r="M13">
        <v>-6.3505735641651334E-4</v>
      </c>
      <c r="N13">
        <v>-6.0458198382654083E-4</v>
      </c>
      <c r="O13">
        <v>-5.4766662280499598E-4</v>
      </c>
      <c r="P13">
        <v>-5.9061374333562648E-4</v>
      </c>
      <c r="Q13">
        <v>-6.0979645537953986E-4</v>
      </c>
      <c r="R13">
        <v>-6.2764503052293913E-4</v>
      </c>
      <c r="S13">
        <v>-5.8689781676956156E-4</v>
      </c>
      <c r="T13">
        <v>-5.7127535148201786E-4</v>
      </c>
      <c r="U13">
        <v>-5.9362758427808989E-4</v>
      </c>
    </row>
    <row r="14" spans="1:24">
      <c r="A14" t="s">
        <v>11</v>
      </c>
      <c r="B14">
        <v>-1.3237089700371435E-3</v>
      </c>
      <c r="C14">
        <v>-8.7977576282672666E-4</v>
      </c>
      <c r="D14">
        <v>-7.0198089105548238E-4</v>
      </c>
      <c r="E14">
        <v>-5.7380289682002514E-4</v>
      </c>
      <c r="F14">
        <v>-5.2256897696078034E-4</v>
      </c>
      <c r="G14">
        <v>-5.0818447394078154E-4</v>
      </c>
      <c r="H14">
        <v>-4.9949080017808721E-4</v>
      </c>
      <c r="I14">
        <v>-4.8225184606600084E-4</v>
      </c>
      <c r="J14">
        <v>-4.9151403176753876E-4</v>
      </c>
      <c r="K14">
        <v>-4.7743088130300463E-4</v>
      </c>
      <c r="L14">
        <v>-4.5283755800392631E-4</v>
      </c>
      <c r="M14">
        <v>-3.5563772770682341E-4</v>
      </c>
      <c r="N14">
        <v>-3.5457212433913111E-4</v>
      </c>
      <c r="O14">
        <v>-3.5877228567985525E-4</v>
      </c>
      <c r="P14">
        <v>-3.468149197027105E-4</v>
      </c>
      <c r="Q14">
        <v>-3.5218990721721659E-4</v>
      </c>
      <c r="R14">
        <v>-3.5325513835292636E-4</v>
      </c>
      <c r="S14">
        <v>-3.8261492581890042E-4</v>
      </c>
      <c r="T14">
        <v>-3.9698725993707264E-4</v>
      </c>
      <c r="U14">
        <v>-3.8305472054752109E-4</v>
      </c>
    </row>
    <row r="15" spans="1:24">
      <c r="A15" t="s">
        <v>12</v>
      </c>
      <c r="B15">
        <v>-1.0694501135321806E-3</v>
      </c>
      <c r="C15">
        <v>-9.5802166017638511E-4</v>
      </c>
      <c r="D15">
        <v>-8.0163476087663618E-4</v>
      </c>
      <c r="E15">
        <v>-7.4427227864718414E-4</v>
      </c>
      <c r="F15">
        <v>-7.3031799167899085E-4</v>
      </c>
      <c r="G15">
        <v>-7.110289428507861E-4</v>
      </c>
      <c r="H15">
        <v>-7.326446377688712E-4</v>
      </c>
      <c r="I15">
        <v>-7.1959537612904963E-4</v>
      </c>
      <c r="J15">
        <v>-6.9594814249565519E-4</v>
      </c>
      <c r="K15">
        <v>-7.0889676773121843E-4</v>
      </c>
      <c r="L15">
        <v>-7.1929052299048602E-4</v>
      </c>
      <c r="M15">
        <v>-7.2278062646672573E-4</v>
      </c>
      <c r="N15">
        <v>-6.9288853312312194E-4</v>
      </c>
      <c r="O15">
        <v>-6.8391439083837478E-4</v>
      </c>
      <c r="P15">
        <v>-6.3368795281708756E-4</v>
      </c>
      <c r="Q15">
        <v>-6.1299309050232747E-4</v>
      </c>
      <c r="R15">
        <v>-6.1892185301517361E-4</v>
      </c>
      <c r="S15">
        <v>-6.286033064873156E-4</v>
      </c>
      <c r="T15">
        <v>-6.3614693032582005E-4</v>
      </c>
      <c r="U15">
        <v>-6.5382558914159805E-4</v>
      </c>
    </row>
    <row r="16" spans="1:24">
      <c r="A16" t="s">
        <v>13</v>
      </c>
      <c r="B16">
        <v>-3.3694997409988306E-3</v>
      </c>
      <c r="C16">
        <v>-2.2474239151476158E-3</v>
      </c>
      <c r="D16">
        <v>-1.4691499443665445E-3</v>
      </c>
      <c r="E16">
        <v>-1.1469212419731908E-3</v>
      </c>
      <c r="F16">
        <v>-9.7289687477650243E-4</v>
      </c>
      <c r="G16">
        <v>-8.4611692881672097E-4</v>
      </c>
      <c r="H16">
        <v>-7.9743992534411702E-4</v>
      </c>
      <c r="I16">
        <v>-7.4130931609486014E-4</v>
      </c>
      <c r="J16">
        <v>-7.3673081383147183E-4</v>
      </c>
      <c r="K16">
        <v>-7.0046846030824973E-4</v>
      </c>
      <c r="L16">
        <v>-6.9004834164145272E-4</v>
      </c>
      <c r="M16">
        <v>-6.541190746005937E-4</v>
      </c>
      <c r="N16">
        <v>-6.4608830012161643E-4</v>
      </c>
      <c r="O16">
        <v>-6.3047276817408216E-4</v>
      </c>
      <c r="P16">
        <v>-6.0473468668346768E-4</v>
      </c>
      <c r="Q16">
        <v>-5.4074589927867022E-4</v>
      </c>
      <c r="R16">
        <v>-5.0810496855092935E-4</v>
      </c>
      <c r="S16">
        <v>-5.361518660073624E-4</v>
      </c>
      <c r="T16">
        <v>-5.4428519186450338E-4</v>
      </c>
      <c r="U16">
        <v>-5.3785398603864226E-4</v>
      </c>
    </row>
    <row r="17" spans="1:21">
      <c r="A17" t="s">
        <v>14</v>
      </c>
      <c r="B17">
        <v>-3.4404251199094348E-3</v>
      </c>
      <c r="C17">
        <v>-2.2720465358625447E-3</v>
      </c>
      <c r="D17">
        <v>-1.4553996161420191E-3</v>
      </c>
      <c r="E17">
        <v>-1.1424110827756382E-3</v>
      </c>
      <c r="F17">
        <v>-1.0146285453362252E-3</v>
      </c>
      <c r="G17">
        <v>-8.6298125921878172E-4</v>
      </c>
      <c r="H17">
        <v>-8.4130369143571625E-4</v>
      </c>
      <c r="I17">
        <v>-8.3029981524502887E-4</v>
      </c>
      <c r="J17">
        <v>-7.6875287677178521E-4</v>
      </c>
      <c r="K17">
        <v>-7.8652075565401936E-4</v>
      </c>
      <c r="L17">
        <v>-7.999741463361195E-4</v>
      </c>
      <c r="M17">
        <v>-6.7135511964754838E-4</v>
      </c>
      <c r="N17">
        <v>-6.4769573385991955E-4</v>
      </c>
      <c r="O17">
        <v>-6.6167363983852699E-4</v>
      </c>
      <c r="P17">
        <v>-5.9950011893018372E-4</v>
      </c>
      <c r="Q17">
        <v>-6.3579321984814344E-4</v>
      </c>
      <c r="R17">
        <v>-6.5130239203374009E-4</v>
      </c>
      <c r="S17">
        <v>-6.5335574165624423E-4</v>
      </c>
      <c r="T17">
        <v>-6.8292092151990948E-4</v>
      </c>
      <c r="U17">
        <v>-7.0310674072647484E-4</v>
      </c>
    </row>
    <row r="18" spans="1:21">
      <c r="A18" t="s">
        <v>15</v>
      </c>
      <c r="B18">
        <v>-3.6616781386655866E-3</v>
      </c>
      <c r="C18">
        <v>-2.6010037010804495E-3</v>
      </c>
      <c r="D18">
        <v>-1.7594402453316349E-3</v>
      </c>
      <c r="E18">
        <v>-1.3916772713420656E-3</v>
      </c>
      <c r="F18">
        <v>-1.3118974242372016E-3</v>
      </c>
      <c r="G18">
        <v>-1.190051901145012E-3</v>
      </c>
      <c r="H18">
        <v>-1.1376057057598994E-3</v>
      </c>
      <c r="I18">
        <v>-1.0647458767652916E-3</v>
      </c>
      <c r="J18">
        <v>-1.1469069953718354E-3</v>
      </c>
      <c r="K18">
        <v>-1.1245969684616241E-3</v>
      </c>
      <c r="L18">
        <v>-1.1053590446566221E-3</v>
      </c>
      <c r="M18">
        <v>-1.0833879358999772E-3</v>
      </c>
      <c r="N18">
        <v>-1.0474766362792451E-3</v>
      </c>
      <c r="O18">
        <v>-9.8292010738841086E-4</v>
      </c>
      <c r="P18">
        <v>-9.355840725080853E-4</v>
      </c>
      <c r="Q18">
        <v>-8.4155499218397723E-4</v>
      </c>
      <c r="R18">
        <v>-8.6604167472602777E-4</v>
      </c>
      <c r="S18">
        <v>-8.9948711634499671E-4</v>
      </c>
      <c r="T18">
        <v>-9.4375075859299802E-4</v>
      </c>
      <c r="U18">
        <v>-9.0885463337482899E-4</v>
      </c>
    </row>
    <row r="19" spans="1:21">
      <c r="A19" t="s">
        <v>16</v>
      </c>
      <c r="B19">
        <v>-2.5068202607148741E-3</v>
      </c>
      <c r="C19">
        <v>-1.8928902334077592E-3</v>
      </c>
      <c r="D19">
        <v>-1.2181748454283066E-3</v>
      </c>
      <c r="E19">
        <v>-9.3745089583035113E-4</v>
      </c>
      <c r="F19">
        <v>-7.9051371792933432E-4</v>
      </c>
      <c r="G19">
        <v>-6.5201405202356582E-4</v>
      </c>
      <c r="H19">
        <v>-6.1702303103938066E-4</v>
      </c>
      <c r="I19">
        <v>-5.6820809595881517E-4</v>
      </c>
      <c r="J19">
        <v>-5.2104074520474032E-4</v>
      </c>
      <c r="K19">
        <v>-4.9245316824642082E-4</v>
      </c>
      <c r="L19">
        <v>-4.9432289851904178E-4</v>
      </c>
      <c r="M19">
        <v>-4.8981562345118618E-4</v>
      </c>
      <c r="N19">
        <v>-4.4095604553510129E-4</v>
      </c>
      <c r="O19">
        <v>-4.2444027014374098E-4</v>
      </c>
      <c r="P19">
        <v>-4.1125618059470605E-4</v>
      </c>
      <c r="Q19">
        <v>-3.8794014548977949E-4</v>
      </c>
      <c r="R19">
        <v>-3.8794940068488263E-4</v>
      </c>
      <c r="S19">
        <v>-3.8450519461748943E-4</v>
      </c>
      <c r="T19">
        <v>-3.8440990572898422E-4</v>
      </c>
      <c r="U19">
        <v>-3.9074079977319482E-4</v>
      </c>
    </row>
    <row r="20" spans="1:21">
      <c r="A20" t="s">
        <v>17</v>
      </c>
      <c r="B20">
        <v>-2.3828105888662487E-3</v>
      </c>
      <c r="C20">
        <v>-1.816160460965506E-3</v>
      </c>
      <c r="D20">
        <v>-1.0694385020708294E-3</v>
      </c>
      <c r="E20">
        <v>-7.8245720162680918E-4</v>
      </c>
      <c r="F20">
        <v>-6.5844466094401111E-4</v>
      </c>
      <c r="G20">
        <v>-4.8895555528641387E-4</v>
      </c>
      <c r="H20">
        <v>-4.9316473716991759E-4</v>
      </c>
      <c r="I20">
        <v>-4.7868179901527257E-4</v>
      </c>
      <c r="J20">
        <v>-4.2712974809193979E-4</v>
      </c>
      <c r="K20">
        <v>-4.0122028661909525E-4</v>
      </c>
      <c r="L20">
        <v>-4.338130161590825E-4</v>
      </c>
      <c r="M20">
        <v>-4.2705006017505569E-4</v>
      </c>
      <c r="N20">
        <v>-4.1986827638843124E-4</v>
      </c>
      <c r="O20">
        <v>-4.1174610259015008E-4</v>
      </c>
      <c r="P20">
        <v>-4.1579390782120744E-4</v>
      </c>
      <c r="Q20">
        <v>-4.1504931772473418E-4</v>
      </c>
      <c r="R20">
        <v>-3.5584382864405967E-4</v>
      </c>
      <c r="S20">
        <v>-3.7128647653651112E-4</v>
      </c>
      <c r="T20">
        <v>-3.8745947967483836E-4</v>
      </c>
      <c r="U20">
        <v>-3.8484576140554867E-4</v>
      </c>
    </row>
    <row r="21" spans="1:21">
      <c r="A21" t="s">
        <v>18</v>
      </c>
      <c r="B21">
        <v>-2.4083686056635659E-3</v>
      </c>
      <c r="C21">
        <v>-1.844031735488818E-3</v>
      </c>
      <c r="D21">
        <v>-1.0962464871386811E-3</v>
      </c>
      <c r="E21">
        <v>-7.8313578936232216E-4</v>
      </c>
      <c r="F21">
        <v>-6.5032972447161969E-4</v>
      </c>
      <c r="G21">
        <v>-5.2392252652554529E-4</v>
      </c>
      <c r="H21">
        <v>-5.0346260401560011E-4</v>
      </c>
      <c r="I21">
        <v>-4.7804013566801393E-4</v>
      </c>
      <c r="J21">
        <v>-4.5668571181319662E-4</v>
      </c>
      <c r="K21">
        <v>-4.3511325231941682E-4</v>
      </c>
      <c r="L21">
        <v>-4.632252648165921E-4</v>
      </c>
      <c r="M21">
        <v>-4.61139822192579E-4</v>
      </c>
      <c r="N21">
        <v>-4.2297575470732275E-4</v>
      </c>
      <c r="O21">
        <v>-4.1183642735420173E-4</v>
      </c>
      <c r="P21">
        <v>-4.1355501845797286E-4</v>
      </c>
      <c r="Q21">
        <v>-3.9973036394342086E-4</v>
      </c>
      <c r="R21">
        <v>-3.8453921095318747E-4</v>
      </c>
      <c r="S21">
        <v>-3.7201470109425919E-4</v>
      </c>
      <c r="T21">
        <v>-3.736885188434522E-4</v>
      </c>
      <c r="U21">
        <v>-3.8164591371419421E-4</v>
      </c>
    </row>
    <row r="22" spans="1:21">
      <c r="A22" t="s">
        <v>19</v>
      </c>
      <c r="B22">
        <v>-2.3365067272640432E-3</v>
      </c>
      <c r="C22">
        <v>-1.7546593091756603E-3</v>
      </c>
      <c r="D22">
        <v>-1.0426293648910507E-3</v>
      </c>
      <c r="E22">
        <v>-7.7289519654691146E-4</v>
      </c>
      <c r="F22">
        <v>-6.4373878093665566E-4</v>
      </c>
      <c r="G22">
        <v>-5.1874058458533973E-4</v>
      </c>
      <c r="H22">
        <v>-4.7582249998785048E-4</v>
      </c>
      <c r="I22">
        <v>-4.3936039542780803E-4</v>
      </c>
      <c r="J22">
        <v>-3.9611544895808528E-4</v>
      </c>
      <c r="K22">
        <v>-3.8674254189098969E-4</v>
      </c>
      <c r="L22">
        <v>-4.3112727523886746E-4</v>
      </c>
      <c r="M22">
        <v>-4.3897768342329615E-4</v>
      </c>
      <c r="N22">
        <v>-4.2379936438202611E-4</v>
      </c>
      <c r="O22">
        <v>-4.3753806639143376E-4</v>
      </c>
      <c r="P22">
        <v>-4.1491204667999773E-4</v>
      </c>
      <c r="Q22">
        <v>-3.9330586214252836E-4</v>
      </c>
      <c r="R22">
        <v>-3.8517213139837409E-4</v>
      </c>
      <c r="S22">
        <v>-3.8960040112098987E-4</v>
      </c>
      <c r="T22">
        <v>-4.0631262667511299E-4</v>
      </c>
      <c r="U22">
        <v>-4.2142298306881365E-4</v>
      </c>
    </row>
    <row r="23" spans="1:21">
      <c r="A23" t="s">
        <v>20</v>
      </c>
      <c r="B23">
        <v>-2.3657171179965529E-3</v>
      </c>
      <c r="C23">
        <v>-1.8081831667970285E-3</v>
      </c>
      <c r="D23">
        <v>-1.0651885228579717E-3</v>
      </c>
      <c r="E23">
        <v>-7.7657386378135614E-4</v>
      </c>
      <c r="F23">
        <v>-6.2665481031942889E-4</v>
      </c>
      <c r="G23">
        <v>-4.9890585970234231E-4</v>
      </c>
      <c r="H23">
        <v>-4.9738878372920022E-4</v>
      </c>
      <c r="I23">
        <v>-4.4630061094641418E-4</v>
      </c>
      <c r="J23">
        <v>-4.2121083124229552E-4</v>
      </c>
      <c r="K23">
        <v>-3.8869573400763065E-4</v>
      </c>
      <c r="L23">
        <v>-4.3295718686823864E-4</v>
      </c>
      <c r="M23">
        <v>-4.2954035205329403E-4</v>
      </c>
      <c r="N23">
        <v>-4.0797551932487242E-4</v>
      </c>
      <c r="O23">
        <v>-4.1359081469895844E-4</v>
      </c>
      <c r="P23">
        <v>-4.2050079085094872E-4</v>
      </c>
      <c r="Q23">
        <v>-3.9942964258151201E-4</v>
      </c>
      <c r="R23">
        <v>-3.8085671503491355E-4</v>
      </c>
      <c r="S23">
        <v>-3.9520172924986018E-4</v>
      </c>
      <c r="T23">
        <v>-3.8902353995816591E-4</v>
      </c>
      <c r="U23">
        <v>-3.7338845526600138E-4</v>
      </c>
    </row>
    <row r="24" spans="1:21">
      <c r="A24" t="s">
        <v>21</v>
      </c>
      <c r="B24">
        <v>-2.3800870612141066E-3</v>
      </c>
      <c r="C24">
        <v>-1.8103656743422311E-3</v>
      </c>
      <c r="D24">
        <v>-1.0907816379568834E-3</v>
      </c>
      <c r="E24">
        <v>-8.2120878046137514E-4</v>
      </c>
      <c r="F24">
        <v>-6.885592640764772E-4</v>
      </c>
      <c r="G24">
        <v>-5.6426938683803985E-4</v>
      </c>
      <c r="H24">
        <v>-5.1496923208430901E-4</v>
      </c>
      <c r="I24">
        <v>-5.0101375979323757E-4</v>
      </c>
      <c r="J24">
        <v>-4.5201651668935305E-4</v>
      </c>
      <c r="K24">
        <v>-4.3894563935342512E-4</v>
      </c>
      <c r="L24">
        <v>-4.5758306270876056E-4</v>
      </c>
      <c r="M24">
        <v>-4.7008502424549143E-4</v>
      </c>
      <c r="N24">
        <v>-4.3215204834356737E-4</v>
      </c>
      <c r="O24">
        <v>-4.1215952514817738E-4</v>
      </c>
      <c r="P24">
        <v>-4.0095196400116587E-4</v>
      </c>
      <c r="Q24">
        <v>-4.050237683132853E-4</v>
      </c>
      <c r="R24">
        <v>-3.913220242766266E-4</v>
      </c>
      <c r="S24">
        <v>-4.092403789802408E-4</v>
      </c>
      <c r="T24">
        <v>-4.2385242344891244E-4</v>
      </c>
      <c r="U24">
        <v>-4.135762011725249E-4</v>
      </c>
    </row>
    <row r="25" spans="1:21">
      <c r="A25" t="s">
        <v>34</v>
      </c>
      <c r="B25">
        <v>-2.4116605622651862E-3</v>
      </c>
      <c r="C25">
        <v>-1.8722822172162019E-3</v>
      </c>
      <c r="D25">
        <v>-1.1355012201811137E-3</v>
      </c>
      <c r="E25">
        <v>-8.2532894064671694E-4</v>
      </c>
      <c r="F25">
        <v>-6.9938793102366592E-4</v>
      </c>
      <c r="G25">
        <v>-5.6996752126048974E-4</v>
      </c>
      <c r="H25">
        <v>-5.3379551758406382E-4</v>
      </c>
      <c r="I25">
        <v>-5.0594504878774234E-4</v>
      </c>
      <c r="J25">
        <v>-4.5883875434584765E-4</v>
      </c>
      <c r="K25">
        <v>-4.2536633676509795E-4</v>
      </c>
      <c r="L25">
        <v>-4.2235022684312978E-4</v>
      </c>
      <c r="M25">
        <v>-4.4266680488874537E-4</v>
      </c>
      <c r="N25">
        <v>-3.7624802298619322E-4</v>
      </c>
      <c r="O25">
        <v>-3.7565017236013365E-4</v>
      </c>
      <c r="P25">
        <v>-3.6067754926130289E-4</v>
      </c>
      <c r="Q25">
        <v>-3.7915945882304949E-4</v>
      </c>
      <c r="R25">
        <v>-3.8011969854997681E-4</v>
      </c>
      <c r="S25">
        <v>-3.8106792467580106E-4</v>
      </c>
      <c r="T25">
        <v>-3.926539549135197E-4</v>
      </c>
      <c r="U25">
        <v>-3.6045438873415474E-4</v>
      </c>
    </row>
    <row r="26" spans="1:21">
      <c r="A26" t="s">
        <v>22</v>
      </c>
      <c r="B26">
        <v>-3.4742600487136462E-3</v>
      </c>
      <c r="C26">
        <v>-2.2839617903794521E-3</v>
      </c>
      <c r="D26">
        <v>-1.2971405725494586E-3</v>
      </c>
      <c r="E26">
        <v>-9.7084540962381362E-4</v>
      </c>
      <c r="F26">
        <v>-7.6108949309735717E-4</v>
      </c>
      <c r="G26">
        <v>-6.1424253245767342E-4</v>
      </c>
      <c r="H26">
        <v>-5.7076714094674345E-4</v>
      </c>
      <c r="I26">
        <v>-4.6004287495845771E-4</v>
      </c>
      <c r="J26">
        <v>-4.8604891474844961E-4</v>
      </c>
      <c r="K26">
        <v>-4.109632809510629E-4</v>
      </c>
      <c r="L26">
        <v>-4.2259481759982463E-4</v>
      </c>
      <c r="M26">
        <v>-4.1984265960922474E-4</v>
      </c>
      <c r="N26">
        <v>-3.5295527298345275E-4</v>
      </c>
      <c r="O26">
        <v>-3.6294697546121089E-4</v>
      </c>
      <c r="P26">
        <v>-3.1863364138168281E-4</v>
      </c>
      <c r="Q26">
        <v>-3.3783525033470813E-4</v>
      </c>
      <c r="R26">
        <v>-3.3636579349524573E-4</v>
      </c>
      <c r="S26">
        <v>-3.2622875212429798E-4</v>
      </c>
      <c r="T26">
        <v>-3.3588727024524008E-4</v>
      </c>
      <c r="U26">
        <v>-3.3173287669945902E-4</v>
      </c>
    </row>
    <row r="27" spans="1:21">
      <c r="A27" t="s">
        <v>23</v>
      </c>
      <c r="B27">
        <v>-2.5258746214382988E-3</v>
      </c>
      <c r="C27">
        <v>-1.929066845330851E-3</v>
      </c>
      <c r="D27">
        <v>-1.1831557257994541E-3</v>
      </c>
      <c r="E27">
        <v>-9.1174585485287343E-4</v>
      </c>
      <c r="F27">
        <v>-7.6376993168450144E-4</v>
      </c>
      <c r="G27">
        <v>-6.3962055410019274E-4</v>
      </c>
      <c r="H27">
        <v>-6.0757848805886188E-4</v>
      </c>
      <c r="I27">
        <v>-5.5391744646039157E-4</v>
      </c>
      <c r="J27">
        <v>-5.6036403008459599E-4</v>
      </c>
      <c r="K27">
        <v>-4.9160532992768662E-4</v>
      </c>
      <c r="L27">
        <v>-5.0868089533482349E-4</v>
      </c>
      <c r="M27">
        <v>-4.7607143770112974E-4</v>
      </c>
      <c r="N27">
        <v>-4.4205925841590002E-4</v>
      </c>
      <c r="O27">
        <v>-4.3901364319943342E-4</v>
      </c>
      <c r="P27">
        <v>-4.4099496649875093E-4</v>
      </c>
      <c r="Q27">
        <v>-4.4406639999937261E-4</v>
      </c>
      <c r="R27">
        <v>-4.4930826310979148E-4</v>
      </c>
      <c r="S27">
        <v>-4.0522479631861867E-4</v>
      </c>
      <c r="T27">
        <v>-4.2200749095603707E-4</v>
      </c>
      <c r="U27">
        <v>-4.0870371088268692E-4</v>
      </c>
    </row>
    <row r="28" spans="1:21">
      <c r="A28" t="s">
        <v>24</v>
      </c>
      <c r="B28">
        <v>-2.457612318200064E-3</v>
      </c>
      <c r="C28">
        <v>-1.9110303633920972E-3</v>
      </c>
      <c r="D28">
        <v>-1.1677324156085303E-3</v>
      </c>
      <c r="E28">
        <v>-8.9614053588712723E-4</v>
      </c>
      <c r="F28">
        <v>-7.4631994781005555E-4</v>
      </c>
      <c r="G28">
        <v>-6.2911262104158603E-4</v>
      </c>
      <c r="H28">
        <v>-5.7397060614513076E-4</v>
      </c>
      <c r="I28">
        <v>-5.5187437305033503E-4</v>
      </c>
      <c r="J28">
        <v>-5.3882544729170513E-4</v>
      </c>
      <c r="K28">
        <v>-4.5358437796716255E-4</v>
      </c>
      <c r="L28">
        <v>-4.4845143910141223E-4</v>
      </c>
      <c r="M28">
        <v>-4.3054513908961185E-4</v>
      </c>
      <c r="N28">
        <v>-3.9753224687183295E-4</v>
      </c>
      <c r="O28">
        <v>-3.7719024588431921E-4</v>
      </c>
      <c r="P28">
        <v>-3.6601891277093101E-4</v>
      </c>
      <c r="Q28">
        <v>-3.7295199659736919E-4</v>
      </c>
      <c r="R28">
        <v>-3.6621817425603969E-4</v>
      </c>
      <c r="S28">
        <v>-3.7487642086159135E-4</v>
      </c>
      <c r="T28">
        <v>-4.0065142269506761E-4</v>
      </c>
      <c r="U28">
        <v>-3.9251044606363839E-4</v>
      </c>
    </row>
    <row r="29" spans="1:21">
      <c r="A29" t="s">
        <v>25</v>
      </c>
      <c r="B29">
        <v>-2.4974977231828227E-3</v>
      </c>
      <c r="C29">
        <v>-2.0055055623847116E-3</v>
      </c>
      <c r="D29">
        <v>-1.3385170544675078E-3</v>
      </c>
      <c r="E29">
        <v>-1.0715943375740466E-3</v>
      </c>
      <c r="F29">
        <v>-9.1724424371284992E-4</v>
      </c>
      <c r="G29">
        <v>-8.343778993012246E-4</v>
      </c>
      <c r="H29">
        <v>-8.3104861450216294E-4</v>
      </c>
      <c r="I29">
        <v>-7.7246654666487274E-4</v>
      </c>
      <c r="J29">
        <v>-7.4195675726034872E-4</v>
      </c>
      <c r="K29">
        <v>-6.9132699451848376E-4</v>
      </c>
      <c r="L29">
        <v>-6.2724746443911157E-4</v>
      </c>
      <c r="M29">
        <v>-5.7429943573238053E-4</v>
      </c>
      <c r="N29">
        <v>-5.6925574564671588E-4</v>
      </c>
      <c r="O29">
        <v>-5.5096184980863566E-4</v>
      </c>
      <c r="P29">
        <v>-5.5226027919749786E-4</v>
      </c>
      <c r="Q29">
        <v>-5.4909016819658938E-4</v>
      </c>
      <c r="R29">
        <v>-4.7843874620327704E-4</v>
      </c>
      <c r="S29">
        <v>-4.5665945326446415E-4</v>
      </c>
      <c r="T29">
        <v>-4.7554266419134658E-4</v>
      </c>
      <c r="U29">
        <v>-4.4817339819971821E-4</v>
      </c>
    </row>
    <row r="30" spans="1:21">
      <c r="A30" t="s">
        <v>26</v>
      </c>
      <c r="B30">
        <v>-2.1194328780463475E-3</v>
      </c>
      <c r="C30">
        <v>-1.5142165121175537E-3</v>
      </c>
      <c r="D30">
        <v>-7.9828340453575678E-4</v>
      </c>
      <c r="E30">
        <v>-6.367481333954142E-4</v>
      </c>
      <c r="F30">
        <v>-5.5711373776951554E-4</v>
      </c>
      <c r="G30">
        <v>-4.1889322814680694E-4</v>
      </c>
      <c r="H30">
        <v>-3.4818652011266653E-4</v>
      </c>
      <c r="I30">
        <v>-3.1361270521139525E-4</v>
      </c>
      <c r="J30">
        <v>-3.0315804836428137E-4</v>
      </c>
      <c r="K30">
        <v>-2.7503256336643876E-4</v>
      </c>
      <c r="L30">
        <v>-2.9510647575112654E-4</v>
      </c>
      <c r="M30">
        <v>-2.8539889981867494E-4</v>
      </c>
      <c r="N30">
        <v>-2.6339058939116295E-4</v>
      </c>
      <c r="O30">
        <v>-2.5091358859029132E-4</v>
      </c>
      <c r="P30">
        <v>-2.5256866866072981E-4</v>
      </c>
      <c r="Q30">
        <v>-2.5508194261359091E-4</v>
      </c>
      <c r="R30">
        <v>-2.6539337701618737E-4</v>
      </c>
      <c r="S30">
        <v>-2.8035704475084692E-4</v>
      </c>
      <c r="T30">
        <v>-2.7739386400850777E-4</v>
      </c>
      <c r="U30">
        <v>-2.8557447588533941E-4</v>
      </c>
    </row>
    <row r="31" spans="1:21">
      <c r="A31" t="s">
        <v>27</v>
      </c>
      <c r="B31">
        <v>-2.6657076460893381E-3</v>
      </c>
      <c r="C31">
        <v>-2.429873974759857E-3</v>
      </c>
      <c r="D31">
        <v>-2.2622219312086146E-3</v>
      </c>
      <c r="E31">
        <v>-2.1489859323847692E-3</v>
      </c>
      <c r="F31">
        <v>-2.0712478055517807E-3</v>
      </c>
      <c r="G31">
        <v>-1.8964048125590712E-3</v>
      </c>
      <c r="H31">
        <v>-1.926878872708758E-3</v>
      </c>
      <c r="I31">
        <v>-1.928768031288269E-3</v>
      </c>
      <c r="J31">
        <v>-1.9137418378620387E-3</v>
      </c>
      <c r="K31">
        <v>-1.848368063927964E-3</v>
      </c>
      <c r="L31">
        <v>-1.852820063433291E-3</v>
      </c>
      <c r="M31">
        <v>-1.8749845480209107E-3</v>
      </c>
      <c r="N31">
        <v>-1.9206428865795452E-3</v>
      </c>
      <c r="O31">
        <v>-1.9727117589552765E-3</v>
      </c>
      <c r="P31">
        <v>-1.9817899102580819E-3</v>
      </c>
      <c r="Q31">
        <v>-1.9513080653194438E-3</v>
      </c>
      <c r="R31">
        <v>-1.8564805660829862E-3</v>
      </c>
      <c r="S31">
        <v>-1.8682407060272945E-3</v>
      </c>
      <c r="T31">
        <v>-1.8370855397183453E-3</v>
      </c>
      <c r="U31">
        <v>-1.8786073019644545E-3</v>
      </c>
    </row>
    <row r="32" spans="1:21">
      <c r="A32" t="s">
        <v>28</v>
      </c>
      <c r="B32">
        <v>-2.8033015570135601E-3</v>
      </c>
      <c r="C32">
        <v>-1.7304211840595309E-3</v>
      </c>
      <c r="D32">
        <v>-8.4706933951752053E-4</v>
      </c>
      <c r="E32">
        <v>-5.3301264239249968E-4</v>
      </c>
      <c r="F32">
        <v>-4.3038336434799134E-4</v>
      </c>
      <c r="G32">
        <v>-3.687723435589768E-4</v>
      </c>
      <c r="H32">
        <v>-3.0513288175693619E-4</v>
      </c>
      <c r="I32">
        <v>-2.6263721657811419E-4</v>
      </c>
      <c r="J32">
        <v>-2.4152969348894635E-4</v>
      </c>
      <c r="K32">
        <v>-1.9138207770204662E-4</v>
      </c>
      <c r="L32">
        <v>-1.6686101939490422E-4</v>
      </c>
      <c r="M32">
        <v>-1.4763938158543564E-4</v>
      </c>
      <c r="N32">
        <v>-1.2224848554950003E-4</v>
      </c>
      <c r="O32">
        <v>-1.213180872504558E-4</v>
      </c>
      <c r="P32">
        <v>-8.9418183798364579E-5</v>
      </c>
      <c r="Q32">
        <v>-9.719572651854226E-5</v>
      </c>
      <c r="R32">
        <v>-7.3132800619561835E-5</v>
      </c>
      <c r="S32">
        <v>-8.2245794518773739E-5</v>
      </c>
      <c r="T32">
        <v>-9.2114460469592109E-5</v>
      </c>
      <c r="U32">
        <v>-8.4792016622048177E-5</v>
      </c>
    </row>
    <row r="33" spans="1:21">
      <c r="A33" t="s">
        <v>29</v>
      </c>
      <c r="B33">
        <v>-2.6294745922336299E-3</v>
      </c>
      <c r="C33">
        <v>-1.5094949299016599E-3</v>
      </c>
      <c r="D33">
        <v>-8.7923769729550698E-4</v>
      </c>
      <c r="E33">
        <v>-5.8917129667006741E-4</v>
      </c>
      <c r="F33">
        <v>-5.4122324419620109E-4</v>
      </c>
      <c r="G33">
        <v>-4.5726066554519813E-4</v>
      </c>
      <c r="H33">
        <v>-3.9347470357139878E-4</v>
      </c>
      <c r="I33">
        <v>-3.0616107136253941E-4</v>
      </c>
      <c r="J33">
        <v>-2.7252975770057175E-4</v>
      </c>
      <c r="K33">
        <v>-2.3706098416585272E-4</v>
      </c>
      <c r="L33">
        <v>-2.497930822943411E-4</v>
      </c>
      <c r="M33">
        <v>-2.2961380169657914E-4</v>
      </c>
      <c r="N33">
        <v>-2.0924431181500592E-4</v>
      </c>
      <c r="O33">
        <v>-1.9950815601905294E-4</v>
      </c>
      <c r="P33">
        <v>-1.9949782785656138E-4</v>
      </c>
      <c r="Q33">
        <v>-1.6557091041098166E-4</v>
      </c>
      <c r="R33">
        <v>-1.6376140830422941E-4</v>
      </c>
      <c r="S33">
        <v>-1.8084321367159146E-4</v>
      </c>
      <c r="T33">
        <v>-1.9728807736440655E-4</v>
      </c>
      <c r="U33">
        <v>-2.0909833364505127E-4</v>
      </c>
    </row>
    <row r="34" spans="1:21">
      <c r="A34" t="s">
        <v>30</v>
      </c>
      <c r="B34">
        <v>-2.6527114874188391E-3</v>
      </c>
      <c r="C34">
        <v>-1.492378423758459E-3</v>
      </c>
      <c r="D34">
        <v>-8.5002703910089109E-4</v>
      </c>
      <c r="E34">
        <v>-5.9227693988030757E-4</v>
      </c>
      <c r="F34">
        <v>-5.1976773266841636E-4</v>
      </c>
      <c r="G34">
        <v>-4.2866681430844562E-4</v>
      </c>
      <c r="H34">
        <v>-3.8726109427619917E-4</v>
      </c>
      <c r="I34">
        <v>-3.2193652765907392E-4</v>
      </c>
      <c r="J34">
        <v>-2.7120531467156084E-4</v>
      </c>
      <c r="K34">
        <v>-2.2233127092763689E-4</v>
      </c>
      <c r="L34">
        <v>-1.7095544224484717E-4</v>
      </c>
      <c r="M34">
        <v>-1.7427847909513229E-4</v>
      </c>
      <c r="N34">
        <v>-1.5093583502011844E-4</v>
      </c>
      <c r="O34">
        <v>-1.2814661547878978E-4</v>
      </c>
      <c r="P34">
        <v>-1.3601569405209313E-4</v>
      </c>
      <c r="Q34">
        <v>-1.3944622927163552E-4</v>
      </c>
      <c r="R34">
        <v>-1.3836220050175507E-4</v>
      </c>
      <c r="S34">
        <v>-1.2623422680529226E-4</v>
      </c>
      <c r="T34">
        <v>-1.2537672595463615E-4</v>
      </c>
      <c r="U34">
        <v>-1.3238870416237687E-4</v>
      </c>
    </row>
    <row r="35" spans="1:21">
      <c r="A35" t="s">
        <v>31</v>
      </c>
      <c r="B35">
        <v>-2.1046282039195968E-3</v>
      </c>
      <c r="C35">
        <v>-1.9103435583312997E-3</v>
      </c>
      <c r="D35">
        <v>-1.7442137984452991E-3</v>
      </c>
      <c r="E35">
        <v>-1.6147887045944796E-3</v>
      </c>
      <c r="F35">
        <v>-1.5545168645896795E-3</v>
      </c>
      <c r="G35">
        <v>-1.4417373325659956E-3</v>
      </c>
      <c r="H35">
        <v>-1.3713504247279949E-3</v>
      </c>
      <c r="I35">
        <v>-1.2972081542660314E-3</v>
      </c>
      <c r="J35">
        <v>-1.2349683268031372E-3</v>
      </c>
      <c r="K35">
        <v>-1.0954858372095979E-3</v>
      </c>
      <c r="L35">
        <v>-1.1253843081683286E-3</v>
      </c>
      <c r="M35">
        <v>-1.1229973127831997E-3</v>
      </c>
      <c r="N35">
        <v>-1.0677074682814613E-3</v>
      </c>
      <c r="O35">
        <v>-1.0587999555116015E-3</v>
      </c>
      <c r="P35">
        <v>-1.0079990191884441E-3</v>
      </c>
      <c r="Q35">
        <v>-1.0152589003115154E-3</v>
      </c>
      <c r="R35">
        <v>-1.0118023172264569E-3</v>
      </c>
      <c r="S35">
        <v>-1.0162105616525917E-3</v>
      </c>
      <c r="T35">
        <v>-1.0202336661504197E-3</v>
      </c>
      <c r="U35">
        <v>-9.6435052816468418E-4</v>
      </c>
    </row>
    <row r="36" spans="1:21">
      <c r="A36" t="s">
        <v>32</v>
      </c>
      <c r="B36">
        <v>-2.3647678108597242E-3</v>
      </c>
      <c r="C36">
        <v>-2.2286252761082267E-3</v>
      </c>
      <c r="D36">
        <v>-2.0358626967110836E-3</v>
      </c>
      <c r="E36">
        <v>-1.8999254513556081E-3</v>
      </c>
      <c r="F36">
        <v>-1.8310670964673021E-3</v>
      </c>
      <c r="G36">
        <v>-1.6866576384858452E-3</v>
      </c>
      <c r="H36">
        <v>-1.6934690254599937E-3</v>
      </c>
      <c r="I36">
        <v>-1.6102060585149471E-3</v>
      </c>
      <c r="J36">
        <v>-1.5399490322474474E-3</v>
      </c>
      <c r="K36">
        <v>-1.4314548388687661E-3</v>
      </c>
      <c r="L36">
        <v>-1.401859320186057E-3</v>
      </c>
      <c r="M36">
        <v>-1.3950536066240772E-3</v>
      </c>
      <c r="N36">
        <v>-1.3437926209240239E-3</v>
      </c>
      <c r="O36">
        <v>-1.3336809378732711E-3</v>
      </c>
      <c r="P36">
        <v>-1.2793768872348288E-3</v>
      </c>
      <c r="Q36">
        <v>-1.2769431579482964E-3</v>
      </c>
      <c r="R36">
        <v>-1.2568090648184718E-3</v>
      </c>
      <c r="S36">
        <v>-1.2194380147077712E-3</v>
      </c>
      <c r="T36">
        <v>-1.1872967272366535E-3</v>
      </c>
      <c r="U36">
        <v>-1.2013007588843919E-3</v>
      </c>
    </row>
    <row r="37" spans="1:21">
      <c r="A37" t="s">
        <v>33</v>
      </c>
      <c r="B37">
        <v>-2.2085001196458483E-3</v>
      </c>
      <c r="C37">
        <v>-2.0975359841425571E-3</v>
      </c>
      <c r="D37">
        <v>-1.936609376056836E-3</v>
      </c>
      <c r="E37">
        <v>-1.8813387754095009E-3</v>
      </c>
      <c r="F37">
        <v>-1.898204279191086E-3</v>
      </c>
      <c r="G37">
        <v>-1.8562168936349412E-3</v>
      </c>
      <c r="H37">
        <v>-1.925177632467828E-3</v>
      </c>
      <c r="I37">
        <v>-1.95373498307372E-3</v>
      </c>
      <c r="J37">
        <v>-1.9784249182033843E-3</v>
      </c>
      <c r="K37">
        <v>-1.9646000932197747E-3</v>
      </c>
      <c r="L37">
        <v>-1.9735097021838571E-3</v>
      </c>
      <c r="M37">
        <v>-1.987561838113207E-3</v>
      </c>
      <c r="N37">
        <v>-2.0551854912364631E-3</v>
      </c>
      <c r="O37">
        <v>-2.0503015502127881E-3</v>
      </c>
      <c r="P37">
        <v>-1.9966264551608747E-3</v>
      </c>
      <c r="Q37">
        <v>-2.0057170934089986E-3</v>
      </c>
      <c r="R37">
        <v>-2.0217958089396274E-3</v>
      </c>
      <c r="S37">
        <v>-2.0872765509989486E-3</v>
      </c>
      <c r="T37">
        <v>-2.0240052685615664E-3</v>
      </c>
      <c r="U37">
        <v>-2.0338415464076641E-3</v>
      </c>
    </row>
  </sheetData>
  <phoneticPr fontId="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"AA_S_pho_den_1.4A"</f>
        <v>AA_S_pho_den_1.4A</v>
      </c>
      <c r="C1" s="1" t="str">
        <f>"AA_S_pho_den_2A"</f>
        <v>AA_S_pho_den_2A</v>
      </c>
      <c r="D1" s="1" t="str">
        <f>"AA_S_pho_den_3A"</f>
        <v>AA_S_pho_den_3A</v>
      </c>
      <c r="E1" s="1" t="str">
        <f>"AA_S_pho_den_4A"</f>
        <v>AA_S_pho_den_4A</v>
      </c>
      <c r="F1" s="1" t="str">
        <f>"AA_S_pho_den_5A"</f>
        <v>AA_S_pho_den_5A</v>
      </c>
      <c r="G1" s="1" t="str">
        <f>"AA_S_pho_den_6A"</f>
        <v>AA_S_pho_den_6A</v>
      </c>
      <c r="H1" s="1" t="str">
        <f>"AA_S_pho_den_7A"</f>
        <v>AA_S_pho_den_7A</v>
      </c>
      <c r="I1" s="1" t="str">
        <f>"AA_S_pho_den_8A"</f>
        <v>AA_S_pho_den_8A</v>
      </c>
      <c r="J1" s="1" t="str">
        <f>"AA_S_pho_den_9A"</f>
        <v>AA_S_pho_den_9A</v>
      </c>
      <c r="K1" s="1" t="str">
        <f>"AA_S_pho_den_10A"</f>
        <v>AA_S_pho_den_10A</v>
      </c>
      <c r="L1" s="1" t="str">
        <f>"AA_S_pho_den_11A"</f>
        <v>AA_S_pho_den_11A</v>
      </c>
      <c r="M1" s="1" t="str">
        <f>"AA_S_pho_den_12A"</f>
        <v>AA_S_pho_den_12A</v>
      </c>
      <c r="N1" s="1" t="str">
        <f>"AA_S_pho_den_13A"</f>
        <v>AA_S_pho_den_13A</v>
      </c>
      <c r="O1" s="1" t="str">
        <f>"AA_S_pho_den_14A"</f>
        <v>AA_S_pho_den_14A</v>
      </c>
      <c r="P1" s="1" t="str">
        <f>"AA_S_pho_den_15A"</f>
        <v>AA_S_pho_den_15A</v>
      </c>
      <c r="Q1" s="1" t="str">
        <f>"AA_S_pho_den_16A"</f>
        <v>AA_S_pho_den_16A</v>
      </c>
      <c r="R1" s="1" t="str">
        <f>"AA_S_pho_den_17A"</f>
        <v>AA_S_pho_den_17A</v>
      </c>
      <c r="S1" s="1" t="str">
        <f>"AA_S_pho_den_18A"</f>
        <v>AA_S_pho_den_18A</v>
      </c>
      <c r="T1" s="1" t="str">
        <f>"AA_S_pho_den_19A"</f>
        <v>AA_S_pho_den_19A</v>
      </c>
      <c r="U1" s="1" t="str">
        <f>"AA_S_pho_den_20A"</f>
        <v>AA_S_pho_den_20A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-1.3652317224560841E-2</v>
      </c>
      <c r="C3">
        <v>-1.4124070955498506E-2</v>
      </c>
      <c r="D3">
        <v>-1.4354798094717999E-2</v>
      </c>
      <c r="E3">
        <v>-1.4389532638961441E-2</v>
      </c>
      <c r="F3">
        <v>-1.45886896088378E-2</v>
      </c>
      <c r="G3">
        <v>-1.3893057559769125E-2</v>
      </c>
      <c r="H3">
        <v>-1.4487314312977713E-2</v>
      </c>
      <c r="I3">
        <v>-1.4313386483397196E-2</v>
      </c>
      <c r="J3">
        <v>-1.4335122818337291E-2</v>
      </c>
      <c r="K3">
        <v>-1.4173281098340037E-2</v>
      </c>
      <c r="L3">
        <v>-1.4167539046178701E-2</v>
      </c>
      <c r="M3">
        <v>-1.4609891326007499E-2</v>
      </c>
      <c r="N3">
        <v>-1.5217368767165682E-2</v>
      </c>
      <c r="O3">
        <v>-1.5322377943256906E-2</v>
      </c>
      <c r="P3">
        <v>-1.5104612856885375E-2</v>
      </c>
      <c r="Q3">
        <v>-1.5011962479516302E-2</v>
      </c>
      <c r="R3">
        <v>-1.4582399368587214E-2</v>
      </c>
      <c r="S3">
        <v>-1.4607765612327657E-2</v>
      </c>
      <c r="T3">
        <v>-1.4731773449865803E-2</v>
      </c>
      <c r="U3">
        <v>-1.468890278902053E-2</v>
      </c>
    </row>
    <row r="4" spans="1:24">
      <c r="A4" t="s">
        <v>1</v>
      </c>
      <c r="B4">
        <v>-1.152877273647402E-2</v>
      </c>
      <c r="C4">
        <v>-1.1610231527082742E-2</v>
      </c>
      <c r="D4">
        <v>-1.1103771563465417E-2</v>
      </c>
      <c r="E4">
        <v>-1.0806683112395861E-2</v>
      </c>
      <c r="F4">
        <v>-1.0917786328727482E-2</v>
      </c>
      <c r="G4">
        <v>-1.0509458249079244E-2</v>
      </c>
      <c r="H4">
        <v>-1.0717540914326079E-2</v>
      </c>
      <c r="I4">
        <v>-1.0827882389312747E-2</v>
      </c>
      <c r="J4">
        <v>-1.0699951348364949E-2</v>
      </c>
      <c r="K4">
        <v>-1.0583974993378488E-2</v>
      </c>
      <c r="L4">
        <v>-1.1058211223018225E-2</v>
      </c>
      <c r="M4">
        <v>-1.1375747327749524E-2</v>
      </c>
      <c r="N4">
        <v>-1.1220253317089698E-2</v>
      </c>
      <c r="O4">
        <v>-1.1328948627188367E-2</v>
      </c>
      <c r="P4">
        <v>-1.1215171794430588E-2</v>
      </c>
      <c r="Q4">
        <v>-1.1216359501224356E-2</v>
      </c>
      <c r="R4">
        <v>-1.1087791874993634E-2</v>
      </c>
      <c r="S4">
        <v>-1.1389668315060336E-2</v>
      </c>
      <c r="T4">
        <v>-1.1448086545027485E-2</v>
      </c>
      <c r="U4">
        <v>-1.1436384799521457E-2</v>
      </c>
    </row>
    <row r="5" spans="1:24">
      <c r="A5" t="s">
        <v>2</v>
      </c>
      <c r="B5">
        <v>-1.2878235383501142E-2</v>
      </c>
      <c r="C5">
        <v>-1.319199392216866E-2</v>
      </c>
      <c r="D5">
        <v>-1.3542558702407927E-2</v>
      </c>
      <c r="E5">
        <v>-1.3404306721539585E-2</v>
      </c>
      <c r="F5">
        <v>-1.3854147321452877E-2</v>
      </c>
      <c r="G5">
        <v>-1.3735546853132616E-2</v>
      </c>
      <c r="H5">
        <v>-1.4108230559981443E-2</v>
      </c>
      <c r="I5">
        <v>-1.4644336346525993E-2</v>
      </c>
      <c r="J5">
        <v>-1.4839239012571235E-2</v>
      </c>
      <c r="K5">
        <v>-1.4900964574424832E-2</v>
      </c>
      <c r="L5">
        <v>-1.528674201732309E-2</v>
      </c>
      <c r="M5">
        <v>-1.6070858760719911E-2</v>
      </c>
      <c r="N5">
        <v>-1.6236243115465225E-2</v>
      </c>
      <c r="O5">
        <v>-1.6193034772311335E-2</v>
      </c>
      <c r="P5">
        <v>-1.561418856615952E-2</v>
      </c>
      <c r="Q5">
        <v>-1.5476832745044801E-2</v>
      </c>
      <c r="R5">
        <v>-1.5251731771763194E-2</v>
      </c>
      <c r="S5">
        <v>-1.531373811714198E-2</v>
      </c>
      <c r="T5">
        <v>-1.5193483450031827E-2</v>
      </c>
      <c r="U5">
        <v>-1.514076923076923E-2</v>
      </c>
    </row>
    <row r="6" spans="1:24">
      <c r="A6" t="s">
        <v>3</v>
      </c>
      <c r="B6">
        <v>-1.2636960198989284E-2</v>
      </c>
      <c r="C6">
        <v>-1.2487368644154707E-2</v>
      </c>
      <c r="D6">
        <v>-1.2693501293704673E-2</v>
      </c>
      <c r="E6">
        <v>-1.1994152635473881E-2</v>
      </c>
      <c r="F6">
        <v>-1.1542389868388051E-2</v>
      </c>
      <c r="G6">
        <v>-1.195791153965281E-2</v>
      </c>
      <c r="H6">
        <v>-1.2572496045555204E-2</v>
      </c>
      <c r="I6">
        <v>-1.2293758898908401E-2</v>
      </c>
      <c r="J6">
        <v>-1.2581509470059307E-2</v>
      </c>
      <c r="K6">
        <v>-1.2693988050555462E-2</v>
      </c>
      <c r="L6">
        <v>-1.2419985701045943E-2</v>
      </c>
      <c r="M6">
        <v>-1.2371895853738164E-2</v>
      </c>
      <c r="N6">
        <v>-1.2832909678516757E-2</v>
      </c>
      <c r="O6">
        <v>-1.3116081360048574E-2</v>
      </c>
      <c r="P6">
        <v>-1.2310117074329137E-2</v>
      </c>
      <c r="Q6">
        <v>-1.2219096285064445E-2</v>
      </c>
      <c r="R6">
        <v>-1.1690722923945176E-2</v>
      </c>
      <c r="S6">
        <v>-1.1606583548294641E-2</v>
      </c>
      <c r="T6">
        <v>-1.0843596033057852E-2</v>
      </c>
      <c r="U6">
        <v>-1.03643928700036E-2</v>
      </c>
    </row>
    <row r="7" spans="1:24">
      <c r="A7" t="s">
        <v>4</v>
      </c>
      <c r="B7">
        <v>-1.2528438726342458E-2</v>
      </c>
      <c r="C7">
        <v>-1.2502415538851265E-2</v>
      </c>
      <c r="D7">
        <v>-1.2600889940187137E-2</v>
      </c>
      <c r="E7">
        <v>-1.2095008483565069E-2</v>
      </c>
      <c r="F7">
        <v>-1.1893486718005412E-2</v>
      </c>
      <c r="G7">
        <v>-1.1413848778407358E-2</v>
      </c>
      <c r="H7">
        <v>-1.1900213097287107E-2</v>
      </c>
      <c r="I7">
        <v>-1.159896228344656E-2</v>
      </c>
      <c r="J7">
        <v>-1.1664611378977821E-2</v>
      </c>
      <c r="K7">
        <v>-1.0579402145987609E-2</v>
      </c>
      <c r="L7">
        <v>-1.125528365916636E-2</v>
      </c>
      <c r="M7">
        <v>-1.1977118406314916E-2</v>
      </c>
      <c r="N7">
        <v>-1.1006543694847708E-2</v>
      </c>
      <c r="O7">
        <v>-1.1226304520464265E-2</v>
      </c>
      <c r="P7">
        <v>-1.1039767747858018E-2</v>
      </c>
      <c r="Q7">
        <v>-1.0774235177865611E-2</v>
      </c>
      <c r="R7">
        <v>-1.0897061422413794E-2</v>
      </c>
      <c r="S7">
        <v>-1.0637143081144648E-2</v>
      </c>
      <c r="T7">
        <v>-1.076540023520188E-2</v>
      </c>
      <c r="U7">
        <v>-1.0766974479780133E-2</v>
      </c>
    </row>
    <row r="8" spans="1:24">
      <c r="A8" t="s">
        <v>5</v>
      </c>
      <c r="B8">
        <v>-1.2663264856644079E-2</v>
      </c>
      <c r="C8">
        <v>-1.287497423714643E-2</v>
      </c>
      <c r="D8">
        <v>-1.2971029073061469E-2</v>
      </c>
      <c r="E8">
        <v>-1.2230174155631624E-2</v>
      </c>
      <c r="F8">
        <v>-1.2378230632764813E-2</v>
      </c>
      <c r="G8">
        <v>-1.2460704554301285E-2</v>
      </c>
      <c r="H8">
        <v>-1.3627767819035424E-2</v>
      </c>
      <c r="I8">
        <v>-1.3056378144741218E-2</v>
      </c>
      <c r="J8">
        <v>-1.34087793715847E-2</v>
      </c>
      <c r="K8">
        <v>-1.3813593392214591E-2</v>
      </c>
      <c r="L8">
        <v>-1.329351334379906E-2</v>
      </c>
      <c r="M8">
        <v>-1.3441948335774955E-2</v>
      </c>
      <c r="N8">
        <v>-1.3286941159782847E-2</v>
      </c>
      <c r="O8">
        <v>-1.2984792994544931E-2</v>
      </c>
      <c r="P8">
        <v>-1.2239546350477363E-2</v>
      </c>
      <c r="Q8">
        <v>-1.14361846419327E-2</v>
      </c>
      <c r="R8">
        <v>-1.1266171564390665E-2</v>
      </c>
      <c r="S8">
        <v>-1.1526971008221549E-2</v>
      </c>
      <c r="T8">
        <v>-1.1846478769497402E-2</v>
      </c>
      <c r="U8">
        <v>-1.1840513876843019E-2</v>
      </c>
    </row>
    <row r="9" spans="1:24">
      <c r="A9" t="s">
        <v>6</v>
      </c>
      <c r="B9">
        <v>-1.2423316040540533E-2</v>
      </c>
      <c r="C9">
        <v>-1.262935628334319E-2</v>
      </c>
      <c r="D9">
        <v>-1.2630433188042304E-2</v>
      </c>
      <c r="E9">
        <v>-1.2088037416935878E-2</v>
      </c>
      <c r="F9">
        <v>-1.203994611700308E-2</v>
      </c>
      <c r="G9">
        <v>-1.2374072008427836E-2</v>
      </c>
      <c r="H9">
        <v>-1.22102030370244E-2</v>
      </c>
      <c r="I9">
        <v>-1.2051133739239975E-2</v>
      </c>
      <c r="J9">
        <v>-1.2352646597581542E-2</v>
      </c>
      <c r="K9">
        <v>-1.1451563967174687E-2</v>
      </c>
      <c r="L9">
        <v>-1.1338029241754507E-2</v>
      </c>
      <c r="M9">
        <v>-1.2109853653808879E-2</v>
      </c>
      <c r="N9">
        <v>-1.2443276907426247E-2</v>
      </c>
      <c r="O9">
        <v>-1.2367270057641169E-2</v>
      </c>
      <c r="P9">
        <v>-1.2681639051918736E-2</v>
      </c>
      <c r="Q9">
        <v>-1.2934891645569621E-2</v>
      </c>
      <c r="R9">
        <v>-1.2805525243832473E-2</v>
      </c>
      <c r="S9">
        <v>-1.2675962769230768E-2</v>
      </c>
      <c r="T9">
        <v>-1.243404902285525E-2</v>
      </c>
      <c r="U9">
        <v>-1.2433838581372224E-2</v>
      </c>
    </row>
    <row r="10" spans="1:24">
      <c r="A10" t="s">
        <v>7</v>
      </c>
      <c r="B10">
        <v>-1.2197930985477673E-2</v>
      </c>
      <c r="C10">
        <v>-1.20011766906952E-2</v>
      </c>
      <c r="D10">
        <v>-1.1677158773783055E-2</v>
      </c>
      <c r="E10">
        <v>-1.0857165971730859E-2</v>
      </c>
      <c r="F10">
        <v>-1.0972903168460427E-2</v>
      </c>
      <c r="G10">
        <v>-1.0326749071763086E-2</v>
      </c>
      <c r="H10">
        <v>-1.0649808368771985E-2</v>
      </c>
      <c r="I10">
        <v>-1.048360492845787E-2</v>
      </c>
      <c r="J10">
        <v>-1.0677602320335159E-2</v>
      </c>
      <c r="K10">
        <v>-1.0009474864511307E-2</v>
      </c>
      <c r="L10">
        <v>-1.054582499736759E-2</v>
      </c>
      <c r="M10">
        <v>-1.0512957565249012E-2</v>
      </c>
      <c r="N10">
        <v>-1.101222373992624E-2</v>
      </c>
      <c r="O10">
        <v>-1.09946575487381E-2</v>
      </c>
      <c r="P10">
        <v>-1.0853057113098865E-2</v>
      </c>
      <c r="Q10">
        <v>-1.1401512218587647E-2</v>
      </c>
      <c r="R10">
        <v>-1.0989958651399491E-2</v>
      </c>
      <c r="S10">
        <v>-1.190306884635832E-2</v>
      </c>
      <c r="T10">
        <v>-1.2006944651410325E-2</v>
      </c>
      <c r="U10">
        <v>-1.1014385447394295E-2</v>
      </c>
    </row>
    <row r="11" spans="1:24">
      <c r="A11" t="s">
        <v>8</v>
      </c>
      <c r="B11">
        <v>-1.2643022800518057E-2</v>
      </c>
      <c r="C11">
        <v>-1.2609773986948861E-2</v>
      </c>
      <c r="D11">
        <v>-1.2500720580779586E-2</v>
      </c>
      <c r="E11">
        <v>-1.1932561421026446E-2</v>
      </c>
      <c r="F11">
        <v>-1.2202072793333121E-2</v>
      </c>
      <c r="G11">
        <v>-1.1436378223495702E-2</v>
      </c>
      <c r="H11">
        <v>-1.168613301514837E-2</v>
      </c>
      <c r="I11">
        <v>-1.1514389101745424E-2</v>
      </c>
      <c r="J11">
        <v>-1.1559522248243559E-2</v>
      </c>
      <c r="K11">
        <v>-1.1297567426726643E-2</v>
      </c>
      <c r="L11">
        <v>-1.0863227027027028E-2</v>
      </c>
      <c r="M11">
        <v>-1.1221033342224594E-2</v>
      </c>
      <c r="N11">
        <v>-1.054513836285889E-2</v>
      </c>
      <c r="O11">
        <v>-9.9822931554024961E-3</v>
      </c>
      <c r="P11">
        <v>-9.8776729939603104E-3</v>
      </c>
      <c r="Q11">
        <v>-1.0349266826923076E-2</v>
      </c>
      <c r="R11">
        <v>-1.0547785559174809E-2</v>
      </c>
      <c r="S11">
        <v>-1.121678447204969E-2</v>
      </c>
      <c r="T11">
        <v>-1.2069164492753625E-2</v>
      </c>
      <c r="U11">
        <v>-1.2071922407541697E-2</v>
      </c>
    </row>
    <row r="12" spans="1:24">
      <c r="A12" t="s">
        <v>9</v>
      </c>
      <c r="B12">
        <v>-8.2502515524806933E-3</v>
      </c>
      <c r="C12">
        <v>-7.9125769921817284E-3</v>
      </c>
      <c r="D12">
        <v>-7.7424455357726837E-3</v>
      </c>
      <c r="E12">
        <v>-7.3241942077890906E-3</v>
      </c>
      <c r="F12">
        <v>-7.5146180434191622E-3</v>
      </c>
      <c r="G12">
        <v>-7.1957207693970184E-3</v>
      </c>
      <c r="H12">
        <v>-7.2838295828759605E-3</v>
      </c>
      <c r="I12">
        <v>-7.3905974563046187E-3</v>
      </c>
      <c r="J12">
        <v>-7.455062872441489E-3</v>
      </c>
      <c r="K12">
        <v>-7.341130447085455E-3</v>
      </c>
      <c r="L12">
        <v>-7.9164478622718078E-3</v>
      </c>
      <c r="M12">
        <v>-7.569504156622906E-3</v>
      </c>
      <c r="N12">
        <v>-7.3322737256685134E-3</v>
      </c>
      <c r="O12">
        <v>-7.2346029846335697E-3</v>
      </c>
      <c r="P12">
        <v>-7.2279179838068324E-3</v>
      </c>
      <c r="Q12">
        <v>-7.3882512094606695E-3</v>
      </c>
      <c r="R12">
        <v>-7.3744645612775876E-3</v>
      </c>
      <c r="S12">
        <v>-7.498673345936427E-3</v>
      </c>
      <c r="T12">
        <v>-7.4260209729729723E-3</v>
      </c>
      <c r="U12">
        <v>-7.5383755725190833E-3</v>
      </c>
    </row>
    <row r="13" spans="1:24">
      <c r="A13" t="s">
        <v>10</v>
      </c>
      <c r="B13">
        <v>-8.310434098054105E-3</v>
      </c>
      <c r="C13">
        <v>-7.9513993000111145E-3</v>
      </c>
      <c r="D13">
        <v>-7.6860357125240631E-3</v>
      </c>
      <c r="E13">
        <v>-7.4151516443324659E-3</v>
      </c>
      <c r="F13">
        <v>-7.6414992051522437E-3</v>
      </c>
      <c r="G13">
        <v>-7.4096567106473159E-3</v>
      </c>
      <c r="H13">
        <v>-7.5649176408076517E-3</v>
      </c>
      <c r="I13">
        <v>-7.3909309824477807E-3</v>
      </c>
      <c r="J13">
        <v>-7.4918075514229356E-3</v>
      </c>
      <c r="K13">
        <v>-7.1776437731849484E-3</v>
      </c>
      <c r="L13">
        <v>-7.4856031388642686E-3</v>
      </c>
      <c r="M13">
        <v>-7.5400697148597902E-3</v>
      </c>
      <c r="N13">
        <v>-7.3155067141055137E-3</v>
      </c>
      <c r="O13">
        <v>-7.2572892812166586E-3</v>
      </c>
      <c r="P13">
        <v>-7.2068091844813935E-3</v>
      </c>
      <c r="Q13">
        <v>-7.3545248682476945E-3</v>
      </c>
      <c r="R13">
        <v>-7.3586480398899591E-3</v>
      </c>
      <c r="S13">
        <v>-7.0845371526826384E-3</v>
      </c>
      <c r="T13">
        <v>-7.0674866912366907E-3</v>
      </c>
      <c r="U13">
        <v>-7.0679038343243808E-3</v>
      </c>
    </row>
    <row r="14" spans="1:24">
      <c r="A14" t="s">
        <v>11</v>
      </c>
      <c r="B14">
        <v>-8.4168081631332981E-3</v>
      </c>
      <c r="C14">
        <v>-7.9673794402687955E-3</v>
      </c>
      <c r="D14">
        <v>-7.9325483617082981E-3</v>
      </c>
      <c r="E14">
        <v>-7.5761148613199955E-3</v>
      </c>
      <c r="F14">
        <v>-7.9316581325945268E-3</v>
      </c>
      <c r="G14">
        <v>-7.7432325708061004E-3</v>
      </c>
      <c r="H14">
        <v>-7.7382237271131178E-3</v>
      </c>
      <c r="I14">
        <v>-7.4949870297488959E-3</v>
      </c>
      <c r="J14">
        <v>-7.6238850942318666E-3</v>
      </c>
      <c r="K14">
        <v>-7.5897193596235271E-3</v>
      </c>
      <c r="L14">
        <v>-7.8159222826688253E-3</v>
      </c>
      <c r="M14">
        <v>-7.665707167565059E-3</v>
      </c>
      <c r="N14">
        <v>-7.5081713179238063E-3</v>
      </c>
      <c r="O14">
        <v>-7.4323619419633009E-3</v>
      </c>
      <c r="P14">
        <v>-7.4473432875975243E-3</v>
      </c>
      <c r="Q14">
        <v>-7.6164613616776797E-3</v>
      </c>
      <c r="R14">
        <v>-7.6331320172732878E-3</v>
      </c>
      <c r="S14">
        <v>-7.6865484567901236E-3</v>
      </c>
      <c r="T14">
        <v>-7.5762375656472031E-3</v>
      </c>
      <c r="U14">
        <v>-7.6385154845154844E-3</v>
      </c>
    </row>
    <row r="15" spans="1:24">
      <c r="A15" t="s">
        <v>12</v>
      </c>
      <c r="B15">
        <v>-8.0752905424797163E-3</v>
      </c>
      <c r="C15">
        <v>-8.2383194403982136E-3</v>
      </c>
      <c r="D15">
        <v>-8.0918323187444095E-3</v>
      </c>
      <c r="E15">
        <v>-7.8901872315366491E-3</v>
      </c>
      <c r="F15">
        <v>-7.9924026161624535E-3</v>
      </c>
      <c r="G15">
        <v>-7.7221160562584304E-3</v>
      </c>
      <c r="H15">
        <v>-8.0439724464347676E-3</v>
      </c>
      <c r="I15">
        <v>-7.9220280188313473E-3</v>
      </c>
      <c r="J15">
        <v>-7.9683038274296729E-3</v>
      </c>
      <c r="K15">
        <v>-7.7062826331633074E-3</v>
      </c>
      <c r="L15">
        <v>-8.1619352430009097E-3</v>
      </c>
      <c r="M15">
        <v>-8.2567635779606015E-3</v>
      </c>
      <c r="N15">
        <v>-8.1725882902041885E-3</v>
      </c>
      <c r="O15">
        <v>-8.100300456694175E-3</v>
      </c>
      <c r="P15">
        <v>-7.8717807227825769E-3</v>
      </c>
      <c r="Q15">
        <v>-7.8972049689441E-3</v>
      </c>
      <c r="R15">
        <v>-7.8006248064469881E-3</v>
      </c>
      <c r="S15">
        <v>-7.9002360478840003E-3</v>
      </c>
      <c r="T15">
        <v>-7.8040066111934349E-3</v>
      </c>
      <c r="U15">
        <v>-7.8185339345589102E-3</v>
      </c>
    </row>
    <row r="16" spans="1:24">
      <c r="A16" t="s">
        <v>13</v>
      </c>
      <c r="B16">
        <v>-1.2615192006177896E-2</v>
      </c>
      <c r="C16">
        <v>-1.2376650661338261E-2</v>
      </c>
      <c r="D16">
        <v>-1.1768631760628902E-2</v>
      </c>
      <c r="E16">
        <v>-1.1098385407913646E-2</v>
      </c>
      <c r="F16">
        <v>-1.0588800688314847E-2</v>
      </c>
      <c r="G16">
        <v>-1.0252156268461201E-2</v>
      </c>
      <c r="H16">
        <v>-1.0596913537719601E-2</v>
      </c>
      <c r="I16">
        <v>-1.0222640942061004E-2</v>
      </c>
      <c r="J16">
        <v>-1.0229969485103591E-2</v>
      </c>
      <c r="K16">
        <v>-1.0184903289754608E-2</v>
      </c>
      <c r="L16">
        <v>-1.0495294276275871E-2</v>
      </c>
      <c r="M16">
        <v>-1.1079659630175095E-2</v>
      </c>
      <c r="N16">
        <v>-1.1218451355517273E-2</v>
      </c>
      <c r="O16">
        <v>-1.1285685566265179E-2</v>
      </c>
      <c r="P16">
        <v>-1.0973412190168085E-2</v>
      </c>
      <c r="Q16">
        <v>-1.0568649124139606E-2</v>
      </c>
      <c r="R16">
        <v>-9.9216173241859339E-3</v>
      </c>
      <c r="S16">
        <v>-1.0212066326214188E-2</v>
      </c>
      <c r="T16">
        <v>-1.0629509405107816E-2</v>
      </c>
      <c r="U16">
        <v>-1.0854878603195521E-2</v>
      </c>
    </row>
    <row r="17" spans="1:21">
      <c r="A17" t="s">
        <v>14</v>
      </c>
      <c r="B17">
        <v>-1.2605670571969147E-2</v>
      </c>
      <c r="C17">
        <v>-1.2414551017141794E-2</v>
      </c>
      <c r="D17">
        <v>-1.156703335537039E-2</v>
      </c>
      <c r="E17">
        <v>-1.1069843257556413E-2</v>
      </c>
      <c r="F17">
        <v>-1.1333669272834935E-2</v>
      </c>
      <c r="G17">
        <v>-1.0362297318513373E-2</v>
      </c>
      <c r="H17">
        <v>-1.0364423751841302E-2</v>
      </c>
      <c r="I17">
        <v>-1.0450235893564823E-2</v>
      </c>
      <c r="J17">
        <v>-1.0487427179830007E-2</v>
      </c>
      <c r="K17">
        <v>-1.0547661168635203E-2</v>
      </c>
      <c r="L17">
        <v>-1.0863439452543887E-2</v>
      </c>
      <c r="M17">
        <v>-1.0615238974832603E-2</v>
      </c>
      <c r="N17">
        <v>-1.0523028711781146E-2</v>
      </c>
      <c r="O17">
        <v>-1.0425199009375554E-2</v>
      </c>
      <c r="P17">
        <v>-1.029475717450164E-2</v>
      </c>
      <c r="Q17">
        <v>-1.04701203459527E-2</v>
      </c>
      <c r="R17">
        <v>-1.0370025579361609E-2</v>
      </c>
      <c r="S17">
        <v>-1.092656230071413E-2</v>
      </c>
      <c r="T17">
        <v>-1.1202071796159157E-2</v>
      </c>
      <c r="U17">
        <v>-1.1312598210812914E-2</v>
      </c>
    </row>
    <row r="18" spans="1:21">
      <c r="A18" t="s">
        <v>15</v>
      </c>
      <c r="B18">
        <v>-1.3042843168066148E-2</v>
      </c>
      <c r="C18">
        <v>-1.3073383532692336E-2</v>
      </c>
      <c r="D18">
        <v>-1.2523815253970276E-2</v>
      </c>
      <c r="E18">
        <v>-1.1978212989365241E-2</v>
      </c>
      <c r="F18">
        <v>-1.2084749255782002E-2</v>
      </c>
      <c r="G18">
        <v>-1.172335914951932E-2</v>
      </c>
      <c r="H18">
        <v>-1.1936652887051607E-2</v>
      </c>
      <c r="I18">
        <v>-1.2041396750962987E-2</v>
      </c>
      <c r="J18">
        <v>-1.2223733641648266E-2</v>
      </c>
      <c r="K18">
        <v>-1.1831127389013782E-2</v>
      </c>
      <c r="L18">
        <v>-1.2071081615362892E-2</v>
      </c>
      <c r="M18">
        <v>-1.2296074957044673E-2</v>
      </c>
      <c r="N18">
        <v>-1.2244986838956688E-2</v>
      </c>
      <c r="O18">
        <v>-1.2120517469837506E-2</v>
      </c>
      <c r="P18">
        <v>-1.162757492773467E-2</v>
      </c>
      <c r="Q18">
        <v>-1.1496192420342593E-2</v>
      </c>
      <c r="R18">
        <v>-1.1385659794750704E-2</v>
      </c>
      <c r="S18">
        <v>-1.1912045035426574E-2</v>
      </c>
      <c r="T18">
        <v>-1.2285650402464474E-2</v>
      </c>
      <c r="U18">
        <v>-1.2083514486965966E-2</v>
      </c>
    </row>
    <row r="19" spans="1:21">
      <c r="A19" t="s">
        <v>16</v>
      </c>
      <c r="B19">
        <v>-1.2764062675458798E-2</v>
      </c>
      <c r="C19">
        <v>-1.2616011466336568E-2</v>
      </c>
      <c r="D19">
        <v>-1.1674597012906242E-2</v>
      </c>
      <c r="E19">
        <v>-1.0823735100463925E-2</v>
      </c>
      <c r="F19">
        <v>-1.0457724477651415E-2</v>
      </c>
      <c r="G19">
        <v>-9.6510379462098426E-3</v>
      </c>
      <c r="H19">
        <v>-9.8251787440841714E-3</v>
      </c>
      <c r="I19">
        <v>-9.3169412884601243E-3</v>
      </c>
      <c r="J19">
        <v>-9.1819882049682128E-3</v>
      </c>
      <c r="K19">
        <v>-8.7833149386589912E-3</v>
      </c>
      <c r="L19">
        <v>-9.267519382300483E-3</v>
      </c>
      <c r="M19">
        <v>-9.4465428758530989E-3</v>
      </c>
      <c r="N19">
        <v>-8.7863414634146344E-3</v>
      </c>
      <c r="O19">
        <v>-9.1400359874044077E-3</v>
      </c>
      <c r="P19">
        <v>-9.1295668029616542E-3</v>
      </c>
      <c r="Q19">
        <v>-9.4145443963008467E-3</v>
      </c>
      <c r="R19">
        <v>-9.2009209100758389E-3</v>
      </c>
      <c r="S19">
        <v>-9.260815694372742E-3</v>
      </c>
      <c r="T19">
        <v>-9.6707111588337329E-3</v>
      </c>
      <c r="U19">
        <v>-9.7126443564022596E-3</v>
      </c>
    </row>
    <row r="20" spans="1:21">
      <c r="A20" t="s">
        <v>17</v>
      </c>
      <c r="B20">
        <v>-1.2414541274604054E-2</v>
      </c>
      <c r="C20">
        <v>-1.2383895579696515E-2</v>
      </c>
      <c r="D20">
        <v>-1.1483068233570841E-2</v>
      </c>
      <c r="E20">
        <v>-1.0812323834640303E-2</v>
      </c>
      <c r="F20">
        <v>-1.0718960948674028E-2</v>
      </c>
      <c r="G20">
        <v>-9.8005210230721913E-3</v>
      </c>
      <c r="H20">
        <v>-9.890770137056323E-3</v>
      </c>
      <c r="I20">
        <v>-9.8533630287811098E-3</v>
      </c>
      <c r="J20">
        <v>-9.4079355210795433E-3</v>
      </c>
      <c r="K20">
        <v>-9.0945270718050999E-3</v>
      </c>
      <c r="L20">
        <v>-9.7359039569555675E-3</v>
      </c>
      <c r="M20">
        <v>-9.993267081535015E-3</v>
      </c>
      <c r="N20">
        <v>-9.4658375971195755E-3</v>
      </c>
      <c r="O20">
        <v>-9.6501845018450178E-3</v>
      </c>
      <c r="P20">
        <v>-9.678728961114335E-3</v>
      </c>
      <c r="Q20">
        <v>-9.7245431789737165E-3</v>
      </c>
      <c r="R20">
        <v>-9.555522614975295E-3</v>
      </c>
      <c r="S20">
        <v>-9.931061946902655E-3</v>
      </c>
      <c r="T20">
        <v>-1.0138103217158178E-2</v>
      </c>
      <c r="U20">
        <v>-1.0299295209206888E-2</v>
      </c>
    </row>
    <row r="21" spans="1:21">
      <c r="A21" t="s">
        <v>18</v>
      </c>
      <c r="B21">
        <v>-1.2463701117184273E-2</v>
      </c>
      <c r="C21">
        <v>-1.2438204617345185E-2</v>
      </c>
      <c r="D21">
        <v>-1.1518227632804091E-2</v>
      </c>
      <c r="E21">
        <v>-1.0717514759307555E-2</v>
      </c>
      <c r="F21">
        <v>-1.0584276993163664E-2</v>
      </c>
      <c r="G21">
        <v>-9.8581965702477532E-3</v>
      </c>
      <c r="H21">
        <v>-1.0166541655859344E-2</v>
      </c>
      <c r="I21">
        <v>-9.7381078244933531E-3</v>
      </c>
      <c r="J21">
        <v>-9.7945624784857681E-3</v>
      </c>
      <c r="K21">
        <v>-9.2137800760649716E-3</v>
      </c>
      <c r="L21">
        <v>-9.9079399661633899E-3</v>
      </c>
      <c r="M21">
        <v>-9.9843810769245384E-3</v>
      </c>
      <c r="N21">
        <v>-9.5652481260081607E-3</v>
      </c>
      <c r="O21">
        <v>-9.6104104055437338E-3</v>
      </c>
      <c r="P21">
        <v>-9.8780820328363411E-3</v>
      </c>
      <c r="Q21">
        <v>-1.0033433794142699E-2</v>
      </c>
      <c r="R21">
        <v>-9.6795667365478667E-3</v>
      </c>
      <c r="S21">
        <v>-9.8480372381691238E-3</v>
      </c>
      <c r="T21">
        <v>-9.9250880724710607E-3</v>
      </c>
      <c r="U21">
        <v>-1.0019561227165456E-2</v>
      </c>
    </row>
    <row r="22" spans="1:21">
      <c r="A22" t="s">
        <v>19</v>
      </c>
      <c r="B22">
        <v>-1.2405385168078332E-2</v>
      </c>
      <c r="C22">
        <v>-1.2356500085762374E-2</v>
      </c>
      <c r="D22">
        <v>-1.1284030065192073E-2</v>
      </c>
      <c r="E22">
        <v>-1.048011053878257E-2</v>
      </c>
      <c r="F22">
        <v>-1.039376066374053E-2</v>
      </c>
      <c r="G22">
        <v>-9.5902702631127882E-3</v>
      </c>
      <c r="H22">
        <v>-9.6369515862612283E-3</v>
      </c>
      <c r="I22">
        <v>-9.4608739815850249E-3</v>
      </c>
      <c r="J22">
        <v>-9.2913071412418034E-3</v>
      </c>
      <c r="K22">
        <v>-8.9567311368725123E-3</v>
      </c>
      <c r="L22">
        <v>-9.7689090076994774E-3</v>
      </c>
      <c r="M22">
        <v>-9.8390265493930283E-3</v>
      </c>
      <c r="N22">
        <v>-9.3614632564173843E-3</v>
      </c>
      <c r="O22">
        <v>-9.3157579790138223E-3</v>
      </c>
      <c r="P22">
        <v>-9.4193640158715432E-3</v>
      </c>
      <c r="Q22">
        <v>-9.3765375996015931E-3</v>
      </c>
      <c r="R22">
        <v>-9.0701110670368904E-3</v>
      </c>
      <c r="S22">
        <v>-9.5222043912758028E-3</v>
      </c>
      <c r="T22">
        <v>-9.9130039312418095E-3</v>
      </c>
      <c r="U22">
        <v>-9.9555494462336032E-3</v>
      </c>
    </row>
    <row r="23" spans="1:21">
      <c r="A23" t="s">
        <v>20</v>
      </c>
      <c r="B23">
        <v>-1.2451220117097438E-2</v>
      </c>
      <c r="C23">
        <v>-1.2434854309876456E-2</v>
      </c>
      <c r="D23">
        <v>-1.1502680017592182E-2</v>
      </c>
      <c r="E23">
        <v>-1.0891349912380536E-2</v>
      </c>
      <c r="F23">
        <v>-1.0696509452513919E-2</v>
      </c>
      <c r="G23">
        <v>-9.8057503228089725E-3</v>
      </c>
      <c r="H23">
        <v>-1.005472101050252E-2</v>
      </c>
      <c r="I23">
        <v>-9.7413909530917851E-3</v>
      </c>
      <c r="J23">
        <v>-9.5618767073540976E-3</v>
      </c>
      <c r="K23">
        <v>-9.1988083404504102E-3</v>
      </c>
      <c r="L23">
        <v>-9.8196653146464356E-3</v>
      </c>
      <c r="M23">
        <v>-9.8740396566537915E-3</v>
      </c>
      <c r="N23">
        <v>-9.5406348116169534E-3</v>
      </c>
      <c r="O23">
        <v>-9.3100042899201332E-3</v>
      </c>
      <c r="P23">
        <v>-9.3859023073957822E-3</v>
      </c>
      <c r="Q23">
        <v>-1.0001031751314652E-2</v>
      </c>
      <c r="R23">
        <v>-9.8168189185207019E-3</v>
      </c>
      <c r="S23">
        <v>-1.0194242424242425E-2</v>
      </c>
      <c r="T23">
        <v>-1.0137345653086939E-2</v>
      </c>
      <c r="U23">
        <v>-1.0138678815489749E-2</v>
      </c>
    </row>
    <row r="24" spans="1:21">
      <c r="A24" t="s">
        <v>21</v>
      </c>
      <c r="B24">
        <v>-1.2319549080263959E-2</v>
      </c>
      <c r="C24">
        <v>-1.2243436692417306E-2</v>
      </c>
      <c r="D24">
        <v>-1.1209833833833832E-2</v>
      </c>
      <c r="E24">
        <v>-1.0253791362138436E-2</v>
      </c>
      <c r="F24">
        <v>-1.0175477926752965E-2</v>
      </c>
      <c r="G24">
        <v>-9.3571591458295744E-3</v>
      </c>
      <c r="H24">
        <v>-9.2897132454555602E-3</v>
      </c>
      <c r="I24">
        <v>-9.447159068406116E-3</v>
      </c>
      <c r="J24">
        <v>-9.1001507671514513E-3</v>
      </c>
      <c r="K24">
        <v>-9.0403823176515279E-3</v>
      </c>
      <c r="L24">
        <v>-9.7918216732855879E-3</v>
      </c>
      <c r="M24">
        <v>-1.0107855409146174E-2</v>
      </c>
      <c r="N24">
        <v>-9.654766207887298E-3</v>
      </c>
      <c r="O24">
        <v>-9.4290713295254267E-3</v>
      </c>
      <c r="P24">
        <v>-9.215998895137769E-3</v>
      </c>
      <c r="Q24">
        <v>-9.4871048000485479E-3</v>
      </c>
      <c r="R24">
        <v>-9.208611092921223E-3</v>
      </c>
      <c r="S24">
        <v>-9.3801784748512706E-3</v>
      </c>
      <c r="T24">
        <v>-9.7976445861719091E-3</v>
      </c>
      <c r="U24">
        <v>-9.7988580750407832E-3</v>
      </c>
    </row>
    <row r="25" spans="1:21">
      <c r="A25" t="s">
        <v>34</v>
      </c>
      <c r="B25">
        <v>-1.2304643564568327E-2</v>
      </c>
      <c r="C25">
        <v>-1.2270419187554019E-2</v>
      </c>
      <c r="D25">
        <v>-1.1303463884658856E-2</v>
      </c>
      <c r="E25">
        <v>-1.0487571848407236E-2</v>
      </c>
      <c r="F25">
        <v>-1.034715731418563E-2</v>
      </c>
      <c r="G25">
        <v>-9.4845297202463246E-3</v>
      </c>
      <c r="H25">
        <v>-9.6532449420191277E-3</v>
      </c>
      <c r="I25">
        <v>-9.4562908633577265E-3</v>
      </c>
      <c r="J25">
        <v>-9.152753871588766E-3</v>
      </c>
      <c r="K25">
        <v>-8.8247037341379359E-3</v>
      </c>
      <c r="L25">
        <v>-9.5287755677821769E-3</v>
      </c>
      <c r="M25">
        <v>-9.8860229425841543E-3</v>
      </c>
      <c r="N25">
        <v>-9.1794895591647344E-3</v>
      </c>
      <c r="O25">
        <v>-9.3035540820264936E-3</v>
      </c>
      <c r="P25">
        <v>-9.3943872296601439E-3</v>
      </c>
      <c r="Q25">
        <v>-9.5216110150325925E-3</v>
      </c>
      <c r="R25">
        <v>-9.3856324649018649E-3</v>
      </c>
      <c r="S25">
        <v>-9.8461000621504029E-3</v>
      </c>
      <c r="T25">
        <v>-1.0065523778125774E-2</v>
      </c>
      <c r="U25">
        <v>-9.9779849007363228E-3</v>
      </c>
    </row>
    <row r="26" spans="1:21">
      <c r="A26" t="s">
        <v>22</v>
      </c>
      <c r="B26">
        <v>-1.2781364729712622E-2</v>
      </c>
      <c r="C26">
        <v>-1.2941329998165697E-2</v>
      </c>
      <c r="D26">
        <v>-1.229935882965051E-2</v>
      </c>
      <c r="E26">
        <v>-1.1622192814921528E-2</v>
      </c>
      <c r="F26">
        <v>-1.1669628008406256E-2</v>
      </c>
      <c r="G26">
        <v>-1.0801913543092052E-2</v>
      </c>
      <c r="H26">
        <v>-1.1189772765190696E-2</v>
      </c>
      <c r="I26">
        <v>-1.0544753464693128E-2</v>
      </c>
      <c r="J26">
        <v>-1.0557517786561265E-2</v>
      </c>
      <c r="K26">
        <v>-9.7028312939338706E-3</v>
      </c>
      <c r="L26">
        <v>-1.00123279517893E-2</v>
      </c>
      <c r="M26">
        <v>-1.0319306594153636E-2</v>
      </c>
      <c r="N26">
        <v>-1.0045724544747411E-2</v>
      </c>
      <c r="O26">
        <v>-9.8514015748031487E-3</v>
      </c>
      <c r="P26">
        <v>-9.2406427519250121E-3</v>
      </c>
      <c r="Q26">
        <v>-9.3840476883406462E-3</v>
      </c>
      <c r="R26">
        <v>-8.9279410561941518E-3</v>
      </c>
      <c r="S26">
        <v>-8.6356196119093467E-3</v>
      </c>
      <c r="T26">
        <v>-9.0222272255029885E-3</v>
      </c>
      <c r="U26">
        <v>-9.1318698503223879E-3</v>
      </c>
    </row>
    <row r="27" spans="1:21">
      <c r="A27" t="s">
        <v>23</v>
      </c>
      <c r="B27">
        <v>-1.2679215317090875E-2</v>
      </c>
      <c r="C27">
        <v>-1.2692944219851694E-2</v>
      </c>
      <c r="D27">
        <v>-1.1871885440684217E-2</v>
      </c>
      <c r="E27">
        <v>-1.1173151909549543E-2</v>
      </c>
      <c r="F27">
        <v>-1.1196224734116597E-2</v>
      </c>
      <c r="G27">
        <v>-1.056831562502043E-2</v>
      </c>
      <c r="H27">
        <v>-1.0765393646682218E-2</v>
      </c>
      <c r="I27">
        <v>-1.0415914533960383E-2</v>
      </c>
      <c r="J27">
        <v>-1.0224864122244832E-2</v>
      </c>
      <c r="K27">
        <v>-9.8568816336537593E-3</v>
      </c>
      <c r="L27">
        <v>-1.034600695135518E-2</v>
      </c>
      <c r="M27">
        <v>-1.0105271059821688E-2</v>
      </c>
      <c r="N27">
        <v>-9.4717282450930661E-3</v>
      </c>
      <c r="O27">
        <v>-9.6210982352251846E-3</v>
      </c>
      <c r="P27">
        <v>-9.7801033519199464E-3</v>
      </c>
      <c r="Q27">
        <v>-9.8834060627218234E-3</v>
      </c>
      <c r="R27">
        <v>-9.8514815499291565E-3</v>
      </c>
      <c r="S27">
        <v>-9.5691056333025507E-3</v>
      </c>
      <c r="T27">
        <v>-9.7772388884794E-3</v>
      </c>
      <c r="U27">
        <v>-9.7702653465346536E-3</v>
      </c>
    </row>
    <row r="28" spans="1:21">
      <c r="A28" t="s">
        <v>24</v>
      </c>
      <c r="B28">
        <v>-1.2713402968556055E-2</v>
      </c>
      <c r="C28">
        <v>-1.2755671683406042E-2</v>
      </c>
      <c r="D28">
        <v>-1.1921125404193525E-2</v>
      </c>
      <c r="E28">
        <v>-1.1199190734442078E-2</v>
      </c>
      <c r="F28">
        <v>-1.1072023716446347E-2</v>
      </c>
      <c r="G28">
        <v>-1.0461027491304974E-2</v>
      </c>
      <c r="H28">
        <v>-1.0401544637943445E-2</v>
      </c>
      <c r="I28">
        <v>-1.0474530687199153E-2</v>
      </c>
      <c r="J28">
        <v>-1.0292249537001801E-2</v>
      </c>
      <c r="K28">
        <v>-9.6146051947474265E-3</v>
      </c>
      <c r="L28">
        <v>-9.7671324686016518E-3</v>
      </c>
      <c r="M28">
        <v>-9.7273457638769548E-3</v>
      </c>
      <c r="N28">
        <v>-9.1820156546464499E-3</v>
      </c>
      <c r="O28">
        <v>-9.1521119771767936E-3</v>
      </c>
      <c r="P28">
        <v>-9.1708130931757535E-3</v>
      </c>
      <c r="Q28">
        <v>-9.2327807626785482E-3</v>
      </c>
      <c r="R28">
        <v>-9.2408063139931725E-3</v>
      </c>
      <c r="S28">
        <v>-9.4121711758974741E-3</v>
      </c>
      <c r="T28">
        <v>-9.72587380497132E-3</v>
      </c>
      <c r="U28">
        <v>-9.7244187963726296E-3</v>
      </c>
    </row>
    <row r="29" spans="1:21">
      <c r="A29" t="s">
        <v>25</v>
      </c>
      <c r="B29">
        <v>-1.2565180663692371E-2</v>
      </c>
      <c r="C29">
        <v>-1.2681673529856944E-2</v>
      </c>
      <c r="D29">
        <v>-1.2559528908982348E-2</v>
      </c>
      <c r="E29">
        <v>-1.2448004547077281E-2</v>
      </c>
      <c r="F29">
        <v>-1.3081966184143423E-2</v>
      </c>
      <c r="G29">
        <v>-1.3201859569877452E-2</v>
      </c>
      <c r="H29">
        <v>-1.4200452395894295E-2</v>
      </c>
      <c r="I29">
        <v>-1.4722528850781843E-2</v>
      </c>
      <c r="J29">
        <v>-1.4974240992464442E-2</v>
      </c>
      <c r="K29">
        <v>-1.5754536394762545E-2</v>
      </c>
      <c r="L29">
        <v>-1.4931341115374327E-2</v>
      </c>
      <c r="M29">
        <v>-1.5023831169772755E-2</v>
      </c>
      <c r="N29">
        <v>-1.5339713801356203E-2</v>
      </c>
      <c r="O29">
        <v>-1.5291582472788166E-2</v>
      </c>
      <c r="P29">
        <v>-1.4954278800755429E-2</v>
      </c>
      <c r="Q29">
        <v>-1.4956853146853145E-2</v>
      </c>
      <c r="R29">
        <v>-1.4427332782824114E-2</v>
      </c>
      <c r="S29">
        <v>-1.436923076923077E-2</v>
      </c>
      <c r="T29">
        <v>-1.4662357283887031E-2</v>
      </c>
      <c r="U29">
        <v>-1.462680903803985E-2</v>
      </c>
    </row>
    <row r="30" spans="1:21">
      <c r="A30" t="s">
        <v>26</v>
      </c>
      <c r="B30">
        <v>-1.0929068448567869E-2</v>
      </c>
      <c r="C30">
        <v>-1.0688566875566836E-2</v>
      </c>
      <c r="D30">
        <v>-9.5772122512974341E-3</v>
      </c>
      <c r="E30">
        <v>-9.0433952298922538E-3</v>
      </c>
      <c r="F30">
        <v>-8.7841531881570484E-3</v>
      </c>
      <c r="G30">
        <v>-7.8805239531217867E-3</v>
      </c>
      <c r="H30">
        <v>-7.5909606081141674E-3</v>
      </c>
      <c r="I30">
        <v>-7.5452872605863072E-3</v>
      </c>
      <c r="J30">
        <v>-7.3228412040444741E-3</v>
      </c>
      <c r="K30">
        <v>-7.0400557181981302E-3</v>
      </c>
      <c r="L30">
        <v>-7.9459993540754396E-3</v>
      </c>
      <c r="M30">
        <v>-8.1884734782021861E-3</v>
      </c>
      <c r="N30">
        <v>-7.5369548417407364E-3</v>
      </c>
      <c r="O30">
        <v>-7.4789018483655658E-3</v>
      </c>
      <c r="P30">
        <v>-7.4736428571428575E-3</v>
      </c>
      <c r="Q30">
        <v>-7.5883801421279158E-3</v>
      </c>
      <c r="R30">
        <v>-7.5368450010264831E-3</v>
      </c>
      <c r="S30">
        <v>-7.8015545678933318E-3</v>
      </c>
      <c r="T30">
        <v>-8.171667129025709E-3</v>
      </c>
      <c r="U30">
        <v>-8.1883215608018999E-3</v>
      </c>
    </row>
    <row r="31" spans="1:21">
      <c r="A31" t="s">
        <v>27</v>
      </c>
      <c r="B31">
        <v>-1.1651529039663872E-2</v>
      </c>
      <c r="C31">
        <v>-1.2238958678384643E-2</v>
      </c>
      <c r="D31">
        <v>-1.2395426717932432E-2</v>
      </c>
      <c r="E31">
        <v>-1.233946006665395E-2</v>
      </c>
      <c r="F31">
        <v>-1.2563762764328853E-2</v>
      </c>
      <c r="G31">
        <v>-1.2041662201342205E-2</v>
      </c>
      <c r="H31">
        <v>-1.2523128934208075E-2</v>
      </c>
      <c r="I31">
        <v>-1.2407644788396227E-2</v>
      </c>
      <c r="J31">
        <v>-1.2351363675833298E-2</v>
      </c>
      <c r="K31">
        <v>-1.2113753201470333E-2</v>
      </c>
      <c r="L31">
        <v>-1.2390477290095644E-2</v>
      </c>
      <c r="M31">
        <v>-1.2519543167099748E-2</v>
      </c>
      <c r="N31">
        <v>-1.2409159141928805E-2</v>
      </c>
      <c r="O31">
        <v>-1.2671533733161443E-2</v>
      </c>
      <c r="P31">
        <v>-1.2522084038785892E-2</v>
      </c>
      <c r="Q31">
        <v>-1.2751658637590563E-2</v>
      </c>
      <c r="R31">
        <v>-1.2317781475197182E-2</v>
      </c>
      <c r="S31">
        <v>-1.2424120230783845E-2</v>
      </c>
      <c r="T31">
        <v>-1.2456276956030916E-2</v>
      </c>
      <c r="U31">
        <v>-1.2807022704923635E-2</v>
      </c>
    </row>
    <row r="32" spans="1:21">
      <c r="A32" t="s">
        <v>28</v>
      </c>
      <c r="B32">
        <v>-1.1416338336572903E-2</v>
      </c>
      <c r="C32">
        <v>-1.1313844167912059E-2</v>
      </c>
      <c r="D32">
        <v>-9.9357910062890572E-3</v>
      </c>
      <c r="E32">
        <v>-8.6513065113934026E-3</v>
      </c>
      <c r="F32">
        <v>-8.5298569094201301E-3</v>
      </c>
      <c r="G32">
        <v>-8.218002679650992E-3</v>
      </c>
      <c r="H32">
        <v>-8.048159775888717E-3</v>
      </c>
      <c r="I32">
        <v>-7.7863195473528218E-3</v>
      </c>
      <c r="J32">
        <v>-7.406970662196144E-3</v>
      </c>
      <c r="K32">
        <v>-6.619347993855002E-3</v>
      </c>
      <c r="L32">
        <v>-6.6629272659623779E-3</v>
      </c>
      <c r="M32">
        <v>-6.9209255894858903E-3</v>
      </c>
      <c r="N32">
        <v>-6.0495726261666953E-3</v>
      </c>
      <c r="O32">
        <v>-6.5970556411298949E-3</v>
      </c>
      <c r="P32">
        <v>-6.360074726134585E-3</v>
      </c>
      <c r="Q32">
        <v>-7.0562967269595179E-3</v>
      </c>
      <c r="R32">
        <v>-7.0328865598027115E-3</v>
      </c>
      <c r="S32">
        <v>-7.2954508956145766E-3</v>
      </c>
      <c r="T32">
        <v>-7.6389116738727614E-3</v>
      </c>
      <c r="U32">
        <v>-7.6389121670266376E-3</v>
      </c>
    </row>
    <row r="33" spans="1:21">
      <c r="A33" t="s">
        <v>29</v>
      </c>
      <c r="B33">
        <v>-1.1458450368254202E-2</v>
      </c>
      <c r="C33">
        <v>-1.1012635390763562E-2</v>
      </c>
      <c r="D33">
        <v>-1.0114131737720331E-2</v>
      </c>
      <c r="E33">
        <v>-9.4153146746246454E-3</v>
      </c>
      <c r="F33">
        <v>-9.5699699380435519E-3</v>
      </c>
      <c r="G33">
        <v>-9.2289215244616644E-3</v>
      </c>
      <c r="H33">
        <v>-9.6522974087158622E-3</v>
      </c>
      <c r="I33">
        <v>-9.4185769616984653E-3</v>
      </c>
      <c r="J33">
        <v>-9.2220824636600838E-3</v>
      </c>
      <c r="K33">
        <v>-9.4561575477083281E-3</v>
      </c>
      <c r="L33">
        <v>-1.0677114297793593E-2</v>
      </c>
      <c r="M33">
        <v>-1.0561789741067206E-2</v>
      </c>
      <c r="N33">
        <v>-1.0189578002244669E-2</v>
      </c>
      <c r="O33">
        <v>-1.1031349482013524E-2</v>
      </c>
      <c r="P33">
        <v>-1.150315909090909E-2</v>
      </c>
      <c r="Q33">
        <v>-1.0491031189083821E-2</v>
      </c>
      <c r="R33">
        <v>-1.0597066179630426E-2</v>
      </c>
      <c r="S33">
        <v>-1.0869906626506025E-2</v>
      </c>
      <c r="T33">
        <v>-1.1119551635111876E-2</v>
      </c>
      <c r="U33">
        <v>-1.1117325441239776E-2</v>
      </c>
    </row>
    <row r="34" spans="1:21">
      <c r="A34" t="s">
        <v>30</v>
      </c>
      <c r="B34">
        <v>-1.147271890164423E-2</v>
      </c>
      <c r="C34">
        <v>-1.1016161113167553E-2</v>
      </c>
      <c r="D34">
        <v>-1.0106312833443024E-2</v>
      </c>
      <c r="E34">
        <v>-9.3739252598111986E-3</v>
      </c>
      <c r="F34">
        <v>-9.7898994877949463E-3</v>
      </c>
      <c r="G34">
        <v>-9.4271858514670247E-3</v>
      </c>
      <c r="H34">
        <v>-9.6456547310967856E-3</v>
      </c>
      <c r="I34">
        <v>-9.8145348016377247E-3</v>
      </c>
      <c r="J34">
        <v>-9.5980857366311477E-3</v>
      </c>
      <c r="K34">
        <v>-9.6525938025799219E-3</v>
      </c>
      <c r="L34">
        <v>-9.2037361250250464E-3</v>
      </c>
      <c r="M34">
        <v>-9.6949747191011227E-3</v>
      </c>
      <c r="N34">
        <v>-9.8363671616355612E-3</v>
      </c>
      <c r="O34">
        <v>-9.6551714507370056E-3</v>
      </c>
      <c r="P34">
        <v>-9.5303374854028809E-3</v>
      </c>
      <c r="Q34">
        <v>-9.8995765109301317E-3</v>
      </c>
      <c r="R34">
        <v>-1.0015074391988555E-2</v>
      </c>
      <c r="S34">
        <v>-9.5594796137339049E-3</v>
      </c>
      <c r="T34">
        <v>-1.0150078995713411E-2</v>
      </c>
      <c r="U34">
        <v>-1.0150078995713411E-2</v>
      </c>
    </row>
    <row r="35" spans="1:21">
      <c r="A35" t="s">
        <v>31</v>
      </c>
      <c r="B35">
        <v>-1.0339213825223653E-2</v>
      </c>
      <c r="C35">
        <v>-1.0364563684032073E-2</v>
      </c>
      <c r="D35">
        <v>-1.0238956626649122E-2</v>
      </c>
      <c r="E35">
        <v>-9.9146136912066224E-3</v>
      </c>
      <c r="F35">
        <v>-9.8608603276534937E-3</v>
      </c>
      <c r="G35">
        <v>-9.3029670938372579E-3</v>
      </c>
      <c r="H35">
        <v>-9.3118060832774689E-3</v>
      </c>
      <c r="I35">
        <v>-9.1554511046536662E-3</v>
      </c>
      <c r="J35">
        <v>-8.966196936381279E-3</v>
      </c>
      <c r="K35">
        <v>-8.3551910106464591E-3</v>
      </c>
      <c r="L35">
        <v>-8.7468701165675945E-3</v>
      </c>
      <c r="M35">
        <v>-8.7061155321531535E-3</v>
      </c>
      <c r="N35">
        <v>-8.3420584356577489E-3</v>
      </c>
      <c r="O35">
        <v>-8.1113853041147373E-3</v>
      </c>
      <c r="P35">
        <v>-7.919375210704814E-3</v>
      </c>
      <c r="Q35">
        <v>-7.8903507716159109E-3</v>
      </c>
      <c r="R35">
        <v>-7.7311612789461442E-3</v>
      </c>
      <c r="S35">
        <v>-7.7692553676471637E-3</v>
      </c>
      <c r="T35">
        <v>-7.7281673891137232E-3</v>
      </c>
      <c r="U35">
        <v>-7.5907502452465976E-3</v>
      </c>
    </row>
    <row r="36" spans="1:21">
      <c r="A36" t="s">
        <v>32</v>
      </c>
      <c r="B36">
        <v>-1.1378784052035757E-2</v>
      </c>
      <c r="C36">
        <v>-1.1702787187622124E-2</v>
      </c>
      <c r="D36">
        <v>-1.175547625857808E-2</v>
      </c>
      <c r="E36">
        <v>-1.1415786291918252E-2</v>
      </c>
      <c r="F36">
        <v>-1.1538137757786449E-2</v>
      </c>
      <c r="G36">
        <v>-1.099813038389778E-2</v>
      </c>
      <c r="H36">
        <v>-1.1111628452731889E-2</v>
      </c>
      <c r="I36">
        <v>-1.0841734478312345E-2</v>
      </c>
      <c r="J36">
        <v>-1.0632282579187999E-2</v>
      </c>
      <c r="K36">
        <v>-1.0278431642575043E-2</v>
      </c>
      <c r="L36">
        <v>-1.0383030708282023E-2</v>
      </c>
      <c r="M36">
        <v>-1.0522241131246786E-2</v>
      </c>
      <c r="N36">
        <v>-1.0437848839922012E-2</v>
      </c>
      <c r="O36">
        <v>-1.032936770492953E-2</v>
      </c>
      <c r="P36">
        <v>-1.0085376530331808E-2</v>
      </c>
      <c r="Q36">
        <v>-1.0138724567111167E-2</v>
      </c>
      <c r="R36">
        <v>-1.0053067149212667E-2</v>
      </c>
      <c r="S36">
        <v>-1.0076989769820971E-2</v>
      </c>
      <c r="T36">
        <v>-9.97013586093763E-3</v>
      </c>
      <c r="U36">
        <v>-9.9913351131821603E-3</v>
      </c>
    </row>
    <row r="37" spans="1:21">
      <c r="A37" t="s">
        <v>33</v>
      </c>
      <c r="B37">
        <v>-1.1336166723413078E-2</v>
      </c>
      <c r="C37">
        <v>-1.1463603569009063E-2</v>
      </c>
      <c r="D37">
        <v>-1.1250518358384488E-2</v>
      </c>
      <c r="E37">
        <v>-1.0903538248273177E-2</v>
      </c>
      <c r="F37">
        <v>-1.1120064691510024E-2</v>
      </c>
      <c r="G37">
        <v>-1.0876989320195365E-2</v>
      </c>
      <c r="H37">
        <v>-1.1491334785121762E-2</v>
      </c>
      <c r="I37">
        <v>-1.1575110032954144E-2</v>
      </c>
      <c r="J37">
        <v>-1.1832454696818069E-2</v>
      </c>
      <c r="K37">
        <v>-1.1908036791740828E-2</v>
      </c>
      <c r="L37">
        <v>-1.201686542150193E-2</v>
      </c>
      <c r="M37">
        <v>-1.2266308575343172E-2</v>
      </c>
      <c r="N37">
        <v>-1.2649842997529187E-2</v>
      </c>
      <c r="O37">
        <v>-1.2663753387975584E-2</v>
      </c>
      <c r="P37">
        <v>-1.2423826625806959E-2</v>
      </c>
      <c r="Q37">
        <v>-1.2589142858370076E-2</v>
      </c>
      <c r="R37">
        <v>-1.2428985980805392E-2</v>
      </c>
      <c r="S37">
        <v>-1.2661766901619322E-2</v>
      </c>
      <c r="T37">
        <v>-1.2872033029247762E-2</v>
      </c>
      <c r="U37">
        <v>-1.2961389510945186E-2</v>
      </c>
    </row>
  </sheetData>
  <phoneticPr fontId="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"AA_T_phi_ty_1.4A"</f>
        <v>AA_T_phi_ty_1.4A</v>
      </c>
      <c r="C1" s="1" t="str">
        <f>"AA_T_phi_ty_2A"</f>
        <v>AA_T_phi_ty_2A</v>
      </c>
      <c r="D1" s="1" t="str">
        <f>"AA_T_phi_ty_3A"</f>
        <v>AA_T_phi_ty_3A</v>
      </c>
      <c r="E1" s="1" t="str">
        <f>"AA_T_phi_ty_4A"</f>
        <v>AA_T_phi_ty_4A</v>
      </c>
      <c r="F1" s="1" t="str">
        <f>"AA_T_phi_ty_5A"</f>
        <v>AA_T_phi_ty_5A</v>
      </c>
      <c r="G1" s="1" t="str">
        <f>"AA_T_phi_ty_6A"</f>
        <v>AA_T_phi_ty_6A</v>
      </c>
      <c r="H1" s="1" t="str">
        <f>"AA_T_phi_ty_7A"</f>
        <v>AA_T_phi_ty_7A</v>
      </c>
      <c r="I1" s="1" t="str">
        <f>"AA_T_phi_ty_8A"</f>
        <v>AA_T_phi_ty_8A</v>
      </c>
      <c r="J1" s="1" t="str">
        <f>"AA_T_phi_ty_9A"</f>
        <v>AA_T_phi_ty_9A</v>
      </c>
      <c r="K1" s="1" t="str">
        <f>"AA_T_phi_ty_10A"</f>
        <v>AA_T_phi_ty_10A</v>
      </c>
      <c r="L1" s="1" t="str">
        <f>"AA_T_phi_ty_11A"</f>
        <v>AA_T_phi_ty_11A</v>
      </c>
      <c r="M1" s="1" t="str">
        <f>"AA_T_phi_ty_12A"</f>
        <v>AA_T_phi_ty_12A</v>
      </c>
      <c r="N1" s="1" t="str">
        <f>"AA_T_phi_ty_13A"</f>
        <v>AA_T_phi_ty_13A</v>
      </c>
      <c r="O1" s="1" t="str">
        <f>"AA_T_phi_ty_14A"</f>
        <v>AA_T_phi_ty_14A</v>
      </c>
      <c r="P1" s="1" t="str">
        <f>"AA_T_phi_ty_15A"</f>
        <v>AA_T_phi_ty_15A</v>
      </c>
      <c r="Q1" s="1" t="str">
        <f>"AA_T_phi_ty_16A"</f>
        <v>AA_T_phi_ty_16A</v>
      </c>
      <c r="R1" s="1" t="str">
        <f>"AA_T_phi_ty_17A"</f>
        <v>AA_T_phi_ty_17A</v>
      </c>
      <c r="S1" s="1" t="str">
        <f>"AA_T_phi_ty_18A"</f>
        <v>AA_T_phi_ty_18A</v>
      </c>
      <c r="T1" s="1" t="str">
        <f>"AA_T_phi_ty_19A"</f>
        <v>AA_T_phi_ty_19A</v>
      </c>
      <c r="U1" s="1" t="str">
        <f>"AA_T_phi_ty_20A"</f>
        <v>AA_T_phi_ty_20A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41.159370000000003</v>
      </c>
      <c r="C3">
        <v>29.024480000000001</v>
      </c>
      <c r="D3">
        <v>18.561720000000001</v>
      </c>
      <c r="E3">
        <v>13.12407</v>
      </c>
      <c r="F3">
        <v>10.01754</v>
      </c>
      <c r="G3">
        <v>8.1396519999999999</v>
      </c>
      <c r="H3">
        <v>6.9629539999999999</v>
      </c>
      <c r="I3">
        <v>6.1457660000000001</v>
      </c>
      <c r="J3">
        <v>5.4474629999999999</v>
      </c>
      <c r="K3">
        <v>4.7663000000000002</v>
      </c>
      <c r="L3">
        <v>4.6380350000000004</v>
      </c>
      <c r="M3">
        <v>4.282953</v>
      </c>
      <c r="N3">
        <v>3.9841890000000002</v>
      </c>
      <c r="O3">
        <v>3.6391119999999999</v>
      </c>
      <c r="P3">
        <v>3.376261</v>
      </c>
      <c r="Q3">
        <v>3.1789160000000001</v>
      </c>
      <c r="R3">
        <v>2.9069500000000001</v>
      </c>
      <c r="S3">
        <v>2.8683610000000002</v>
      </c>
      <c r="T3">
        <v>2.7519149999999999</v>
      </c>
      <c r="U3">
        <v>2.7006860000000001</v>
      </c>
    </row>
    <row r="4" spans="1:24">
      <c r="A4" t="s">
        <v>1</v>
      </c>
      <c r="B4">
        <v>48.649590000000003</v>
      </c>
      <c r="C4">
        <v>34.059489999999997</v>
      </c>
      <c r="D4">
        <v>20.94744</v>
      </c>
      <c r="E4">
        <v>14.4306</v>
      </c>
      <c r="F4">
        <v>10.77915</v>
      </c>
      <c r="G4">
        <v>8.4772169999999996</v>
      </c>
      <c r="H4">
        <v>7.2882619999999996</v>
      </c>
      <c r="I4">
        <v>6.2921709999999997</v>
      </c>
      <c r="J4">
        <v>5.5454540000000003</v>
      </c>
      <c r="K4">
        <v>4.8341079999999996</v>
      </c>
      <c r="L4">
        <v>4.6525860000000003</v>
      </c>
      <c r="M4">
        <v>4.1464150000000002</v>
      </c>
      <c r="N4">
        <v>3.7948710000000001</v>
      </c>
      <c r="O4">
        <v>3.507199</v>
      </c>
      <c r="P4">
        <v>3.2600280000000001</v>
      </c>
      <c r="Q4">
        <v>3.0997180000000002</v>
      </c>
      <c r="R4">
        <v>2.8584420000000001</v>
      </c>
      <c r="S4">
        <v>2.7034259999999999</v>
      </c>
      <c r="T4">
        <v>2.5772430000000002</v>
      </c>
      <c r="U4">
        <v>2.4829180000000002</v>
      </c>
    </row>
    <row r="5" spans="1:24">
      <c r="A5" t="s">
        <v>2</v>
      </c>
      <c r="B5">
        <v>94.921959999999999</v>
      </c>
      <c r="C5">
        <v>68.241669999999999</v>
      </c>
      <c r="D5">
        <v>43.99485</v>
      </c>
      <c r="E5">
        <v>31.182079999999999</v>
      </c>
      <c r="F5">
        <v>24.083259999999999</v>
      </c>
      <c r="G5">
        <v>19.33512</v>
      </c>
      <c r="H5">
        <v>16.136009999999999</v>
      </c>
      <c r="I5">
        <v>14.021509999999999</v>
      </c>
      <c r="J5">
        <v>12.567030000000001</v>
      </c>
      <c r="K5">
        <v>10.88622</v>
      </c>
      <c r="L5">
        <v>10.70988</v>
      </c>
      <c r="M5">
        <v>9.7767189999999999</v>
      </c>
      <c r="N5">
        <v>9.0117720000000006</v>
      </c>
      <c r="O5">
        <v>8.4093049999999998</v>
      </c>
      <c r="P5">
        <v>7.9316509999999996</v>
      </c>
      <c r="Q5">
        <v>7.4201790000000001</v>
      </c>
      <c r="R5">
        <v>6.7421199999999999</v>
      </c>
      <c r="S5">
        <v>6.4440080000000002</v>
      </c>
      <c r="T5">
        <v>6.1727270000000001</v>
      </c>
      <c r="U5">
        <v>5.9440299999999997</v>
      </c>
    </row>
    <row r="6" spans="1:24">
      <c r="A6" t="s">
        <v>3</v>
      </c>
      <c r="B6">
        <v>23.721769999999999</v>
      </c>
      <c r="C6">
        <v>15.082000000000001</v>
      </c>
      <c r="D6">
        <v>8.6094469999999994</v>
      </c>
      <c r="E6">
        <v>5.9888830000000004</v>
      </c>
      <c r="F6">
        <v>4.4327920000000001</v>
      </c>
      <c r="G6">
        <v>3.531339</v>
      </c>
      <c r="H6">
        <v>2.8994849999999999</v>
      </c>
      <c r="I6">
        <v>2.4133749999999998</v>
      </c>
      <c r="J6">
        <v>2.1853799999999999</v>
      </c>
      <c r="K6">
        <v>1.9268860000000001</v>
      </c>
      <c r="L6">
        <v>1.867197</v>
      </c>
      <c r="M6">
        <v>1.7074180000000001</v>
      </c>
      <c r="N6">
        <v>1.5817000000000001</v>
      </c>
      <c r="O6">
        <v>1.4316409999999999</v>
      </c>
      <c r="P6">
        <v>1.3306420000000001</v>
      </c>
      <c r="Q6">
        <v>1.214156</v>
      </c>
      <c r="R6">
        <v>1.16445</v>
      </c>
      <c r="S6">
        <v>1.1102780000000001</v>
      </c>
      <c r="T6">
        <v>1.0512630000000001</v>
      </c>
      <c r="U6">
        <v>1.010705</v>
      </c>
    </row>
    <row r="7" spans="1:24">
      <c r="A7" t="s">
        <v>4</v>
      </c>
      <c r="B7">
        <v>24.226089999999999</v>
      </c>
      <c r="C7">
        <v>15.26432</v>
      </c>
      <c r="D7">
        <v>8.8853209999999994</v>
      </c>
      <c r="E7">
        <v>6.1345720000000004</v>
      </c>
      <c r="F7">
        <v>4.7079389999999997</v>
      </c>
      <c r="G7">
        <v>3.7167919999999999</v>
      </c>
      <c r="H7">
        <v>3.0635759999999999</v>
      </c>
      <c r="I7">
        <v>2.6370010000000002</v>
      </c>
      <c r="J7">
        <v>2.4226390000000002</v>
      </c>
      <c r="K7">
        <v>2.127005</v>
      </c>
      <c r="L7">
        <v>2.0785960000000001</v>
      </c>
      <c r="M7">
        <v>1.901975</v>
      </c>
      <c r="N7">
        <v>1.7034879999999999</v>
      </c>
      <c r="O7">
        <v>1.53243</v>
      </c>
      <c r="P7">
        <v>1.391394</v>
      </c>
      <c r="Q7">
        <v>1.309291</v>
      </c>
      <c r="R7">
        <v>1.2325870000000001</v>
      </c>
      <c r="S7">
        <v>1.1539360000000001</v>
      </c>
      <c r="T7">
        <v>1.110412</v>
      </c>
      <c r="U7">
        <v>1.078033</v>
      </c>
    </row>
    <row r="8" spans="1:24">
      <c r="A8" t="s">
        <v>5</v>
      </c>
      <c r="B8">
        <v>24.57207</v>
      </c>
      <c r="C8">
        <v>15.8888</v>
      </c>
      <c r="D8">
        <v>9.0188790000000001</v>
      </c>
      <c r="E8">
        <v>6.2378010000000002</v>
      </c>
      <c r="F8">
        <v>4.719862</v>
      </c>
      <c r="G8">
        <v>3.7076690000000001</v>
      </c>
      <c r="H8">
        <v>3.0425239999999998</v>
      </c>
      <c r="I8">
        <v>2.5075430000000001</v>
      </c>
      <c r="J8">
        <v>2.290883</v>
      </c>
      <c r="K8">
        <v>2.0032909999999999</v>
      </c>
      <c r="L8">
        <v>1.983479</v>
      </c>
      <c r="M8">
        <v>1.8475029999999999</v>
      </c>
      <c r="N8">
        <v>1.6750240000000001</v>
      </c>
      <c r="O8">
        <v>1.517117</v>
      </c>
      <c r="P8">
        <v>1.3732960000000001</v>
      </c>
      <c r="Q8">
        <v>1.2891680000000001</v>
      </c>
      <c r="R8">
        <v>1.2240599999999999</v>
      </c>
      <c r="S8">
        <v>1.1367229999999999</v>
      </c>
      <c r="T8">
        <v>1.091394</v>
      </c>
      <c r="U8">
        <v>1.0483960000000001</v>
      </c>
    </row>
    <row r="9" spans="1:24">
      <c r="A9" t="s">
        <v>6</v>
      </c>
      <c r="B9">
        <v>24.168839999999999</v>
      </c>
      <c r="C9">
        <v>15.446</v>
      </c>
      <c r="D9">
        <v>8.8970369999999992</v>
      </c>
      <c r="E9">
        <v>6.201759</v>
      </c>
      <c r="F9">
        <v>4.6491670000000003</v>
      </c>
      <c r="G9">
        <v>3.5761129999999999</v>
      </c>
      <c r="H9">
        <v>2.9955440000000002</v>
      </c>
      <c r="I9">
        <v>2.5611839999999999</v>
      </c>
      <c r="J9">
        <v>2.3016390000000002</v>
      </c>
      <c r="K9">
        <v>1.982235</v>
      </c>
      <c r="L9">
        <v>1.938442</v>
      </c>
      <c r="M9">
        <v>1.7995019999999999</v>
      </c>
      <c r="N9">
        <v>1.6499969999999999</v>
      </c>
      <c r="O9">
        <v>1.4989030000000001</v>
      </c>
      <c r="P9">
        <v>1.4037710000000001</v>
      </c>
      <c r="Q9">
        <v>1.2896110000000001</v>
      </c>
      <c r="R9">
        <v>1.1943859999999999</v>
      </c>
      <c r="S9">
        <v>1.1308469999999999</v>
      </c>
      <c r="T9">
        <v>1.060608</v>
      </c>
      <c r="U9">
        <v>1.021118</v>
      </c>
    </row>
    <row r="10" spans="1:24">
      <c r="A10" t="s">
        <v>7</v>
      </c>
      <c r="B10">
        <v>35.635440000000003</v>
      </c>
      <c r="C10">
        <v>21.955729999999999</v>
      </c>
      <c r="D10">
        <v>12.3667</v>
      </c>
      <c r="E10">
        <v>8.4618269999999995</v>
      </c>
      <c r="F10">
        <v>6.3143770000000004</v>
      </c>
      <c r="G10">
        <v>4.9848059999999998</v>
      </c>
      <c r="H10">
        <v>4.1238789999999996</v>
      </c>
      <c r="I10">
        <v>3.4970119999999998</v>
      </c>
      <c r="J10">
        <v>3.1583070000000002</v>
      </c>
      <c r="K10">
        <v>2.8294890000000001</v>
      </c>
      <c r="L10">
        <v>2.8193410000000001</v>
      </c>
      <c r="M10">
        <v>2.5489839999999999</v>
      </c>
      <c r="N10">
        <v>2.3228330000000001</v>
      </c>
      <c r="O10">
        <v>2.059739</v>
      </c>
      <c r="P10">
        <v>1.946002</v>
      </c>
      <c r="Q10">
        <v>1.8426720000000001</v>
      </c>
      <c r="R10">
        <v>1.6842919999999999</v>
      </c>
      <c r="S10">
        <v>1.614009</v>
      </c>
      <c r="T10">
        <v>1.523949</v>
      </c>
      <c r="U10">
        <v>1.4417500000000001</v>
      </c>
    </row>
    <row r="11" spans="1:24">
      <c r="A11" t="s">
        <v>8</v>
      </c>
      <c r="B11">
        <v>35.60116</v>
      </c>
      <c r="C11">
        <v>22.16037</v>
      </c>
      <c r="D11">
        <v>12.63715</v>
      </c>
      <c r="E11">
        <v>8.4957840000000004</v>
      </c>
      <c r="F11">
        <v>6.4800129999999996</v>
      </c>
      <c r="G11">
        <v>5.2072419999999999</v>
      </c>
      <c r="H11">
        <v>4.3553249999999997</v>
      </c>
      <c r="I11">
        <v>3.6841370000000002</v>
      </c>
      <c r="J11">
        <v>3.220269</v>
      </c>
      <c r="K11">
        <v>2.7516820000000002</v>
      </c>
      <c r="L11">
        <v>2.7669109999999999</v>
      </c>
      <c r="M11">
        <v>2.5029970000000001</v>
      </c>
      <c r="N11">
        <v>2.2836569999999998</v>
      </c>
      <c r="O11">
        <v>2.0669409999999999</v>
      </c>
      <c r="P11">
        <v>1.958402</v>
      </c>
      <c r="Q11">
        <v>1.789498</v>
      </c>
      <c r="R11">
        <v>1.6710959999999999</v>
      </c>
      <c r="S11">
        <v>1.606341</v>
      </c>
      <c r="T11">
        <v>1.553585</v>
      </c>
      <c r="U11">
        <v>1.4974510000000001</v>
      </c>
    </row>
    <row r="12" spans="1:24">
      <c r="A12" t="s">
        <v>9</v>
      </c>
      <c r="B12">
        <v>24.475280000000001</v>
      </c>
      <c r="C12">
        <v>15.34684</v>
      </c>
      <c r="D12">
        <v>9.0821079999999998</v>
      </c>
      <c r="E12">
        <v>6.1131869999999999</v>
      </c>
      <c r="F12">
        <v>4.4616040000000003</v>
      </c>
      <c r="G12">
        <v>3.566789</v>
      </c>
      <c r="H12">
        <v>2.9804210000000002</v>
      </c>
      <c r="I12">
        <v>2.5148779999999999</v>
      </c>
      <c r="J12">
        <v>2.1932649999999998</v>
      </c>
      <c r="K12">
        <v>1.9886010000000001</v>
      </c>
      <c r="L12">
        <v>1.9276439999999999</v>
      </c>
      <c r="M12">
        <v>1.8588709999999999</v>
      </c>
      <c r="N12">
        <v>1.6585259999999999</v>
      </c>
      <c r="O12">
        <v>1.5065980000000001</v>
      </c>
      <c r="P12">
        <v>1.3819269999999999</v>
      </c>
      <c r="Q12">
        <v>1.2877670000000001</v>
      </c>
      <c r="R12">
        <v>1.1854739999999999</v>
      </c>
      <c r="S12">
        <v>1.160177</v>
      </c>
      <c r="T12">
        <v>1.0890850000000001</v>
      </c>
      <c r="U12">
        <v>1.023657</v>
      </c>
    </row>
    <row r="13" spans="1:24">
      <c r="A13" t="s">
        <v>10</v>
      </c>
      <c r="B13">
        <v>23.49701</v>
      </c>
      <c r="C13">
        <v>14.83146</v>
      </c>
      <c r="D13">
        <v>8.7907790000000006</v>
      </c>
      <c r="E13">
        <v>6.000578</v>
      </c>
      <c r="F13">
        <v>4.6361650000000001</v>
      </c>
      <c r="G13">
        <v>3.5692689999999998</v>
      </c>
      <c r="H13">
        <v>3.0025569999999999</v>
      </c>
      <c r="I13">
        <v>2.52075</v>
      </c>
      <c r="J13">
        <v>2.176936</v>
      </c>
      <c r="K13">
        <v>1.9034329999999999</v>
      </c>
      <c r="L13">
        <v>1.864052</v>
      </c>
      <c r="M13">
        <v>1.7190430000000001</v>
      </c>
      <c r="N13">
        <v>1.584419</v>
      </c>
      <c r="O13">
        <v>1.4701740000000001</v>
      </c>
      <c r="P13">
        <v>1.3241419999999999</v>
      </c>
      <c r="Q13">
        <v>1.2801800000000001</v>
      </c>
      <c r="R13">
        <v>1.139737</v>
      </c>
      <c r="S13">
        <v>1.089545</v>
      </c>
      <c r="T13">
        <v>1.0364789999999999</v>
      </c>
      <c r="U13">
        <v>0.99519329999999995</v>
      </c>
    </row>
    <row r="14" spans="1:24">
      <c r="A14" t="s">
        <v>11</v>
      </c>
      <c r="B14">
        <v>24.400320000000001</v>
      </c>
      <c r="C14">
        <v>15.6426</v>
      </c>
      <c r="D14">
        <v>9.1639619999999997</v>
      </c>
      <c r="E14">
        <v>6.3774179999999996</v>
      </c>
      <c r="F14">
        <v>4.7877270000000003</v>
      </c>
      <c r="G14">
        <v>3.8190050000000002</v>
      </c>
      <c r="H14">
        <v>3.1922290000000002</v>
      </c>
      <c r="I14">
        <v>2.6678980000000001</v>
      </c>
      <c r="J14">
        <v>2.341602</v>
      </c>
      <c r="K14">
        <v>2.0331090000000001</v>
      </c>
      <c r="L14">
        <v>2.0356320000000001</v>
      </c>
      <c r="M14">
        <v>1.911637</v>
      </c>
      <c r="N14">
        <v>1.7791669999999999</v>
      </c>
      <c r="O14">
        <v>1.6628069999999999</v>
      </c>
      <c r="P14">
        <v>1.5663180000000001</v>
      </c>
      <c r="Q14">
        <v>1.4773019999999999</v>
      </c>
      <c r="R14">
        <v>1.317434</v>
      </c>
      <c r="S14">
        <v>1.2331179999999999</v>
      </c>
      <c r="T14">
        <v>1.161797</v>
      </c>
      <c r="U14">
        <v>1.139931</v>
      </c>
    </row>
    <row r="15" spans="1:24">
      <c r="A15" t="s">
        <v>12</v>
      </c>
      <c r="B15">
        <v>61.847110000000001</v>
      </c>
      <c r="C15">
        <v>44.682040000000001</v>
      </c>
      <c r="D15">
        <v>28.383859999999999</v>
      </c>
      <c r="E15">
        <v>19.27599</v>
      </c>
      <c r="F15">
        <v>14.60788</v>
      </c>
      <c r="G15">
        <v>11.59206</v>
      </c>
      <c r="H15">
        <v>9.6477970000000006</v>
      </c>
      <c r="I15">
        <v>8.3652300000000004</v>
      </c>
      <c r="J15">
        <v>7.3527519999999997</v>
      </c>
      <c r="K15">
        <v>6.4749699999999999</v>
      </c>
      <c r="L15">
        <v>6.4353290000000003</v>
      </c>
      <c r="M15">
        <v>6.0510380000000001</v>
      </c>
      <c r="N15">
        <v>5.572864</v>
      </c>
      <c r="O15">
        <v>5.079987</v>
      </c>
      <c r="P15">
        <v>4.8815189999999999</v>
      </c>
      <c r="Q15">
        <v>4.5891690000000001</v>
      </c>
      <c r="R15">
        <v>4.091075</v>
      </c>
      <c r="S15">
        <v>3.8938190000000001</v>
      </c>
      <c r="T15">
        <v>3.7018840000000002</v>
      </c>
      <c r="U15">
        <v>3.5249299999999999</v>
      </c>
    </row>
    <row r="16" spans="1:24">
      <c r="A16" t="s">
        <v>13</v>
      </c>
      <c r="B16">
        <v>65.110029999999995</v>
      </c>
      <c r="C16">
        <v>41.618969999999997</v>
      </c>
      <c r="D16">
        <v>24.093910000000001</v>
      </c>
      <c r="E16">
        <v>16.463100000000001</v>
      </c>
      <c r="F16">
        <v>12.432169999999999</v>
      </c>
      <c r="G16">
        <v>9.7934699999999992</v>
      </c>
      <c r="H16">
        <v>8.2396469999999997</v>
      </c>
      <c r="I16">
        <v>7.0697770000000002</v>
      </c>
      <c r="J16">
        <v>6.3210430000000004</v>
      </c>
      <c r="K16">
        <v>5.393319</v>
      </c>
      <c r="L16">
        <v>5.2459230000000003</v>
      </c>
      <c r="M16">
        <v>4.888871</v>
      </c>
      <c r="N16">
        <v>4.5102270000000004</v>
      </c>
      <c r="O16">
        <v>4.0805090000000002</v>
      </c>
      <c r="P16">
        <v>3.8063929999999999</v>
      </c>
      <c r="Q16">
        <v>3.584657</v>
      </c>
      <c r="R16">
        <v>3.2994129999999999</v>
      </c>
      <c r="S16">
        <v>3.1293980000000001</v>
      </c>
      <c r="T16">
        <v>3.0003959999999998</v>
      </c>
      <c r="U16">
        <v>2.8857940000000002</v>
      </c>
    </row>
    <row r="17" spans="1:21">
      <c r="A17" t="s">
        <v>14</v>
      </c>
      <c r="B17">
        <v>67.519040000000004</v>
      </c>
      <c r="C17">
        <v>42.741419999999998</v>
      </c>
      <c r="D17">
        <v>24.30621</v>
      </c>
      <c r="E17">
        <v>16.403929999999999</v>
      </c>
      <c r="F17">
        <v>12.49803</v>
      </c>
      <c r="G17">
        <v>9.8883430000000008</v>
      </c>
      <c r="H17">
        <v>8.2316870000000009</v>
      </c>
      <c r="I17">
        <v>7.0850520000000001</v>
      </c>
      <c r="J17">
        <v>6.225746</v>
      </c>
      <c r="K17">
        <v>5.5171900000000003</v>
      </c>
      <c r="L17">
        <v>5.2951759999999997</v>
      </c>
      <c r="M17">
        <v>4.8076829999999999</v>
      </c>
      <c r="N17">
        <v>4.4663029999999999</v>
      </c>
      <c r="O17">
        <v>4.0861020000000003</v>
      </c>
      <c r="P17">
        <v>3.8518919999999999</v>
      </c>
      <c r="Q17">
        <v>3.65238</v>
      </c>
      <c r="R17">
        <v>3.3658380000000001</v>
      </c>
      <c r="S17">
        <v>3.1844760000000001</v>
      </c>
      <c r="T17">
        <v>3.0350739999999998</v>
      </c>
      <c r="U17">
        <v>2.8376169999999998</v>
      </c>
    </row>
    <row r="18" spans="1:21">
      <c r="A18" t="s">
        <v>15</v>
      </c>
      <c r="B18">
        <v>68.731359999999995</v>
      </c>
      <c r="C18">
        <v>43.32235</v>
      </c>
      <c r="D18">
        <v>25.022300000000001</v>
      </c>
      <c r="E18">
        <v>17.12435</v>
      </c>
      <c r="F18">
        <v>12.66295</v>
      </c>
      <c r="G18">
        <v>9.8976410000000001</v>
      </c>
      <c r="H18">
        <v>8.3779649999999997</v>
      </c>
      <c r="I18">
        <v>7.2782920000000004</v>
      </c>
      <c r="J18">
        <v>6.367191</v>
      </c>
      <c r="K18">
        <v>5.626379</v>
      </c>
      <c r="L18">
        <v>5.423044</v>
      </c>
      <c r="M18">
        <v>4.9625469999999998</v>
      </c>
      <c r="N18">
        <v>4.5945309999999999</v>
      </c>
      <c r="O18">
        <v>4.1213220000000002</v>
      </c>
      <c r="P18">
        <v>3.8111350000000002</v>
      </c>
      <c r="Q18">
        <v>3.624876</v>
      </c>
      <c r="R18">
        <v>3.3114910000000002</v>
      </c>
      <c r="S18">
        <v>3.1627529999999999</v>
      </c>
      <c r="T18">
        <v>3.0451199999999998</v>
      </c>
      <c r="U18">
        <v>2.9037380000000002</v>
      </c>
    </row>
    <row r="19" spans="1:21">
      <c r="A19" t="s">
        <v>16</v>
      </c>
      <c r="B19">
        <v>153.40190000000001</v>
      </c>
      <c r="C19">
        <v>106.39149999999999</v>
      </c>
      <c r="D19">
        <v>64.706739999999996</v>
      </c>
      <c r="E19">
        <v>43.746220000000001</v>
      </c>
      <c r="F19">
        <v>32.580460000000002</v>
      </c>
      <c r="G19">
        <v>25.754570000000001</v>
      </c>
      <c r="H19">
        <v>21.193210000000001</v>
      </c>
      <c r="I19">
        <v>17.90062</v>
      </c>
      <c r="J19">
        <v>15.72246</v>
      </c>
      <c r="K19">
        <v>13.35933</v>
      </c>
      <c r="L19">
        <v>12.91314</v>
      </c>
      <c r="M19">
        <v>11.813800000000001</v>
      </c>
      <c r="N19">
        <v>10.60136</v>
      </c>
      <c r="O19">
        <v>9.6440660000000005</v>
      </c>
      <c r="P19">
        <v>9.0357380000000003</v>
      </c>
      <c r="Q19">
        <v>8.5745349999999991</v>
      </c>
      <c r="R19">
        <v>7.7918589999999996</v>
      </c>
      <c r="S19">
        <v>7.2831739999999998</v>
      </c>
      <c r="T19">
        <v>6.8167419999999996</v>
      </c>
      <c r="U19">
        <v>6.55152</v>
      </c>
    </row>
    <row r="20" spans="1:21">
      <c r="A20" t="s">
        <v>17</v>
      </c>
      <c r="B20">
        <v>157.01820000000001</v>
      </c>
      <c r="C20">
        <v>108.8715</v>
      </c>
      <c r="D20">
        <v>65.812330000000003</v>
      </c>
      <c r="E20">
        <v>43.626269999999998</v>
      </c>
      <c r="F20">
        <v>32.41977</v>
      </c>
      <c r="G20">
        <v>25.374269999999999</v>
      </c>
      <c r="H20">
        <v>21.030290000000001</v>
      </c>
      <c r="I20">
        <v>17.749220000000001</v>
      </c>
      <c r="J20">
        <v>15.519920000000001</v>
      </c>
      <c r="K20">
        <v>13.5501</v>
      </c>
      <c r="L20">
        <v>13.13171</v>
      </c>
      <c r="M20">
        <v>11.76146</v>
      </c>
      <c r="N20">
        <v>10.60998</v>
      </c>
      <c r="O20">
        <v>9.6711869999999998</v>
      </c>
      <c r="P20">
        <v>8.9391780000000001</v>
      </c>
      <c r="Q20">
        <v>8.3248549999999994</v>
      </c>
      <c r="R20">
        <v>7.6839979999999999</v>
      </c>
      <c r="S20">
        <v>7.2643069999999996</v>
      </c>
      <c r="T20">
        <v>6.7552199999999996</v>
      </c>
      <c r="U20">
        <v>6.478307</v>
      </c>
    </row>
    <row r="21" spans="1:21">
      <c r="A21" t="s">
        <v>18</v>
      </c>
      <c r="B21">
        <v>156.80529999999999</v>
      </c>
      <c r="C21">
        <v>108.33459999999999</v>
      </c>
      <c r="D21">
        <v>65.801680000000005</v>
      </c>
      <c r="E21">
        <v>43.464379999999998</v>
      </c>
      <c r="F21">
        <v>32.391979999999997</v>
      </c>
      <c r="G21">
        <v>25.362210000000001</v>
      </c>
      <c r="H21">
        <v>20.941569999999999</v>
      </c>
      <c r="I21">
        <v>17.68066</v>
      </c>
      <c r="J21">
        <v>15.590669999999999</v>
      </c>
      <c r="K21">
        <v>13.431520000000001</v>
      </c>
      <c r="L21">
        <v>12.88153</v>
      </c>
      <c r="M21">
        <v>11.73793</v>
      </c>
      <c r="N21">
        <v>10.641299999999999</v>
      </c>
      <c r="O21">
        <v>9.7990370000000002</v>
      </c>
      <c r="P21">
        <v>9.1953320000000005</v>
      </c>
      <c r="Q21">
        <v>8.5720089999999995</v>
      </c>
      <c r="R21">
        <v>7.8355480000000002</v>
      </c>
      <c r="S21">
        <v>7.5104439999999997</v>
      </c>
      <c r="T21">
        <v>6.9471910000000001</v>
      </c>
      <c r="U21">
        <v>6.5177370000000003</v>
      </c>
    </row>
    <row r="22" spans="1:21">
      <c r="A22" t="s">
        <v>19</v>
      </c>
      <c r="B22">
        <v>152.84440000000001</v>
      </c>
      <c r="C22">
        <v>106.4525</v>
      </c>
      <c r="D22">
        <v>65.428340000000006</v>
      </c>
      <c r="E22">
        <v>43.419800000000002</v>
      </c>
      <c r="F22">
        <v>32.131010000000003</v>
      </c>
      <c r="G22">
        <v>25.587710000000001</v>
      </c>
      <c r="H22">
        <v>21.223780000000001</v>
      </c>
      <c r="I22">
        <v>17.9542</v>
      </c>
      <c r="J22">
        <v>15.67746</v>
      </c>
      <c r="K22">
        <v>13.41635</v>
      </c>
      <c r="L22">
        <v>12.82507</v>
      </c>
      <c r="M22">
        <v>11.76887</v>
      </c>
      <c r="N22">
        <v>10.581440000000001</v>
      </c>
      <c r="O22">
        <v>9.6511340000000008</v>
      </c>
      <c r="P22">
        <v>9.0497700000000005</v>
      </c>
      <c r="Q22">
        <v>8.533334</v>
      </c>
      <c r="R22">
        <v>7.7421110000000004</v>
      </c>
      <c r="S22">
        <v>7.3147339999999996</v>
      </c>
      <c r="T22">
        <v>6.9368280000000002</v>
      </c>
      <c r="U22">
        <v>6.5508290000000002</v>
      </c>
    </row>
    <row r="23" spans="1:21">
      <c r="A23" t="s">
        <v>20</v>
      </c>
      <c r="B23">
        <v>158.0994</v>
      </c>
      <c r="C23">
        <v>110.0076</v>
      </c>
      <c r="D23">
        <v>66.582629999999995</v>
      </c>
      <c r="E23">
        <v>43.954149999999998</v>
      </c>
      <c r="F23">
        <v>32.629339999999999</v>
      </c>
      <c r="G23">
        <v>25.602170000000001</v>
      </c>
      <c r="H23">
        <v>21.071999999999999</v>
      </c>
      <c r="I23">
        <v>18.082740000000001</v>
      </c>
      <c r="J23">
        <v>15.78384</v>
      </c>
      <c r="K23">
        <v>13.546620000000001</v>
      </c>
      <c r="L23">
        <v>13.02186</v>
      </c>
      <c r="M23">
        <v>11.81442</v>
      </c>
      <c r="N23">
        <v>10.697329999999999</v>
      </c>
      <c r="O23">
        <v>9.6882719999999996</v>
      </c>
      <c r="P23">
        <v>9.0199770000000008</v>
      </c>
      <c r="Q23">
        <v>8.4389570000000003</v>
      </c>
      <c r="R23">
        <v>7.5531810000000004</v>
      </c>
      <c r="S23">
        <v>7.2177129999999998</v>
      </c>
      <c r="T23">
        <v>6.7616699999999996</v>
      </c>
      <c r="U23">
        <v>6.4344640000000002</v>
      </c>
    </row>
    <row r="24" spans="1:21">
      <c r="A24" t="s">
        <v>21</v>
      </c>
      <c r="B24">
        <v>152.89529999999999</v>
      </c>
      <c r="C24">
        <v>106.5745</v>
      </c>
      <c r="D24">
        <v>64.657970000000006</v>
      </c>
      <c r="E24">
        <v>43.633690000000001</v>
      </c>
      <c r="F24">
        <v>32.648969999999998</v>
      </c>
      <c r="G24">
        <v>25.547049999999999</v>
      </c>
      <c r="H24">
        <v>20.8721</v>
      </c>
      <c r="I24">
        <v>17.745439999999999</v>
      </c>
      <c r="J24">
        <v>15.56338</v>
      </c>
      <c r="K24">
        <v>13.398580000000001</v>
      </c>
      <c r="L24">
        <v>12.95858</v>
      </c>
      <c r="M24">
        <v>11.82727</v>
      </c>
      <c r="N24">
        <v>10.66229</v>
      </c>
      <c r="O24">
        <v>9.7466369999999998</v>
      </c>
      <c r="P24">
        <v>9.1476209999999991</v>
      </c>
      <c r="Q24">
        <v>8.6306580000000004</v>
      </c>
      <c r="R24">
        <v>7.7574240000000003</v>
      </c>
      <c r="S24">
        <v>7.4095789999999999</v>
      </c>
      <c r="T24">
        <v>6.8900189999999997</v>
      </c>
      <c r="U24">
        <v>6.545661</v>
      </c>
    </row>
    <row r="25" spans="1:21">
      <c r="A25" t="s">
        <v>34</v>
      </c>
      <c r="B25">
        <v>156.42019999999999</v>
      </c>
      <c r="C25">
        <v>108.6229</v>
      </c>
      <c r="D25">
        <v>65.782859999999999</v>
      </c>
      <c r="E25">
        <v>43.677959999999999</v>
      </c>
      <c r="F25">
        <v>32.505719999999997</v>
      </c>
      <c r="G25">
        <v>25.597989999999999</v>
      </c>
      <c r="H25">
        <v>21.091159999999999</v>
      </c>
      <c r="I25">
        <v>17.913029999999999</v>
      </c>
      <c r="J25">
        <v>15.709989999999999</v>
      </c>
      <c r="K25">
        <v>13.48218</v>
      </c>
      <c r="L25">
        <v>12.906129999999999</v>
      </c>
      <c r="M25">
        <v>11.65039</v>
      </c>
      <c r="N25">
        <v>10.53487</v>
      </c>
      <c r="O25">
        <v>9.7432009999999991</v>
      </c>
      <c r="P25">
        <v>9.0328029999999995</v>
      </c>
      <c r="Q25">
        <v>8.4386840000000003</v>
      </c>
      <c r="R25">
        <v>7.690448</v>
      </c>
      <c r="S25">
        <v>7.2156209999999996</v>
      </c>
      <c r="T25">
        <v>6.7066629999999998</v>
      </c>
      <c r="U25">
        <v>6.4046719999999997</v>
      </c>
    </row>
    <row r="26" spans="1:21">
      <c r="A26" t="s">
        <v>22</v>
      </c>
      <c r="B26">
        <v>123.50700000000001</v>
      </c>
      <c r="C26">
        <v>76.416210000000007</v>
      </c>
      <c r="D26">
        <v>43.709389999999999</v>
      </c>
      <c r="E26">
        <v>28.34985</v>
      </c>
      <c r="F26">
        <v>20.47129</v>
      </c>
      <c r="G26">
        <v>15.90973</v>
      </c>
      <c r="H26">
        <v>13.081860000000001</v>
      </c>
      <c r="I26">
        <v>10.90864</v>
      </c>
      <c r="J26">
        <v>9.3740600000000001</v>
      </c>
      <c r="K26">
        <v>8.1212769999999992</v>
      </c>
      <c r="L26">
        <v>7.7018310000000003</v>
      </c>
      <c r="M26">
        <v>7.0519059999999998</v>
      </c>
      <c r="N26">
        <v>6.5092869999999996</v>
      </c>
      <c r="O26">
        <v>5.815747</v>
      </c>
      <c r="P26">
        <v>5.4485289999999997</v>
      </c>
      <c r="Q26">
        <v>5.055701</v>
      </c>
      <c r="R26">
        <v>4.5347379999999999</v>
      </c>
      <c r="S26">
        <v>4.2788079999999997</v>
      </c>
      <c r="T26">
        <v>4.0050600000000003</v>
      </c>
      <c r="U26">
        <v>3.8155420000000002</v>
      </c>
    </row>
    <row r="27" spans="1:21">
      <c r="A27" t="s">
        <v>23</v>
      </c>
      <c r="B27">
        <v>151.00899999999999</v>
      </c>
      <c r="C27">
        <v>105.4072</v>
      </c>
      <c r="D27">
        <v>63.885579999999997</v>
      </c>
      <c r="E27">
        <v>43.08867</v>
      </c>
      <c r="F27">
        <v>31.902229999999999</v>
      </c>
      <c r="G27">
        <v>25.28884</v>
      </c>
      <c r="H27">
        <v>20.850090000000002</v>
      </c>
      <c r="I27">
        <v>17.565000000000001</v>
      </c>
      <c r="J27">
        <v>15.504379999999999</v>
      </c>
      <c r="K27">
        <v>13.32236</v>
      </c>
      <c r="L27">
        <v>13.044180000000001</v>
      </c>
      <c r="M27">
        <v>11.680899999999999</v>
      </c>
      <c r="N27">
        <v>10.529</v>
      </c>
      <c r="O27">
        <v>9.5490189999999995</v>
      </c>
      <c r="P27">
        <v>8.8644569999999998</v>
      </c>
      <c r="Q27">
        <v>8.4339110000000002</v>
      </c>
      <c r="R27">
        <v>7.713387</v>
      </c>
      <c r="S27">
        <v>7.2510630000000003</v>
      </c>
      <c r="T27">
        <v>6.8033039999999998</v>
      </c>
      <c r="U27">
        <v>6.5209289999999998</v>
      </c>
    </row>
    <row r="28" spans="1:21">
      <c r="A28" t="s">
        <v>24</v>
      </c>
      <c r="B28">
        <v>153.03450000000001</v>
      </c>
      <c r="C28">
        <v>106.3798</v>
      </c>
      <c r="D28">
        <v>64.978449999999995</v>
      </c>
      <c r="E28">
        <v>43.315040000000003</v>
      </c>
      <c r="F28">
        <v>32.461869999999998</v>
      </c>
      <c r="G28">
        <v>25.526340000000001</v>
      </c>
      <c r="H28">
        <v>20.948399999999999</v>
      </c>
      <c r="I28">
        <v>17.688790000000001</v>
      </c>
      <c r="J28">
        <v>15.72189</v>
      </c>
      <c r="K28">
        <v>13.55147</v>
      </c>
      <c r="L28">
        <v>13.122479999999999</v>
      </c>
      <c r="M28">
        <v>11.843830000000001</v>
      </c>
      <c r="N28">
        <v>10.73837</v>
      </c>
      <c r="O28">
        <v>9.7883619999999993</v>
      </c>
      <c r="P28">
        <v>9.0879189999999994</v>
      </c>
      <c r="Q28">
        <v>8.4434909999999999</v>
      </c>
      <c r="R28">
        <v>7.7391059999999996</v>
      </c>
      <c r="S28">
        <v>7.3263379999999998</v>
      </c>
      <c r="T28">
        <v>6.855721</v>
      </c>
      <c r="U28">
        <v>6.4570249999999998</v>
      </c>
    </row>
    <row r="29" spans="1:21">
      <c r="A29" t="s">
        <v>25</v>
      </c>
      <c r="B29">
        <v>164.77789999999999</v>
      </c>
      <c r="C29">
        <v>114.4093</v>
      </c>
      <c r="D29">
        <v>70.964500000000001</v>
      </c>
      <c r="E29">
        <v>48.529870000000003</v>
      </c>
      <c r="F29">
        <v>35.913200000000003</v>
      </c>
      <c r="G29">
        <v>28.137530000000002</v>
      </c>
      <c r="H29">
        <v>23.121469999999999</v>
      </c>
      <c r="I29">
        <v>19.208010000000002</v>
      </c>
      <c r="J29">
        <v>16.722190000000001</v>
      </c>
      <c r="K29">
        <v>14.59465</v>
      </c>
      <c r="L29">
        <v>14.0381</v>
      </c>
      <c r="M29">
        <v>12.94603</v>
      </c>
      <c r="N29">
        <v>11.673400000000001</v>
      </c>
      <c r="O29">
        <v>10.611269999999999</v>
      </c>
      <c r="P29">
        <v>9.7972549999999998</v>
      </c>
      <c r="Q29">
        <v>9.2305720000000004</v>
      </c>
      <c r="R29">
        <v>8.4777629999999995</v>
      </c>
      <c r="S29">
        <v>8.1014689999999998</v>
      </c>
      <c r="T29">
        <v>7.6813409999999998</v>
      </c>
      <c r="U29">
        <v>7.3059589999999996</v>
      </c>
    </row>
    <row r="30" spans="1:21">
      <c r="A30" t="s">
        <v>26</v>
      </c>
      <c r="B30">
        <v>180.32409999999999</v>
      </c>
      <c r="C30">
        <v>121.4821</v>
      </c>
      <c r="D30">
        <v>70.833309999999997</v>
      </c>
      <c r="E30">
        <v>47.73751</v>
      </c>
      <c r="F30">
        <v>35.296419999999998</v>
      </c>
      <c r="G30">
        <v>27.090530000000001</v>
      </c>
      <c r="H30">
        <v>22.519739999999999</v>
      </c>
      <c r="I30">
        <v>19.18506</v>
      </c>
      <c r="J30">
        <v>16.444479999999999</v>
      </c>
      <c r="K30">
        <v>14.15616</v>
      </c>
      <c r="L30">
        <v>13.424480000000001</v>
      </c>
      <c r="M30">
        <v>11.93328</v>
      </c>
      <c r="N30">
        <v>10.84446</v>
      </c>
      <c r="O30">
        <v>9.7733030000000003</v>
      </c>
      <c r="P30">
        <v>8.8736929999999994</v>
      </c>
      <c r="Q30">
        <v>8.3699060000000003</v>
      </c>
      <c r="R30">
        <v>7.7219530000000001</v>
      </c>
      <c r="S30">
        <v>7.2703470000000001</v>
      </c>
      <c r="T30">
        <v>6.8526490000000004</v>
      </c>
      <c r="U30">
        <v>6.457865</v>
      </c>
    </row>
    <row r="31" spans="1:21">
      <c r="A31" t="s">
        <v>27</v>
      </c>
      <c r="B31">
        <v>174.31780000000001</v>
      </c>
      <c r="C31">
        <v>111.9682</v>
      </c>
      <c r="D31">
        <v>64.275019999999998</v>
      </c>
      <c r="E31">
        <v>42.631279999999997</v>
      </c>
      <c r="F31">
        <v>31.127739999999999</v>
      </c>
      <c r="G31">
        <v>23.773150000000001</v>
      </c>
      <c r="H31">
        <v>19.471319999999999</v>
      </c>
      <c r="I31">
        <v>16.31157</v>
      </c>
      <c r="J31">
        <v>13.855219999999999</v>
      </c>
      <c r="K31">
        <v>11.92027</v>
      </c>
      <c r="L31">
        <v>11.33343</v>
      </c>
      <c r="M31">
        <v>10.10821</v>
      </c>
      <c r="N31">
        <v>9.0287649999999999</v>
      </c>
      <c r="O31">
        <v>8.2259069999999994</v>
      </c>
      <c r="P31">
        <v>7.5175090000000004</v>
      </c>
      <c r="Q31">
        <v>6.961659</v>
      </c>
      <c r="R31">
        <v>6.3246099999999998</v>
      </c>
      <c r="S31">
        <v>5.9615970000000003</v>
      </c>
      <c r="T31">
        <v>5.5657779999999999</v>
      </c>
      <c r="U31">
        <v>5.2862710000000002</v>
      </c>
    </row>
    <row r="32" spans="1:21">
      <c r="A32" t="s">
        <v>28</v>
      </c>
      <c r="B32">
        <v>157.36850000000001</v>
      </c>
      <c r="C32">
        <v>96.397450000000006</v>
      </c>
      <c r="D32">
        <v>51.520530000000001</v>
      </c>
      <c r="E32">
        <v>33.230809999999998</v>
      </c>
      <c r="F32">
        <v>23.82921</v>
      </c>
      <c r="G32">
        <v>18.399229999999999</v>
      </c>
      <c r="H32">
        <v>15.15418</v>
      </c>
      <c r="I32">
        <v>12.58874</v>
      </c>
      <c r="J32">
        <v>10.672409999999999</v>
      </c>
      <c r="K32">
        <v>9.068289</v>
      </c>
      <c r="L32">
        <v>8.6232100000000003</v>
      </c>
      <c r="M32">
        <v>7.7111530000000004</v>
      </c>
      <c r="N32">
        <v>7.0388380000000002</v>
      </c>
      <c r="O32">
        <v>6.3998559999999998</v>
      </c>
      <c r="P32">
        <v>5.7698900000000002</v>
      </c>
      <c r="Q32">
        <v>5.4317570000000002</v>
      </c>
      <c r="R32">
        <v>4.9403579999999998</v>
      </c>
      <c r="S32">
        <v>4.5864010000000004</v>
      </c>
      <c r="T32">
        <v>4.2555569999999996</v>
      </c>
      <c r="U32">
        <v>3.9477690000000001</v>
      </c>
    </row>
    <row r="33" spans="1:21">
      <c r="A33" t="s">
        <v>29</v>
      </c>
      <c r="B33">
        <v>158.4171</v>
      </c>
      <c r="C33">
        <v>94.045140000000004</v>
      </c>
      <c r="D33">
        <v>49.726950000000002</v>
      </c>
      <c r="E33">
        <v>32.009239999999998</v>
      </c>
      <c r="F33">
        <v>23.61693</v>
      </c>
      <c r="G33">
        <v>18.291419999999999</v>
      </c>
      <c r="H33">
        <v>14.943910000000001</v>
      </c>
      <c r="I33">
        <v>12.47945</v>
      </c>
      <c r="J33">
        <v>10.842560000000001</v>
      </c>
      <c r="K33">
        <v>9.2403739999999992</v>
      </c>
      <c r="L33">
        <v>8.7471630000000005</v>
      </c>
      <c r="M33">
        <v>7.6290110000000002</v>
      </c>
      <c r="N33">
        <v>7.0404970000000002</v>
      </c>
      <c r="O33">
        <v>6.2820549999999997</v>
      </c>
      <c r="P33">
        <v>5.6985070000000002</v>
      </c>
      <c r="Q33">
        <v>5.360239</v>
      </c>
      <c r="R33">
        <v>4.852023</v>
      </c>
      <c r="S33">
        <v>4.5686159999999996</v>
      </c>
      <c r="T33">
        <v>4.23292</v>
      </c>
      <c r="U33">
        <v>3.9798049999999998</v>
      </c>
    </row>
    <row r="34" spans="1:21">
      <c r="A34" t="s">
        <v>30</v>
      </c>
      <c r="B34">
        <v>156.84729999999999</v>
      </c>
      <c r="C34">
        <v>93.075590000000005</v>
      </c>
      <c r="D34">
        <v>49.426009999999998</v>
      </c>
      <c r="E34">
        <v>32.269599999999997</v>
      </c>
      <c r="F34">
        <v>23.398150000000001</v>
      </c>
      <c r="G34">
        <v>18.085750000000001</v>
      </c>
      <c r="H34">
        <v>14.96556</v>
      </c>
      <c r="I34">
        <v>12.72128</v>
      </c>
      <c r="J34">
        <v>10.914479999999999</v>
      </c>
      <c r="K34">
        <v>9.2443819999999999</v>
      </c>
      <c r="L34">
        <v>8.6597220000000004</v>
      </c>
      <c r="M34">
        <v>7.6458950000000003</v>
      </c>
      <c r="N34">
        <v>6.9958070000000001</v>
      </c>
      <c r="O34">
        <v>6.2924680000000004</v>
      </c>
      <c r="P34">
        <v>5.8290990000000003</v>
      </c>
      <c r="Q34">
        <v>5.456639</v>
      </c>
      <c r="R34">
        <v>4.9028309999999999</v>
      </c>
      <c r="S34">
        <v>4.6256539999999999</v>
      </c>
      <c r="T34">
        <v>4.3430660000000003</v>
      </c>
      <c r="U34">
        <v>4.0949030000000004</v>
      </c>
    </row>
    <row r="35" spans="1:21">
      <c r="A35" t="s">
        <v>31</v>
      </c>
      <c r="B35">
        <v>294.9316</v>
      </c>
      <c r="C35">
        <v>203.63319999999999</v>
      </c>
      <c r="D35">
        <v>123.3501</v>
      </c>
      <c r="E35">
        <v>83.197180000000003</v>
      </c>
      <c r="F35">
        <v>61.953580000000002</v>
      </c>
      <c r="G35">
        <v>47.69041</v>
      </c>
      <c r="H35">
        <v>39.120730000000002</v>
      </c>
      <c r="I35">
        <v>32.173479999999998</v>
      </c>
      <c r="J35">
        <v>26.926970000000001</v>
      </c>
      <c r="K35">
        <v>22.65465</v>
      </c>
      <c r="L35">
        <v>21.612670000000001</v>
      </c>
      <c r="M35">
        <v>19.43552</v>
      </c>
      <c r="N35">
        <v>17.30753</v>
      </c>
      <c r="O35">
        <v>15.33825</v>
      </c>
      <c r="P35">
        <v>13.93948</v>
      </c>
      <c r="Q35">
        <v>12.857710000000001</v>
      </c>
      <c r="R35">
        <v>11.546580000000001</v>
      </c>
      <c r="S35">
        <v>10.843719999999999</v>
      </c>
      <c r="T35">
        <v>10.013030000000001</v>
      </c>
      <c r="U35">
        <v>9.4950869999999998</v>
      </c>
    </row>
    <row r="36" spans="1:21">
      <c r="A36" t="s">
        <v>32</v>
      </c>
      <c r="B36">
        <v>308.00220000000002</v>
      </c>
      <c r="C36">
        <v>212.14160000000001</v>
      </c>
      <c r="D36">
        <v>128.91829999999999</v>
      </c>
      <c r="E36">
        <v>87.37979</v>
      </c>
      <c r="F36">
        <v>65.19032</v>
      </c>
      <c r="G36">
        <v>50.702469999999998</v>
      </c>
      <c r="H36">
        <v>41.373489999999997</v>
      </c>
      <c r="I36">
        <v>34.404049999999998</v>
      </c>
      <c r="J36">
        <v>29.73931</v>
      </c>
      <c r="K36">
        <v>25.297640000000001</v>
      </c>
      <c r="L36">
        <v>24.196370000000002</v>
      </c>
      <c r="M36">
        <v>21.896979999999999</v>
      </c>
      <c r="N36">
        <v>19.658829999999998</v>
      </c>
      <c r="O36">
        <v>17.4924</v>
      </c>
      <c r="P36">
        <v>16.155930000000001</v>
      </c>
      <c r="Q36">
        <v>15.04077</v>
      </c>
      <c r="R36">
        <v>13.504519999999999</v>
      </c>
      <c r="S36">
        <v>12.752700000000001</v>
      </c>
      <c r="T36">
        <v>11.86736</v>
      </c>
      <c r="U36">
        <v>11.042870000000001</v>
      </c>
    </row>
    <row r="37" spans="1:21">
      <c r="A37" t="s">
        <v>33</v>
      </c>
      <c r="B37">
        <v>320.5693</v>
      </c>
      <c r="C37">
        <v>221.62960000000001</v>
      </c>
      <c r="D37">
        <v>134.54390000000001</v>
      </c>
      <c r="E37">
        <v>90.087900000000005</v>
      </c>
      <c r="F37">
        <v>66.995050000000006</v>
      </c>
      <c r="G37">
        <v>51.914830000000002</v>
      </c>
      <c r="H37">
        <v>42.139690000000002</v>
      </c>
      <c r="I37">
        <v>35.006729999999997</v>
      </c>
      <c r="J37">
        <v>29.962140000000002</v>
      </c>
      <c r="K37">
        <v>25.472020000000001</v>
      </c>
      <c r="L37">
        <v>24.401520000000001</v>
      </c>
      <c r="M37">
        <v>21.69012</v>
      </c>
      <c r="N37">
        <v>19.328749999999999</v>
      </c>
      <c r="O37">
        <v>17.275030000000001</v>
      </c>
      <c r="P37">
        <v>15.720610000000001</v>
      </c>
      <c r="Q37">
        <v>14.36265</v>
      </c>
      <c r="R37">
        <v>12.94528</v>
      </c>
      <c r="S37">
        <v>12.138949999999999</v>
      </c>
      <c r="T37">
        <v>11.67778</v>
      </c>
      <c r="U37">
        <v>10.96791</v>
      </c>
    </row>
  </sheetData>
  <phoneticPr fontId="0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X37"/>
  <sheetViews>
    <sheetView zoomScale="75" zoomScaleNormal="75" workbookViewId="0">
      <selection activeCell="G8" sqref="G8"/>
    </sheetView>
  </sheetViews>
  <sheetFormatPr defaultRowHeight="15"/>
  <sheetData>
    <row r="1" spans="1:24">
      <c r="A1" s="1"/>
      <c r="B1" s="1" t="str">
        <f>"AA_phi_A_1.4A"</f>
        <v>AA_phi_A_1.4A</v>
      </c>
      <c r="C1" s="1" t="str">
        <f>"AA_phi_A_2A"</f>
        <v>AA_phi_A_2A</v>
      </c>
      <c r="D1" s="1" t="str">
        <f>"AA_phi_A_3A"</f>
        <v>AA_phi_A_3A</v>
      </c>
      <c r="E1" s="1" t="str">
        <f>"AA_phi_A_4A"</f>
        <v>AA_phi_A_4A</v>
      </c>
      <c r="F1" s="1" t="str">
        <f>"AA_phi_A_5A"</f>
        <v>AA_phi_A_5A</v>
      </c>
      <c r="G1" s="1" t="str">
        <f>"AA_phi_A_6A"</f>
        <v>AA_phi_A_6A</v>
      </c>
      <c r="H1" s="1" t="str">
        <f>"AA_phi_A_7A"</f>
        <v>AA_phi_A_7A</v>
      </c>
      <c r="I1" s="1" t="str">
        <f>"AA_phi_A_8A"</f>
        <v>AA_phi_A_8A</v>
      </c>
      <c r="J1" s="1" t="str">
        <f>"AA_phi_A_9A"</f>
        <v>AA_phi_A_9A</v>
      </c>
      <c r="K1" s="1" t="str">
        <f>"AA_phi_A_10A"</f>
        <v>AA_phi_A_10A</v>
      </c>
      <c r="L1" s="1" t="str">
        <f>"AA_phi_A_11A"</f>
        <v>AA_phi_A_11A</v>
      </c>
      <c r="M1" s="1" t="str">
        <f>"AA_phi_A_12A"</f>
        <v>AA_phi_A_12A</v>
      </c>
      <c r="N1" s="1" t="str">
        <f>"AA_phi_A_13A"</f>
        <v>AA_phi_A_13A</v>
      </c>
      <c r="O1" s="1" t="str">
        <f>"AA_phi_A_14A"</f>
        <v>AA_phi_A_14A</v>
      </c>
      <c r="P1" s="1" t="str">
        <f>"AA_phi_A_15A"</f>
        <v>AA_phi_A_15A</v>
      </c>
      <c r="Q1" s="1" t="str">
        <f>"AA_phi_A_16A"</f>
        <v>AA_phi_A_16A</v>
      </c>
      <c r="R1" s="1" t="str">
        <f>"AA_phi_A_17A"</f>
        <v>AA_phi_A_17A</v>
      </c>
      <c r="S1" s="1" t="str">
        <f>"AA_phi_A_18A"</f>
        <v>AA_phi_A_18A</v>
      </c>
      <c r="T1" s="1" t="str">
        <f>"AA_phi_A_19A"</f>
        <v>AA_phi_A_19A</v>
      </c>
      <c r="U1" s="1" t="str">
        <f>"AA_phi_A_20A"</f>
        <v>AA_phi_A_20A</v>
      </c>
      <c r="V1" s="1"/>
      <c r="W1" s="1"/>
      <c r="X1" s="1"/>
    </row>
    <row r="2" spans="1:24">
      <c r="B2">
        <v>1.4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4">
      <c r="A3" t="s">
        <v>0</v>
      </c>
      <c r="B3">
        <v>1511.5930000000001</v>
      </c>
      <c r="C3">
        <v>1051.8920000000001</v>
      </c>
      <c r="D3">
        <v>685.04650000000004</v>
      </c>
      <c r="E3">
        <v>490.23899999999998</v>
      </c>
      <c r="F3">
        <v>372.50389999999999</v>
      </c>
      <c r="G3">
        <v>305.57679999999999</v>
      </c>
      <c r="H3">
        <v>258.29750000000001</v>
      </c>
      <c r="I3">
        <v>225.82149999999999</v>
      </c>
      <c r="J3">
        <v>200.136</v>
      </c>
      <c r="K3">
        <v>177.61590000000001</v>
      </c>
      <c r="L3">
        <v>158.84780000000001</v>
      </c>
      <c r="M3">
        <v>146.63669999999999</v>
      </c>
      <c r="N3">
        <v>136.5008</v>
      </c>
      <c r="O3">
        <v>127.271</v>
      </c>
      <c r="P3">
        <v>118.017</v>
      </c>
      <c r="Q3">
        <v>111.3429</v>
      </c>
      <c r="R3">
        <v>104.4199</v>
      </c>
      <c r="S3">
        <v>100.3879</v>
      </c>
      <c r="T3">
        <v>97.876959999999997</v>
      </c>
      <c r="U3">
        <v>96.677980000000005</v>
      </c>
    </row>
    <row r="4" spans="1:24">
      <c r="A4" t="s">
        <v>1</v>
      </c>
      <c r="B4">
        <v>1990.0550000000001</v>
      </c>
      <c r="C4">
        <v>1357.6179999999999</v>
      </c>
      <c r="D4">
        <v>834.99270000000001</v>
      </c>
      <c r="E4">
        <v>576.39859999999999</v>
      </c>
      <c r="F4">
        <v>427.8322</v>
      </c>
      <c r="G4">
        <v>341.76029999999997</v>
      </c>
      <c r="H4">
        <v>287.98680000000002</v>
      </c>
      <c r="I4">
        <v>242.74639999999999</v>
      </c>
      <c r="J4">
        <v>209.54220000000001</v>
      </c>
      <c r="K4">
        <v>185.19309999999999</v>
      </c>
      <c r="L4">
        <v>165.30099999999999</v>
      </c>
      <c r="M4">
        <v>145.71799999999999</v>
      </c>
      <c r="N4">
        <v>134.1549</v>
      </c>
      <c r="O4">
        <v>125.5879</v>
      </c>
      <c r="P4">
        <v>116.0669</v>
      </c>
      <c r="Q4">
        <v>108.9349</v>
      </c>
      <c r="R4">
        <v>101.1459</v>
      </c>
      <c r="S4">
        <v>95.348969999999994</v>
      </c>
      <c r="T4">
        <v>92.620990000000006</v>
      </c>
      <c r="U4">
        <v>88.993989999999997</v>
      </c>
    </row>
    <row r="5" spans="1:24">
      <c r="A5" t="s">
        <v>2</v>
      </c>
      <c r="B5">
        <v>3840.5819999999999</v>
      </c>
      <c r="C5">
        <v>2684.404</v>
      </c>
      <c r="D5">
        <v>1736.671</v>
      </c>
      <c r="E5">
        <v>1237.5139999999999</v>
      </c>
      <c r="F5">
        <v>946.14940000000001</v>
      </c>
      <c r="G5">
        <v>756.55889999999999</v>
      </c>
      <c r="H5">
        <v>624.69349999999997</v>
      </c>
      <c r="I5">
        <v>536.84640000000002</v>
      </c>
      <c r="J5">
        <v>475.4357</v>
      </c>
      <c r="K5">
        <v>415.952</v>
      </c>
      <c r="L5">
        <v>378.20740000000001</v>
      </c>
      <c r="M5">
        <v>342.89510000000001</v>
      </c>
      <c r="N5">
        <v>313.46409999999997</v>
      </c>
      <c r="O5">
        <v>293.2167</v>
      </c>
      <c r="P5">
        <v>272.53190000000001</v>
      </c>
      <c r="Q5">
        <v>253.00880000000001</v>
      </c>
      <c r="R5">
        <v>237.87379999999999</v>
      </c>
      <c r="S5">
        <v>224.23390000000001</v>
      </c>
      <c r="T5">
        <v>216.59469999999999</v>
      </c>
      <c r="U5">
        <v>208.64179999999999</v>
      </c>
    </row>
    <row r="6" spans="1:24">
      <c r="A6" t="s">
        <v>3</v>
      </c>
      <c r="B6">
        <v>1235.306</v>
      </c>
      <c r="C6">
        <v>775.14620000000002</v>
      </c>
      <c r="D6">
        <v>461.3057</v>
      </c>
      <c r="E6">
        <v>324.48809999999997</v>
      </c>
      <c r="F6">
        <v>242.68979999999999</v>
      </c>
      <c r="G6">
        <v>197.625</v>
      </c>
      <c r="H6">
        <v>164.7056</v>
      </c>
      <c r="I6">
        <v>139.39109999999999</v>
      </c>
      <c r="J6">
        <v>122.1862</v>
      </c>
      <c r="K6">
        <v>108.9983</v>
      </c>
      <c r="L6">
        <v>97.864189999999994</v>
      </c>
      <c r="M6">
        <v>89.677090000000007</v>
      </c>
      <c r="N6">
        <v>83.609080000000006</v>
      </c>
      <c r="O6">
        <v>77.370090000000005</v>
      </c>
      <c r="P6">
        <v>72.626080000000002</v>
      </c>
      <c r="Q6">
        <v>66.926050000000004</v>
      </c>
      <c r="R6">
        <v>64.296019999999999</v>
      </c>
      <c r="S6">
        <v>60.96602</v>
      </c>
      <c r="T6">
        <v>57.65699</v>
      </c>
      <c r="U6">
        <v>55.25797</v>
      </c>
    </row>
    <row r="7" spans="1:24">
      <c r="A7" t="s">
        <v>4</v>
      </c>
      <c r="B7">
        <v>1222.981</v>
      </c>
      <c r="C7">
        <v>752.73829999999998</v>
      </c>
      <c r="D7">
        <v>452.73880000000003</v>
      </c>
      <c r="E7">
        <v>319.71120000000002</v>
      </c>
      <c r="F7">
        <v>247.81700000000001</v>
      </c>
      <c r="G7">
        <v>200.8289</v>
      </c>
      <c r="H7">
        <v>167.5377</v>
      </c>
      <c r="I7">
        <v>144.017</v>
      </c>
      <c r="J7">
        <v>128.01609999999999</v>
      </c>
      <c r="K7">
        <v>113.42619999999999</v>
      </c>
      <c r="L7">
        <v>101.58320000000001</v>
      </c>
      <c r="M7">
        <v>91.510170000000002</v>
      </c>
      <c r="N7">
        <v>81.957130000000006</v>
      </c>
      <c r="O7">
        <v>75.034099999999995</v>
      </c>
      <c r="P7">
        <v>68.811070000000001</v>
      </c>
      <c r="Q7">
        <v>64.993049999999997</v>
      </c>
      <c r="R7">
        <v>60.919040000000003</v>
      </c>
      <c r="S7">
        <v>56.638019999999997</v>
      </c>
      <c r="T7">
        <v>54.505009999999999</v>
      </c>
      <c r="U7">
        <v>52.822980000000001</v>
      </c>
    </row>
    <row r="8" spans="1:24">
      <c r="A8" t="s">
        <v>5</v>
      </c>
      <c r="B8">
        <v>1275.01</v>
      </c>
      <c r="C8">
        <v>802.47590000000002</v>
      </c>
      <c r="D8">
        <v>476.3741</v>
      </c>
      <c r="E8">
        <v>344.8152</v>
      </c>
      <c r="F8">
        <v>261.12619999999998</v>
      </c>
      <c r="G8">
        <v>209.18389999999999</v>
      </c>
      <c r="H8">
        <v>174.30170000000001</v>
      </c>
      <c r="I8">
        <v>147.6431</v>
      </c>
      <c r="J8">
        <v>131.84809999999999</v>
      </c>
      <c r="K8">
        <v>114.0872</v>
      </c>
      <c r="L8">
        <v>103.44119999999999</v>
      </c>
      <c r="M8">
        <v>96.613169999999997</v>
      </c>
      <c r="N8">
        <v>88.675160000000005</v>
      </c>
      <c r="O8">
        <v>81.69614</v>
      </c>
      <c r="P8">
        <v>75.679119999999998</v>
      </c>
      <c r="Q8">
        <v>71.857119999999995</v>
      </c>
      <c r="R8">
        <v>68.265079999999998</v>
      </c>
      <c r="S8">
        <v>63.723050000000001</v>
      </c>
      <c r="T8">
        <v>60.42398</v>
      </c>
      <c r="U8">
        <v>57.824939999999998</v>
      </c>
    </row>
    <row r="9" spans="1:24">
      <c r="A9" t="s">
        <v>6</v>
      </c>
      <c r="B9">
        <v>1250.4690000000001</v>
      </c>
      <c r="C9">
        <v>774.51649999999995</v>
      </c>
      <c r="D9">
        <v>460.13529999999997</v>
      </c>
      <c r="E9">
        <v>332.49259999999998</v>
      </c>
      <c r="F9">
        <v>251.37799999999999</v>
      </c>
      <c r="G9">
        <v>197.56899999999999</v>
      </c>
      <c r="H9">
        <v>167.94370000000001</v>
      </c>
      <c r="I9">
        <v>146.13210000000001</v>
      </c>
      <c r="J9">
        <v>128.20509999999999</v>
      </c>
      <c r="K9">
        <v>112.8702</v>
      </c>
      <c r="L9">
        <v>101.9683</v>
      </c>
      <c r="M9">
        <v>92.584159999999997</v>
      </c>
      <c r="N9">
        <v>85.815150000000003</v>
      </c>
      <c r="O9">
        <v>80.252120000000005</v>
      </c>
      <c r="P9">
        <v>75.640110000000007</v>
      </c>
      <c r="Q9">
        <v>70.649090000000001</v>
      </c>
      <c r="R9">
        <v>66.123040000000003</v>
      </c>
      <c r="S9">
        <v>62.555010000000003</v>
      </c>
      <c r="T9">
        <v>59.02</v>
      </c>
      <c r="U9">
        <v>56.872970000000002</v>
      </c>
    </row>
    <row r="10" spans="1:24">
      <c r="A10" t="s">
        <v>7</v>
      </c>
      <c r="B10">
        <v>1628.633</v>
      </c>
      <c r="C10">
        <v>988.58240000000001</v>
      </c>
      <c r="D10">
        <v>570.79219999999998</v>
      </c>
      <c r="E10">
        <v>396.34460000000001</v>
      </c>
      <c r="F10">
        <v>294.8107</v>
      </c>
      <c r="G10">
        <v>233.61490000000001</v>
      </c>
      <c r="H10">
        <v>190.1285</v>
      </c>
      <c r="I10">
        <v>163.3416</v>
      </c>
      <c r="J10">
        <v>144.374</v>
      </c>
      <c r="K10">
        <v>129.39320000000001</v>
      </c>
      <c r="L10">
        <v>116.5393</v>
      </c>
      <c r="M10">
        <v>105.7753</v>
      </c>
      <c r="N10">
        <v>96.848240000000004</v>
      </c>
      <c r="O10">
        <v>88.270179999999996</v>
      </c>
      <c r="P10">
        <v>82.495189999999994</v>
      </c>
      <c r="Q10">
        <v>78.694159999999997</v>
      </c>
      <c r="R10">
        <v>74.376140000000007</v>
      </c>
      <c r="S10">
        <v>70.791079999999994</v>
      </c>
      <c r="T10">
        <v>67.012</v>
      </c>
      <c r="U10">
        <v>62.100960000000001</v>
      </c>
    </row>
    <row r="11" spans="1:24">
      <c r="A11" t="s">
        <v>8</v>
      </c>
      <c r="B11">
        <v>1621.5129999999999</v>
      </c>
      <c r="C11">
        <v>993.81100000000004</v>
      </c>
      <c r="D11">
        <v>579.93759999999997</v>
      </c>
      <c r="E11">
        <v>396.22199999999998</v>
      </c>
      <c r="F11">
        <v>301.90109999999999</v>
      </c>
      <c r="G11">
        <v>242.51589999999999</v>
      </c>
      <c r="H11">
        <v>200.6217</v>
      </c>
      <c r="I11">
        <v>173.7817</v>
      </c>
      <c r="J11">
        <v>150.71510000000001</v>
      </c>
      <c r="K11">
        <v>131.00319999999999</v>
      </c>
      <c r="L11">
        <v>119.8323</v>
      </c>
      <c r="M11">
        <v>107.3484</v>
      </c>
      <c r="N11">
        <v>97.482249999999993</v>
      </c>
      <c r="O11">
        <v>90.025199999999998</v>
      </c>
      <c r="P11">
        <v>84.739220000000003</v>
      </c>
      <c r="Q11">
        <v>78.333179999999999</v>
      </c>
      <c r="R11">
        <v>74.461039999999997</v>
      </c>
      <c r="S11">
        <v>70.869010000000003</v>
      </c>
      <c r="T11">
        <v>67.589960000000005</v>
      </c>
      <c r="U11">
        <v>65.455960000000005</v>
      </c>
    </row>
    <row r="12" spans="1:24">
      <c r="A12" t="s">
        <v>9</v>
      </c>
      <c r="B12">
        <v>1330.546</v>
      </c>
      <c r="C12">
        <v>817.78139999999996</v>
      </c>
      <c r="D12">
        <v>489.97559999999999</v>
      </c>
      <c r="E12">
        <v>340.77800000000002</v>
      </c>
      <c r="F12">
        <v>252.041</v>
      </c>
      <c r="G12">
        <v>197.6918</v>
      </c>
      <c r="H12">
        <v>165.48769999999999</v>
      </c>
      <c r="I12">
        <v>140.92179999999999</v>
      </c>
      <c r="J12">
        <v>121.2651</v>
      </c>
      <c r="K12">
        <v>111.4012</v>
      </c>
      <c r="L12">
        <v>99.99924</v>
      </c>
      <c r="M12">
        <v>94.583240000000004</v>
      </c>
      <c r="N12">
        <v>86.165149999999997</v>
      </c>
      <c r="O12">
        <v>79.013080000000002</v>
      </c>
      <c r="P12">
        <v>71.87406</v>
      </c>
      <c r="Q12">
        <v>67.156040000000004</v>
      </c>
      <c r="R12">
        <v>64.000020000000006</v>
      </c>
      <c r="S12">
        <v>60.899990000000003</v>
      </c>
      <c r="T12">
        <v>57.164009999999998</v>
      </c>
      <c r="U12">
        <v>54.11298</v>
      </c>
    </row>
    <row r="13" spans="1:24">
      <c r="A13" t="s">
        <v>10</v>
      </c>
      <c r="B13">
        <v>1279.377</v>
      </c>
      <c r="C13">
        <v>798.41459999999995</v>
      </c>
      <c r="D13">
        <v>481.08479999999997</v>
      </c>
      <c r="E13">
        <v>336.1952</v>
      </c>
      <c r="F13">
        <v>257.4769</v>
      </c>
      <c r="G13">
        <v>200.77359999999999</v>
      </c>
      <c r="H13">
        <v>167.9597</v>
      </c>
      <c r="I13">
        <v>142.9888</v>
      </c>
      <c r="J13">
        <v>122.99809999999999</v>
      </c>
      <c r="K13">
        <v>108.1721</v>
      </c>
      <c r="L13">
        <v>98.129199999999997</v>
      </c>
      <c r="M13">
        <v>89.224209999999999</v>
      </c>
      <c r="N13">
        <v>83.184139999999999</v>
      </c>
      <c r="O13">
        <v>77.428089999999997</v>
      </c>
      <c r="P13">
        <v>70.742059999999995</v>
      </c>
      <c r="Q13">
        <v>67.160030000000006</v>
      </c>
      <c r="R13">
        <v>62.372030000000002</v>
      </c>
      <c r="S13">
        <v>59.274990000000003</v>
      </c>
      <c r="T13">
        <v>55.537999999999997</v>
      </c>
      <c r="U13">
        <v>53.19</v>
      </c>
    </row>
    <row r="14" spans="1:24">
      <c r="A14" t="s">
        <v>11</v>
      </c>
      <c r="B14">
        <v>1325.4680000000001</v>
      </c>
      <c r="C14">
        <v>829.60839999999996</v>
      </c>
      <c r="D14">
        <v>497.31630000000001</v>
      </c>
      <c r="E14">
        <v>348.90649999999999</v>
      </c>
      <c r="F14">
        <v>261.91410000000002</v>
      </c>
      <c r="G14">
        <v>209.11359999999999</v>
      </c>
      <c r="H14">
        <v>173.3415</v>
      </c>
      <c r="I14">
        <v>145.18389999999999</v>
      </c>
      <c r="J14">
        <v>127.0441</v>
      </c>
      <c r="K14">
        <v>112.3532</v>
      </c>
      <c r="L14">
        <v>103.3152</v>
      </c>
      <c r="M14">
        <v>96.258210000000005</v>
      </c>
      <c r="N14">
        <v>89.679169999999999</v>
      </c>
      <c r="O14">
        <v>82.768119999999996</v>
      </c>
      <c r="P14">
        <v>76.100089999999994</v>
      </c>
      <c r="Q14">
        <v>71.799090000000007</v>
      </c>
      <c r="R14">
        <v>66.811059999999998</v>
      </c>
      <c r="S14">
        <v>61.850029999999997</v>
      </c>
      <c r="T14">
        <v>58.538980000000002</v>
      </c>
      <c r="U14">
        <v>56.879989999999999</v>
      </c>
    </row>
    <row r="15" spans="1:24">
      <c r="A15" t="s">
        <v>12</v>
      </c>
      <c r="B15">
        <v>3428.384</v>
      </c>
      <c r="C15">
        <v>2425.8980000000001</v>
      </c>
      <c r="D15">
        <v>1576.0609999999999</v>
      </c>
      <c r="E15">
        <v>1108.672</v>
      </c>
      <c r="F15">
        <v>853.93619999999999</v>
      </c>
      <c r="G15">
        <v>683.94399999999996</v>
      </c>
      <c r="H15">
        <v>567.08690000000001</v>
      </c>
      <c r="I15">
        <v>491.26159999999999</v>
      </c>
      <c r="J15">
        <v>428.41120000000001</v>
      </c>
      <c r="K15">
        <v>380.00689999999997</v>
      </c>
      <c r="L15">
        <v>346.15550000000002</v>
      </c>
      <c r="M15">
        <v>318.01420000000002</v>
      </c>
      <c r="N15">
        <v>293.03980000000001</v>
      </c>
      <c r="O15">
        <v>270.68860000000001</v>
      </c>
      <c r="P15">
        <v>252.5325</v>
      </c>
      <c r="Q15">
        <v>237.23269999999999</v>
      </c>
      <c r="R15">
        <v>217.69489999999999</v>
      </c>
      <c r="S15">
        <v>205.828</v>
      </c>
      <c r="T15">
        <v>197.70169999999999</v>
      </c>
      <c r="U15">
        <v>189.5539</v>
      </c>
    </row>
    <row r="16" spans="1:24">
      <c r="A16" t="s">
        <v>13</v>
      </c>
      <c r="B16">
        <v>2814.123</v>
      </c>
      <c r="C16">
        <v>1762.9760000000001</v>
      </c>
      <c r="D16">
        <v>1039.8130000000001</v>
      </c>
      <c r="E16">
        <v>723.32230000000004</v>
      </c>
      <c r="F16">
        <v>547.26459999999997</v>
      </c>
      <c r="G16">
        <v>432.80669999999998</v>
      </c>
      <c r="H16">
        <v>356.74</v>
      </c>
      <c r="I16">
        <v>305.38650000000001</v>
      </c>
      <c r="J16">
        <v>269.2842</v>
      </c>
      <c r="K16">
        <v>236.87139999999999</v>
      </c>
      <c r="L16">
        <v>210.76990000000001</v>
      </c>
      <c r="M16">
        <v>194.7979</v>
      </c>
      <c r="N16">
        <v>180.47489999999999</v>
      </c>
      <c r="O16">
        <v>166.36709999999999</v>
      </c>
      <c r="P16">
        <v>152.78649999999999</v>
      </c>
      <c r="Q16">
        <v>143.3126</v>
      </c>
      <c r="R16">
        <v>134.44839999999999</v>
      </c>
      <c r="S16">
        <v>126.5814</v>
      </c>
      <c r="T16">
        <v>121.1631</v>
      </c>
      <c r="U16">
        <v>116.453</v>
      </c>
    </row>
    <row r="17" spans="1:21">
      <c r="A17" t="s">
        <v>14</v>
      </c>
      <c r="B17">
        <v>2928.6509999999998</v>
      </c>
      <c r="C17">
        <v>1815.73</v>
      </c>
      <c r="D17">
        <v>1049.856</v>
      </c>
      <c r="E17">
        <v>720.4443</v>
      </c>
      <c r="F17">
        <v>546.34649999999999</v>
      </c>
      <c r="G17">
        <v>433.99489999999997</v>
      </c>
      <c r="H17">
        <v>358.17140000000001</v>
      </c>
      <c r="I17">
        <v>306.97359999999998</v>
      </c>
      <c r="J17">
        <v>264.75200000000001</v>
      </c>
      <c r="K17">
        <v>238.51820000000001</v>
      </c>
      <c r="L17">
        <v>211.40260000000001</v>
      </c>
      <c r="M17">
        <v>192.44800000000001</v>
      </c>
      <c r="N17">
        <v>180.02</v>
      </c>
      <c r="O17">
        <v>166.82910000000001</v>
      </c>
      <c r="P17">
        <v>155.9975</v>
      </c>
      <c r="Q17">
        <v>145.30459999999999</v>
      </c>
      <c r="R17">
        <v>136.50640000000001</v>
      </c>
      <c r="S17">
        <v>129.07640000000001</v>
      </c>
      <c r="T17">
        <v>122.7171</v>
      </c>
      <c r="U17">
        <v>116.3849</v>
      </c>
    </row>
    <row r="18" spans="1:21">
      <c r="A18" t="s">
        <v>15</v>
      </c>
      <c r="B18">
        <v>2893.9270000000001</v>
      </c>
      <c r="C18">
        <v>1785.817</v>
      </c>
      <c r="D18">
        <v>1052.4469999999999</v>
      </c>
      <c r="E18">
        <v>729.10550000000001</v>
      </c>
      <c r="F18">
        <v>537.90470000000005</v>
      </c>
      <c r="G18">
        <v>426.27910000000003</v>
      </c>
      <c r="H18">
        <v>355.93180000000001</v>
      </c>
      <c r="I18">
        <v>307.78039999999999</v>
      </c>
      <c r="J18">
        <v>264.05020000000002</v>
      </c>
      <c r="K18">
        <v>236.85640000000001</v>
      </c>
      <c r="L18">
        <v>210.7714</v>
      </c>
      <c r="M18">
        <v>192.75200000000001</v>
      </c>
      <c r="N18">
        <v>178.69399999999999</v>
      </c>
      <c r="O18">
        <v>162.47720000000001</v>
      </c>
      <c r="P18">
        <v>150.2346</v>
      </c>
      <c r="Q18">
        <v>142.64760000000001</v>
      </c>
      <c r="R18">
        <v>133.7483</v>
      </c>
      <c r="S18">
        <v>126.1412</v>
      </c>
      <c r="T18">
        <v>120.9361</v>
      </c>
      <c r="U18">
        <v>115.0719</v>
      </c>
    </row>
    <row r="19" spans="1:21">
      <c r="A19" t="s">
        <v>16</v>
      </c>
      <c r="B19">
        <v>6813.942</v>
      </c>
      <c r="C19">
        <v>4638.34</v>
      </c>
      <c r="D19">
        <v>2867.9749999999999</v>
      </c>
      <c r="E19">
        <v>1984.502</v>
      </c>
      <c r="F19">
        <v>1479.6130000000001</v>
      </c>
      <c r="G19">
        <v>1176.095</v>
      </c>
      <c r="H19">
        <v>962.67309999999998</v>
      </c>
      <c r="I19">
        <v>812.62559999999996</v>
      </c>
      <c r="J19">
        <v>704.89110000000005</v>
      </c>
      <c r="K19">
        <v>614.29020000000003</v>
      </c>
      <c r="L19">
        <v>549.08500000000004</v>
      </c>
      <c r="M19">
        <v>494.52499999999998</v>
      </c>
      <c r="N19">
        <v>446.17219999999998</v>
      </c>
      <c r="O19">
        <v>410.83010000000002</v>
      </c>
      <c r="P19">
        <v>383.66329999999999</v>
      </c>
      <c r="Q19">
        <v>359.79320000000001</v>
      </c>
      <c r="R19">
        <v>335.48160000000001</v>
      </c>
      <c r="S19">
        <v>313.01</v>
      </c>
      <c r="T19">
        <v>292.47230000000002</v>
      </c>
      <c r="U19">
        <v>283.01560000000001</v>
      </c>
    </row>
    <row r="20" spans="1:21">
      <c r="A20" t="s">
        <v>17</v>
      </c>
      <c r="B20">
        <v>6937.0249999999996</v>
      </c>
      <c r="C20">
        <v>4748.7110000000002</v>
      </c>
      <c r="D20">
        <v>2935.6489999999999</v>
      </c>
      <c r="E20">
        <v>1999.634</v>
      </c>
      <c r="F20">
        <v>1487.46</v>
      </c>
      <c r="G20">
        <v>1176.712</v>
      </c>
      <c r="H20">
        <v>961.05650000000003</v>
      </c>
      <c r="I20">
        <v>810.93010000000004</v>
      </c>
      <c r="J20">
        <v>701.06870000000004</v>
      </c>
      <c r="K20">
        <v>621.52319999999997</v>
      </c>
      <c r="L20">
        <v>556.97270000000003</v>
      </c>
      <c r="M20">
        <v>500.38729999999998</v>
      </c>
      <c r="N20">
        <v>454.7672</v>
      </c>
      <c r="O20">
        <v>419.55360000000002</v>
      </c>
      <c r="P20">
        <v>383.8449</v>
      </c>
      <c r="Q20">
        <v>358.4289</v>
      </c>
      <c r="R20">
        <v>340.09789999999998</v>
      </c>
      <c r="S20">
        <v>320.04399999999998</v>
      </c>
      <c r="T20">
        <v>300.37639999999999</v>
      </c>
      <c r="U20">
        <v>288.76769999999999</v>
      </c>
    </row>
    <row r="21" spans="1:21">
      <c r="A21" t="s">
        <v>18</v>
      </c>
      <c r="B21">
        <v>6954.3739999999998</v>
      </c>
      <c r="C21">
        <v>4749.9629999999997</v>
      </c>
      <c r="D21">
        <v>2945.703</v>
      </c>
      <c r="E21">
        <v>1997.6579999999999</v>
      </c>
      <c r="F21">
        <v>1485.867</v>
      </c>
      <c r="G21">
        <v>1178.4090000000001</v>
      </c>
      <c r="H21">
        <v>957.53179999999998</v>
      </c>
      <c r="I21">
        <v>810.92439999999999</v>
      </c>
      <c r="J21">
        <v>705.07569999999998</v>
      </c>
      <c r="K21">
        <v>621.83280000000002</v>
      </c>
      <c r="L21">
        <v>553.64390000000003</v>
      </c>
      <c r="M21">
        <v>499.66419999999999</v>
      </c>
      <c r="N21">
        <v>455.58370000000002</v>
      </c>
      <c r="O21">
        <v>422.65429999999998</v>
      </c>
      <c r="P21">
        <v>394.4821</v>
      </c>
      <c r="Q21">
        <v>367.84570000000002</v>
      </c>
      <c r="R21">
        <v>345.89929999999998</v>
      </c>
      <c r="S21">
        <v>328.33629999999999</v>
      </c>
      <c r="T21">
        <v>304.72370000000001</v>
      </c>
      <c r="U21">
        <v>288.92590000000001</v>
      </c>
    </row>
    <row r="22" spans="1:21">
      <c r="A22" t="s">
        <v>19</v>
      </c>
      <c r="B22">
        <v>6831.4449999999997</v>
      </c>
      <c r="C22">
        <v>4688.7370000000001</v>
      </c>
      <c r="D22">
        <v>2937.6779999999999</v>
      </c>
      <c r="E22">
        <v>2004.278</v>
      </c>
      <c r="F22">
        <v>1493.0229999999999</v>
      </c>
      <c r="G22">
        <v>1188.6110000000001</v>
      </c>
      <c r="H22">
        <v>978.04610000000002</v>
      </c>
      <c r="I22">
        <v>823.13900000000001</v>
      </c>
      <c r="J22">
        <v>711.96860000000004</v>
      </c>
      <c r="K22">
        <v>620.1318</v>
      </c>
      <c r="L22">
        <v>548.03790000000004</v>
      </c>
      <c r="M22">
        <v>499.74849999999998</v>
      </c>
      <c r="N22">
        <v>455.15100000000001</v>
      </c>
      <c r="O22">
        <v>418.10199999999998</v>
      </c>
      <c r="P22">
        <v>390.57170000000002</v>
      </c>
      <c r="Q22">
        <v>366.90679999999998</v>
      </c>
      <c r="R22">
        <v>341.06400000000002</v>
      </c>
      <c r="S22">
        <v>321.3519</v>
      </c>
      <c r="T22">
        <v>303.53570000000002</v>
      </c>
      <c r="U22">
        <v>288.02170000000001</v>
      </c>
    </row>
    <row r="23" spans="1:21">
      <c r="A23" t="s">
        <v>20</v>
      </c>
      <c r="B23">
        <v>6961.9430000000002</v>
      </c>
      <c r="C23">
        <v>4776.9179999999997</v>
      </c>
      <c r="D23">
        <v>2949.8449999999998</v>
      </c>
      <c r="E23">
        <v>2001.61</v>
      </c>
      <c r="F23">
        <v>1495.4</v>
      </c>
      <c r="G23">
        <v>1180.175</v>
      </c>
      <c r="H23">
        <v>960.13599999999997</v>
      </c>
      <c r="I23">
        <v>817.31269999999995</v>
      </c>
      <c r="J23">
        <v>706.93020000000001</v>
      </c>
      <c r="K23">
        <v>621.81489999999997</v>
      </c>
      <c r="L23">
        <v>556.86289999999997</v>
      </c>
      <c r="M23">
        <v>500.80840000000001</v>
      </c>
      <c r="N23">
        <v>456.3023</v>
      </c>
      <c r="O23">
        <v>416.67360000000002</v>
      </c>
      <c r="P23">
        <v>387.16379999999998</v>
      </c>
      <c r="Q23">
        <v>361.12700000000001</v>
      </c>
      <c r="R23">
        <v>336.30410000000001</v>
      </c>
      <c r="S23">
        <v>319.11200000000002</v>
      </c>
      <c r="T23">
        <v>298.32080000000002</v>
      </c>
      <c r="U23">
        <v>287.03100000000001</v>
      </c>
    </row>
    <row r="24" spans="1:21">
      <c r="A24" t="s">
        <v>21</v>
      </c>
      <c r="B24">
        <v>6790.4179999999997</v>
      </c>
      <c r="C24">
        <v>4676.9660000000003</v>
      </c>
      <c r="D24">
        <v>2896.15</v>
      </c>
      <c r="E24">
        <v>2003.46</v>
      </c>
      <c r="F24">
        <v>1499.587</v>
      </c>
      <c r="G24">
        <v>1179.4269999999999</v>
      </c>
      <c r="H24">
        <v>961.36109999999996</v>
      </c>
      <c r="I24">
        <v>816.04060000000004</v>
      </c>
      <c r="J24">
        <v>708.35590000000002</v>
      </c>
      <c r="K24">
        <v>623.71190000000001</v>
      </c>
      <c r="L24">
        <v>555.46619999999996</v>
      </c>
      <c r="M24">
        <v>502.67320000000001</v>
      </c>
      <c r="N24">
        <v>460.52030000000002</v>
      </c>
      <c r="O24">
        <v>424.87759999999997</v>
      </c>
      <c r="P24">
        <v>394.78949999999998</v>
      </c>
      <c r="Q24">
        <v>369.5179</v>
      </c>
      <c r="R24">
        <v>344.08690000000001</v>
      </c>
      <c r="S24">
        <v>324.25490000000002</v>
      </c>
      <c r="T24">
        <v>305.15260000000001</v>
      </c>
      <c r="U24">
        <v>292.12689999999998</v>
      </c>
    </row>
    <row r="25" spans="1:21">
      <c r="A25" t="s">
        <v>34</v>
      </c>
      <c r="B25">
        <v>6900.5820000000003</v>
      </c>
      <c r="C25">
        <v>4729.4129999999996</v>
      </c>
      <c r="D25">
        <v>2928.9920000000002</v>
      </c>
      <c r="E25">
        <v>1983.819</v>
      </c>
      <c r="F25">
        <v>1486.201</v>
      </c>
      <c r="G25">
        <v>1170.875</v>
      </c>
      <c r="H25">
        <v>955.36479999999995</v>
      </c>
      <c r="I25">
        <v>807.95389999999998</v>
      </c>
      <c r="J25">
        <v>702.42809999999997</v>
      </c>
      <c r="K25">
        <v>616.61220000000003</v>
      </c>
      <c r="L25">
        <v>548.71420000000001</v>
      </c>
      <c r="M25">
        <v>495.73419999999999</v>
      </c>
      <c r="N25">
        <v>453.79349999999999</v>
      </c>
      <c r="O25">
        <v>420.57209999999998</v>
      </c>
      <c r="P25">
        <v>389.12209999999999</v>
      </c>
      <c r="Q25">
        <v>362.50580000000002</v>
      </c>
      <c r="R25">
        <v>339.18740000000003</v>
      </c>
      <c r="S25">
        <v>319.71690000000001</v>
      </c>
      <c r="T25">
        <v>298.89139999999998</v>
      </c>
      <c r="U25">
        <v>286.26780000000002</v>
      </c>
    </row>
    <row r="26" spans="1:21">
      <c r="A26" t="s">
        <v>22</v>
      </c>
      <c r="B26">
        <v>5374.308</v>
      </c>
      <c r="C26">
        <v>3248.4589999999998</v>
      </c>
      <c r="D26">
        <v>1886.1590000000001</v>
      </c>
      <c r="E26">
        <v>1234.4749999999999</v>
      </c>
      <c r="F26">
        <v>887.08540000000005</v>
      </c>
      <c r="G26">
        <v>686.40260000000001</v>
      </c>
      <c r="H26">
        <v>557.56740000000002</v>
      </c>
      <c r="I26">
        <v>465.03739999999999</v>
      </c>
      <c r="J26">
        <v>393.1832</v>
      </c>
      <c r="K26">
        <v>347.37959999999998</v>
      </c>
      <c r="L26">
        <v>305.01010000000002</v>
      </c>
      <c r="M26">
        <v>277.47770000000003</v>
      </c>
      <c r="N26">
        <v>257.61880000000002</v>
      </c>
      <c r="O26">
        <v>232.40960000000001</v>
      </c>
      <c r="P26">
        <v>216.1105</v>
      </c>
      <c r="Q26">
        <v>200.02420000000001</v>
      </c>
      <c r="R26">
        <v>184.5692</v>
      </c>
      <c r="S26">
        <v>171.95509999999999</v>
      </c>
      <c r="T26">
        <v>162.0702</v>
      </c>
      <c r="U26">
        <v>153.86109999999999</v>
      </c>
    </row>
    <row r="27" spans="1:21">
      <c r="A27" t="s">
        <v>23</v>
      </c>
      <c r="B27">
        <v>6712.2730000000001</v>
      </c>
      <c r="C27">
        <v>4622.6059999999998</v>
      </c>
      <c r="D27">
        <v>2863.8150000000001</v>
      </c>
      <c r="E27">
        <v>1974.549</v>
      </c>
      <c r="F27">
        <v>1471.827</v>
      </c>
      <c r="G27">
        <v>1163.384</v>
      </c>
      <c r="H27">
        <v>954.49419999999998</v>
      </c>
      <c r="I27">
        <v>804.13900000000001</v>
      </c>
      <c r="J27">
        <v>700.9982</v>
      </c>
      <c r="K27">
        <v>615.40509999999995</v>
      </c>
      <c r="L27">
        <v>553.84780000000001</v>
      </c>
      <c r="M27">
        <v>495.76909999999998</v>
      </c>
      <c r="N27">
        <v>450.48329999999999</v>
      </c>
      <c r="O27">
        <v>415.8578</v>
      </c>
      <c r="P27">
        <v>384.77109999999999</v>
      </c>
      <c r="Q27">
        <v>365.33690000000001</v>
      </c>
      <c r="R27">
        <v>339.68979999999999</v>
      </c>
      <c r="S27">
        <v>318.34190000000001</v>
      </c>
      <c r="T27">
        <v>300.75839999999999</v>
      </c>
      <c r="U27">
        <v>289.18189999999998</v>
      </c>
    </row>
    <row r="28" spans="1:21">
      <c r="A28" t="s">
        <v>24</v>
      </c>
      <c r="B28">
        <v>6794.625</v>
      </c>
      <c r="C28">
        <v>4660.9790000000003</v>
      </c>
      <c r="D28">
        <v>2903.154</v>
      </c>
      <c r="E28">
        <v>1985.558</v>
      </c>
      <c r="F28">
        <v>1495.2950000000001</v>
      </c>
      <c r="G28">
        <v>1177.817</v>
      </c>
      <c r="H28">
        <v>961.98829999999998</v>
      </c>
      <c r="I28">
        <v>817.34889999999996</v>
      </c>
      <c r="J28">
        <v>713.49919999999997</v>
      </c>
      <c r="K28">
        <v>626.5915</v>
      </c>
      <c r="L28">
        <v>559.32759999999996</v>
      </c>
      <c r="M28">
        <v>502.60109999999997</v>
      </c>
      <c r="N28">
        <v>459.916</v>
      </c>
      <c r="O28">
        <v>422.89109999999999</v>
      </c>
      <c r="P28">
        <v>391.1671</v>
      </c>
      <c r="Q28">
        <v>362.56299999999999</v>
      </c>
      <c r="R28">
        <v>340.81380000000001</v>
      </c>
      <c r="S28">
        <v>321.6651</v>
      </c>
      <c r="T28">
        <v>304.3227</v>
      </c>
      <c r="U28">
        <v>288.38979999999998</v>
      </c>
    </row>
    <row r="29" spans="1:21">
      <c r="A29" t="s">
        <v>25</v>
      </c>
      <c r="B29">
        <v>7392.3</v>
      </c>
      <c r="C29">
        <v>5089.3630000000003</v>
      </c>
      <c r="D29">
        <v>3219.3960000000002</v>
      </c>
      <c r="E29">
        <v>2260.0529999999999</v>
      </c>
      <c r="F29">
        <v>1690.3409999999999</v>
      </c>
      <c r="G29">
        <v>1336.8720000000001</v>
      </c>
      <c r="H29">
        <v>1095.116</v>
      </c>
      <c r="I29">
        <v>921.88019999999995</v>
      </c>
      <c r="J29">
        <v>791.66549999999995</v>
      </c>
      <c r="K29">
        <v>706.63570000000004</v>
      </c>
      <c r="L29">
        <v>629.17830000000004</v>
      </c>
      <c r="M29">
        <v>572.59810000000004</v>
      </c>
      <c r="N29">
        <v>520.3922</v>
      </c>
      <c r="O29">
        <v>479.30380000000002</v>
      </c>
      <c r="P29">
        <v>441.87150000000003</v>
      </c>
      <c r="Q29">
        <v>412.7448</v>
      </c>
      <c r="R29">
        <v>388.3741</v>
      </c>
      <c r="S29">
        <v>369.52170000000001</v>
      </c>
      <c r="T29">
        <v>347.52339999999998</v>
      </c>
      <c r="U29">
        <v>331.83530000000002</v>
      </c>
    </row>
    <row r="30" spans="1:21">
      <c r="A30" t="s">
        <v>26</v>
      </c>
      <c r="B30">
        <v>7014.4949999999999</v>
      </c>
      <c r="C30">
        <v>4606.357</v>
      </c>
      <c r="D30">
        <v>2701.1480000000001</v>
      </c>
      <c r="E30">
        <v>1834.797</v>
      </c>
      <c r="F30">
        <v>1347.183</v>
      </c>
      <c r="G30">
        <v>1039.6220000000001</v>
      </c>
      <c r="H30">
        <v>849.03089999999997</v>
      </c>
      <c r="I30">
        <v>707.64170000000001</v>
      </c>
      <c r="J30">
        <v>597.7056</v>
      </c>
      <c r="K30">
        <v>520.9194</v>
      </c>
      <c r="L30">
        <v>459.97719999999998</v>
      </c>
      <c r="M30">
        <v>410.33019999999999</v>
      </c>
      <c r="N30">
        <v>369.1311</v>
      </c>
      <c r="O30">
        <v>336.63479999999998</v>
      </c>
      <c r="P30">
        <v>307.00490000000002</v>
      </c>
      <c r="Q30">
        <v>287.22930000000002</v>
      </c>
      <c r="R30">
        <v>266.91849999999999</v>
      </c>
      <c r="S30">
        <v>248.125</v>
      </c>
      <c r="T30">
        <v>235.63820000000001</v>
      </c>
      <c r="U30">
        <v>222.18780000000001</v>
      </c>
    </row>
    <row r="31" spans="1:21">
      <c r="A31" t="s">
        <v>27</v>
      </c>
      <c r="B31">
        <v>6733.8670000000002</v>
      </c>
      <c r="C31">
        <v>4202.1930000000002</v>
      </c>
      <c r="D31">
        <v>2447.0889999999999</v>
      </c>
      <c r="E31">
        <v>1642.9949999999999</v>
      </c>
      <c r="F31">
        <v>1204.501</v>
      </c>
      <c r="G31">
        <v>923.50009999999997</v>
      </c>
      <c r="H31">
        <v>744.67010000000005</v>
      </c>
      <c r="I31">
        <v>614.13229999999999</v>
      </c>
      <c r="J31">
        <v>519.44479999999999</v>
      </c>
      <c r="K31">
        <v>453.00959999999998</v>
      </c>
      <c r="L31">
        <v>398.0068</v>
      </c>
      <c r="M31">
        <v>354.2192</v>
      </c>
      <c r="N31">
        <v>316.46140000000003</v>
      </c>
      <c r="O31">
        <v>290.27719999999999</v>
      </c>
      <c r="P31">
        <v>264.0616</v>
      </c>
      <c r="Q31">
        <v>243.01079999999999</v>
      </c>
      <c r="R31">
        <v>225.9307</v>
      </c>
      <c r="S31">
        <v>211.4408</v>
      </c>
      <c r="T31">
        <v>199.69759999999999</v>
      </c>
      <c r="U31">
        <v>189.83590000000001</v>
      </c>
    </row>
    <row r="32" spans="1:21">
      <c r="A32" t="s">
        <v>28</v>
      </c>
      <c r="B32">
        <v>5971.4880000000003</v>
      </c>
      <c r="C32">
        <v>3522.3670000000002</v>
      </c>
      <c r="D32">
        <v>1879.9259999999999</v>
      </c>
      <c r="E32">
        <v>1197.1849999999999</v>
      </c>
      <c r="F32">
        <v>852.24680000000001</v>
      </c>
      <c r="G32">
        <v>651.33540000000005</v>
      </c>
      <c r="H32">
        <v>525.38279999999997</v>
      </c>
      <c r="I32">
        <v>425.28859999999997</v>
      </c>
      <c r="J32">
        <v>353.92660000000001</v>
      </c>
      <c r="K32">
        <v>302.5188</v>
      </c>
      <c r="L32">
        <v>265.6653</v>
      </c>
      <c r="M32">
        <v>237.3689</v>
      </c>
      <c r="N32">
        <v>216.00450000000001</v>
      </c>
      <c r="O32">
        <v>199.15389999999999</v>
      </c>
      <c r="P32">
        <v>179.24539999999999</v>
      </c>
      <c r="Q32">
        <v>166.2525</v>
      </c>
      <c r="R32">
        <v>154.35919999999999</v>
      </c>
      <c r="S32">
        <v>141.99119999999999</v>
      </c>
      <c r="T32">
        <v>132.6422</v>
      </c>
      <c r="U32">
        <v>123.74590000000001</v>
      </c>
    </row>
    <row r="33" spans="1:21">
      <c r="A33" t="s">
        <v>29</v>
      </c>
      <c r="B33">
        <v>5946.8180000000002</v>
      </c>
      <c r="C33">
        <v>3398.8049999999998</v>
      </c>
      <c r="D33">
        <v>1791.877</v>
      </c>
      <c r="E33">
        <v>1149.511</v>
      </c>
      <c r="F33">
        <v>834.77260000000001</v>
      </c>
      <c r="G33">
        <v>638.73900000000003</v>
      </c>
      <c r="H33">
        <v>506.0095</v>
      </c>
      <c r="I33">
        <v>414.96210000000002</v>
      </c>
      <c r="J33">
        <v>352.42619999999999</v>
      </c>
      <c r="K33">
        <v>304.73520000000002</v>
      </c>
      <c r="L33">
        <v>266.49270000000001</v>
      </c>
      <c r="M33">
        <v>233.18</v>
      </c>
      <c r="N33">
        <v>212.49039999999999</v>
      </c>
      <c r="O33">
        <v>190.6217</v>
      </c>
      <c r="P33">
        <v>172.0215</v>
      </c>
      <c r="Q33">
        <v>159.9606</v>
      </c>
      <c r="R33">
        <v>148.2542</v>
      </c>
      <c r="S33">
        <v>137.36420000000001</v>
      </c>
      <c r="T33">
        <v>128.66130000000001</v>
      </c>
      <c r="U33">
        <v>121.1861</v>
      </c>
    </row>
    <row r="34" spans="1:21">
      <c r="A34" t="s">
        <v>30</v>
      </c>
      <c r="B34">
        <v>5899.768</v>
      </c>
      <c r="C34">
        <v>3370.453</v>
      </c>
      <c r="D34">
        <v>1791.875</v>
      </c>
      <c r="E34">
        <v>1161.3489999999999</v>
      </c>
      <c r="F34">
        <v>832.20529999999997</v>
      </c>
      <c r="G34">
        <v>634.01750000000004</v>
      </c>
      <c r="H34">
        <v>508.1035</v>
      </c>
      <c r="I34">
        <v>417.69760000000002</v>
      </c>
      <c r="J34">
        <v>351.78030000000001</v>
      </c>
      <c r="K34">
        <v>302.50630000000001</v>
      </c>
      <c r="L34">
        <v>263.7097</v>
      </c>
      <c r="M34">
        <v>233.37610000000001</v>
      </c>
      <c r="N34">
        <v>212.14330000000001</v>
      </c>
      <c r="O34">
        <v>191.66079999999999</v>
      </c>
      <c r="P34">
        <v>177.43549999999999</v>
      </c>
      <c r="Q34">
        <v>163.29150000000001</v>
      </c>
      <c r="R34">
        <v>149.6902</v>
      </c>
      <c r="S34">
        <v>139.29329999999999</v>
      </c>
      <c r="T34">
        <v>130.5693</v>
      </c>
      <c r="U34">
        <v>123.5671</v>
      </c>
    </row>
    <row r="35" spans="1:21">
      <c r="A35" t="s">
        <v>31</v>
      </c>
      <c r="B35">
        <v>15207.11</v>
      </c>
      <c r="C35">
        <v>10194.549999999999</v>
      </c>
      <c r="D35">
        <v>6232.8329999999996</v>
      </c>
      <c r="E35">
        <v>4283.57</v>
      </c>
      <c r="F35">
        <v>3175.837</v>
      </c>
      <c r="G35">
        <v>2457.973</v>
      </c>
      <c r="H35">
        <v>1978.8030000000001</v>
      </c>
      <c r="I35">
        <v>1631.904</v>
      </c>
      <c r="J35">
        <v>1358.057</v>
      </c>
      <c r="K35">
        <v>1162.058</v>
      </c>
      <c r="L35">
        <v>1018.857</v>
      </c>
      <c r="M35">
        <v>906.91740000000004</v>
      </c>
      <c r="N35">
        <v>807.48419999999999</v>
      </c>
      <c r="O35">
        <v>723.11609999999996</v>
      </c>
      <c r="P35">
        <v>662.00540000000001</v>
      </c>
      <c r="Q35">
        <v>610.45979999999997</v>
      </c>
      <c r="R35">
        <v>553.99760000000003</v>
      </c>
      <c r="S35">
        <v>512.66780000000006</v>
      </c>
      <c r="T35">
        <v>477.2192</v>
      </c>
      <c r="U35">
        <v>457.88720000000001</v>
      </c>
    </row>
    <row r="36" spans="1:21">
      <c r="A36" t="s">
        <v>32</v>
      </c>
      <c r="B36">
        <v>15801.42</v>
      </c>
      <c r="C36">
        <v>10563.7</v>
      </c>
      <c r="D36">
        <v>6492.97</v>
      </c>
      <c r="E36">
        <v>4461.3389999999999</v>
      </c>
      <c r="F36">
        <v>3324.9479999999999</v>
      </c>
      <c r="G36">
        <v>2586.3780000000002</v>
      </c>
      <c r="H36">
        <v>2080.7510000000002</v>
      </c>
      <c r="I36">
        <v>1717.6120000000001</v>
      </c>
      <c r="J36">
        <v>1455.0329999999999</v>
      </c>
      <c r="K36">
        <v>1256.5989999999999</v>
      </c>
      <c r="L36">
        <v>1107.579</v>
      </c>
      <c r="M36">
        <v>984.94100000000003</v>
      </c>
      <c r="N36">
        <v>884.75760000000002</v>
      </c>
      <c r="O36">
        <v>798.21730000000002</v>
      </c>
      <c r="P36">
        <v>728.80160000000001</v>
      </c>
      <c r="Q36">
        <v>673.38599999999997</v>
      </c>
      <c r="R36">
        <v>610.75819999999999</v>
      </c>
      <c r="S36">
        <v>568.01679999999999</v>
      </c>
      <c r="T36">
        <v>536.34249999999997</v>
      </c>
      <c r="U36">
        <v>500.59140000000002</v>
      </c>
    </row>
    <row r="37" spans="1:21">
      <c r="A37" t="s">
        <v>33</v>
      </c>
      <c r="B37">
        <v>16823.900000000001</v>
      </c>
      <c r="C37">
        <v>11443.07</v>
      </c>
      <c r="D37">
        <v>7074.5330000000004</v>
      </c>
      <c r="E37">
        <v>4829.3519999999999</v>
      </c>
      <c r="F37">
        <v>3581.2220000000002</v>
      </c>
      <c r="G37">
        <v>2784.739</v>
      </c>
      <c r="H37">
        <v>2248.9279999999999</v>
      </c>
      <c r="I37">
        <v>1877.3969999999999</v>
      </c>
      <c r="J37">
        <v>1594.136</v>
      </c>
      <c r="K37">
        <v>1379.4490000000001</v>
      </c>
      <c r="L37">
        <v>1218.864</v>
      </c>
      <c r="M37">
        <v>1081.019</v>
      </c>
      <c r="N37">
        <v>962.86810000000003</v>
      </c>
      <c r="O37">
        <v>873.39570000000003</v>
      </c>
      <c r="P37">
        <v>800.79240000000004</v>
      </c>
      <c r="Q37">
        <v>737.08669999999995</v>
      </c>
      <c r="R37">
        <v>674.24570000000006</v>
      </c>
      <c r="S37">
        <v>620.93020000000001</v>
      </c>
      <c r="T37">
        <v>602.09010000000001</v>
      </c>
      <c r="U37">
        <v>566.45899999999995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Readme</vt:lpstr>
      <vt:lpstr>AA_T_pho_ty</vt:lpstr>
      <vt:lpstr>AA_pho_A</vt:lpstr>
      <vt:lpstr>AA_pho_ind</vt:lpstr>
      <vt:lpstr>AA_pho_pat</vt:lpstr>
      <vt:lpstr>AA_T_pho_den</vt:lpstr>
      <vt:lpstr>AA_S_pho_den</vt:lpstr>
      <vt:lpstr>AA_T_phi_ty</vt:lpstr>
      <vt:lpstr>AA_phi_A</vt:lpstr>
      <vt:lpstr>AA_phi_ind</vt:lpstr>
      <vt:lpstr>AA_phi_pat</vt:lpstr>
      <vt:lpstr>AA_T_phi_den</vt:lpstr>
      <vt:lpstr>AA_S_phi_den</vt:lpstr>
      <vt:lpstr>AA_T_amphi_ty</vt:lpstr>
      <vt:lpstr>AA_amphi_den</vt:lpstr>
      <vt:lpstr>AA_R_phophi_ty</vt:lpstr>
      <vt:lpstr> AA_R_phoamp_ty </vt:lpstr>
      <vt:lpstr>AA_R_phophi_A</vt:lpstr>
      <vt:lpstr>Chg_T_pos</vt:lpstr>
      <vt:lpstr>Chg_pos_A</vt:lpstr>
      <vt:lpstr>Chg_T_pos_den </vt:lpstr>
      <vt:lpstr>Chg_S_pos_den</vt:lpstr>
      <vt:lpstr>Chg_T_neg</vt:lpstr>
      <vt:lpstr>Chg_neg_A</vt:lpstr>
      <vt:lpstr>Chg_T_neg_den </vt:lpstr>
      <vt:lpstr>Chg_S_neg_den</vt:lpstr>
      <vt:lpstr>Chg_T</vt:lpstr>
      <vt:lpstr>Chg_T_den </vt:lpstr>
      <vt:lpstr> Chg_R_posneg </vt:lpstr>
      <vt:lpstr>Chg_R_pos_tchg </vt:lpstr>
      <vt:lpstr>Chg_R_posneg_A </vt:lpstr>
      <vt:lpstr>T_A</vt:lpstr>
      <vt:lpstr>Shape_factor</vt:lpstr>
      <vt:lpstr>AA1.4</vt:lpstr>
      <vt:lpstr>AA2</vt:lpstr>
      <vt:lpstr>AA3</vt:lpstr>
      <vt:lpstr>AA4</vt:lpstr>
      <vt:lpstr>AA5</vt:lpstr>
      <vt:lpstr>AA6</vt:lpstr>
      <vt:lpstr>AA7</vt:lpstr>
      <vt:lpstr>AA8</vt:lpstr>
      <vt:lpstr>AA9</vt:lpstr>
      <vt:lpstr>AA10</vt:lpstr>
      <vt:lpstr>AA11</vt:lpstr>
      <vt:lpstr>AA12</vt:lpstr>
      <vt:lpstr>AA13</vt:lpstr>
      <vt:lpstr>AA14</vt:lpstr>
      <vt:lpstr>AA15</vt:lpstr>
      <vt:lpstr>AA16</vt:lpstr>
      <vt:lpstr>AA17</vt:lpstr>
      <vt:lpstr>AA18</vt:lpstr>
      <vt:lpstr>AA19</vt:lpstr>
      <vt:lpstr>AA20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2012-12-04T08:37:19Z</dcterms:modified>
</cp:coreProperties>
</file>